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7305"/>
  </bookViews>
  <sheets>
    <sheet name="Summary Sep00 Dec11" sheetId="1" r:id="rId1"/>
  </sheets>
  <definedNames>
    <definedName name="_xlnm.Print_Area" localSheetId="0">'Summary Sep00 Dec11'!$A$1:$K$975</definedName>
    <definedName name="_xlnm.Print_Titles" localSheetId="0">'Summary Sep00 Dec11'!$1:$5</definedName>
  </definedNames>
  <calcPr calcId="125725"/>
</workbook>
</file>

<file path=xl/calcChain.xml><?xml version="1.0" encoding="utf-8"?>
<calcChain xmlns="http://schemas.openxmlformats.org/spreadsheetml/2006/main">
  <c r="F973" i="1"/>
  <c r="D973"/>
  <c r="F972"/>
  <c r="D972"/>
  <c r="F971"/>
  <c r="D971"/>
  <c r="D968"/>
  <c r="D967"/>
  <c r="D966"/>
  <c r="F938"/>
  <c r="D938"/>
  <c r="F937"/>
  <c r="D937"/>
  <c r="F936"/>
  <c r="D936"/>
  <c r="F933"/>
  <c r="D933"/>
  <c r="F932"/>
  <c r="D932"/>
  <c r="F931"/>
  <c r="D931"/>
  <c r="F928"/>
  <c r="D928"/>
  <c r="F927"/>
  <c r="D927"/>
  <c r="F926"/>
  <c r="D926"/>
  <c r="F923"/>
  <c r="D923"/>
  <c r="F922"/>
  <c r="D922"/>
  <c r="F921"/>
  <c r="D921"/>
  <c r="D916"/>
  <c r="F909"/>
  <c r="D909"/>
  <c r="F908"/>
  <c r="D908"/>
  <c r="F907"/>
  <c r="D907"/>
  <c r="F888"/>
  <c r="D888"/>
  <c r="F887"/>
  <c r="D887"/>
  <c r="F886"/>
  <c r="D886"/>
  <c r="F883"/>
  <c r="D883"/>
  <c r="F882"/>
  <c r="D882"/>
  <c r="F881"/>
  <c r="D881"/>
  <c r="F873"/>
  <c r="D873"/>
  <c r="F872"/>
  <c r="D872"/>
  <c r="F871"/>
  <c r="F868"/>
  <c r="D868"/>
  <c r="F867"/>
  <c r="E867"/>
  <c r="D867"/>
  <c r="F866"/>
  <c r="E866"/>
  <c r="D866"/>
  <c r="F859"/>
  <c r="E859"/>
  <c r="D859"/>
  <c r="F858"/>
  <c r="E858"/>
  <c r="D858"/>
  <c r="F857"/>
  <c r="E857"/>
  <c r="D857"/>
  <c r="F851"/>
  <c r="D851"/>
  <c r="F850"/>
  <c r="D850"/>
  <c r="F849"/>
  <c r="D849"/>
  <c r="F847"/>
  <c r="D847"/>
  <c r="F846"/>
  <c r="D846"/>
  <c r="F845"/>
  <c r="E845"/>
  <c r="D845"/>
  <c r="F837"/>
  <c r="D837"/>
  <c r="F836"/>
  <c r="D836"/>
  <c r="F835"/>
  <c r="D835"/>
  <c r="F822"/>
  <c r="D822"/>
  <c r="F821"/>
  <c r="D821"/>
  <c r="F820"/>
  <c r="D820"/>
  <c r="F817"/>
  <c r="D817"/>
  <c r="F816"/>
  <c r="D816"/>
  <c r="F815"/>
  <c r="D815"/>
  <c r="D812"/>
  <c r="F811"/>
  <c r="D811"/>
  <c r="F810"/>
  <c r="D810"/>
  <c r="F808"/>
  <c r="D808"/>
  <c r="F807"/>
  <c r="D807"/>
  <c r="F806"/>
  <c r="D806"/>
  <c r="F803"/>
  <c r="D803"/>
  <c r="F802"/>
  <c r="D802"/>
  <c r="F801"/>
  <c r="D801"/>
  <c r="D770"/>
  <c r="E769"/>
  <c r="D769"/>
  <c r="D768"/>
  <c r="F765"/>
  <c r="D765"/>
  <c r="F764"/>
  <c r="D764"/>
  <c r="F763"/>
  <c r="D763"/>
  <c r="F760"/>
  <c r="D760"/>
  <c r="F759"/>
  <c r="D759"/>
  <c r="F758"/>
  <c r="D758"/>
  <c r="F756"/>
  <c r="E756"/>
  <c r="D756"/>
  <c r="C756"/>
  <c r="F755"/>
  <c r="E755"/>
  <c r="D755"/>
  <c r="C755"/>
  <c r="F754"/>
  <c r="E754"/>
  <c r="D754"/>
  <c r="C754"/>
  <c r="F751"/>
  <c r="E751"/>
  <c r="D751"/>
  <c r="C751"/>
  <c r="F750"/>
  <c r="E750"/>
  <c r="D750"/>
  <c r="C750"/>
  <c r="F749"/>
  <c r="E749"/>
  <c r="D749"/>
  <c r="C749"/>
  <c r="F746"/>
  <c r="E746"/>
  <c r="D746"/>
  <c r="C746"/>
  <c r="F745"/>
  <c r="D745"/>
  <c r="F744"/>
  <c r="D744"/>
  <c r="F743"/>
  <c r="D743"/>
  <c r="J738"/>
  <c r="H738"/>
  <c r="J737"/>
  <c r="H737"/>
  <c r="J736"/>
  <c r="H736"/>
  <c r="J733"/>
  <c r="H733"/>
  <c r="J732"/>
  <c r="H732"/>
  <c r="J731"/>
  <c r="H731"/>
  <c r="J728"/>
  <c r="H728"/>
  <c r="J727"/>
  <c r="H727"/>
  <c r="J726"/>
  <c r="H726"/>
  <c r="J719"/>
  <c r="H719"/>
  <c r="J718"/>
  <c r="H718"/>
  <c r="J717"/>
  <c r="H717"/>
  <c r="J714"/>
  <c r="H714"/>
  <c r="J713"/>
  <c r="H713"/>
  <c r="J712"/>
  <c r="H712"/>
  <c r="J709"/>
  <c r="H709"/>
  <c r="J708"/>
  <c r="H708"/>
  <c r="J707"/>
  <c r="H707"/>
  <c r="J704"/>
  <c r="H704"/>
  <c r="J703"/>
  <c r="H703"/>
  <c r="J702"/>
  <c r="H702"/>
  <c r="J699"/>
  <c r="H699"/>
  <c r="J698"/>
  <c r="H698"/>
  <c r="J697"/>
  <c r="H697"/>
  <c r="J694"/>
  <c r="H694"/>
  <c r="J693"/>
  <c r="H693"/>
  <c r="J692"/>
  <c r="H692"/>
  <c r="J688"/>
  <c r="H688"/>
  <c r="J687"/>
  <c r="H687"/>
  <c r="J686"/>
  <c r="H686"/>
  <c r="J683"/>
  <c r="H683"/>
  <c r="J682"/>
  <c r="H682"/>
  <c r="J681"/>
  <c r="H681"/>
  <c r="J678"/>
  <c r="H678"/>
  <c r="J677"/>
  <c r="H677"/>
  <c r="J676"/>
  <c r="H676"/>
  <c r="J673"/>
  <c r="H673"/>
  <c r="J672"/>
  <c r="H672"/>
  <c r="J671"/>
  <c r="H671"/>
  <c r="J668"/>
  <c r="H668"/>
  <c r="J667"/>
  <c r="H667"/>
  <c r="J666"/>
  <c r="H666"/>
  <c r="J659"/>
  <c r="H659"/>
  <c r="J658"/>
  <c r="H658"/>
  <c r="J657"/>
  <c r="H657"/>
  <c r="J654"/>
  <c r="H654"/>
  <c r="J653"/>
  <c r="H653"/>
  <c r="J652"/>
  <c r="H652"/>
  <c r="J648"/>
  <c r="H648"/>
  <c r="J647"/>
  <c r="H647"/>
  <c r="D647"/>
  <c r="J646"/>
  <c r="H646"/>
  <c r="J643"/>
  <c r="H643"/>
  <c r="D643"/>
  <c r="J642"/>
  <c r="H642"/>
  <c r="D642"/>
  <c r="J641"/>
  <c r="H641"/>
  <c r="D641"/>
  <c r="J638"/>
  <c r="H638"/>
  <c r="D638"/>
  <c r="J637"/>
  <c r="H637"/>
  <c r="D637"/>
  <c r="J636"/>
  <c r="H636"/>
  <c r="J634"/>
  <c r="H634"/>
  <c r="J633"/>
  <c r="H633"/>
  <c r="J632"/>
  <c r="J629"/>
  <c r="H629"/>
  <c r="J628"/>
  <c r="I628"/>
  <c r="H628"/>
  <c r="J627"/>
  <c r="I627"/>
  <c r="H627"/>
  <c r="J620"/>
  <c r="H620"/>
  <c r="J619"/>
  <c r="H619"/>
  <c r="J618"/>
  <c r="H618"/>
  <c r="J615"/>
  <c r="I615"/>
  <c r="H615"/>
  <c r="F615"/>
  <c r="E615"/>
  <c r="D615"/>
  <c r="J614"/>
  <c r="I614"/>
  <c r="H614"/>
  <c r="F614"/>
  <c r="E614"/>
  <c r="D614"/>
  <c r="J613"/>
  <c r="I613"/>
  <c r="H613"/>
  <c r="F613"/>
  <c r="E613"/>
  <c r="D613"/>
  <c r="J610"/>
  <c r="H610"/>
  <c r="C610"/>
  <c r="J609"/>
  <c r="H609"/>
  <c r="J608"/>
  <c r="H608"/>
  <c r="J605"/>
  <c r="H605"/>
  <c r="J604"/>
  <c r="H604"/>
  <c r="J603"/>
  <c r="H603"/>
  <c r="J596"/>
  <c r="H596"/>
  <c r="J595"/>
  <c r="H595"/>
  <c r="J594"/>
  <c r="H594"/>
  <c r="J591"/>
  <c r="H591"/>
  <c r="J590"/>
  <c r="H590"/>
  <c r="J589"/>
  <c r="H589"/>
  <c r="J586"/>
  <c r="H586"/>
  <c r="J585"/>
  <c r="H585"/>
  <c r="J584"/>
  <c r="H584"/>
  <c r="J581"/>
  <c r="H581"/>
  <c r="F581"/>
  <c r="D581"/>
  <c r="J580"/>
  <c r="H580"/>
  <c r="D580"/>
  <c r="J579"/>
  <c r="H579"/>
  <c r="D579"/>
  <c r="J576"/>
  <c r="H576"/>
  <c r="F576"/>
  <c r="D576"/>
  <c r="J575"/>
  <c r="H575"/>
  <c r="F575"/>
  <c r="D575"/>
  <c r="J574"/>
  <c r="H574"/>
  <c r="F574"/>
  <c r="D574"/>
  <c r="J571"/>
  <c r="H571"/>
  <c r="D571"/>
  <c r="J570"/>
  <c r="H570"/>
  <c r="D570"/>
  <c r="J569"/>
  <c r="H569"/>
  <c r="J566"/>
  <c r="H566"/>
  <c r="F566"/>
  <c r="J565"/>
  <c r="H565"/>
  <c r="F565"/>
  <c r="J564"/>
  <c r="H564"/>
  <c r="F564"/>
  <c r="J562"/>
  <c r="H562"/>
  <c r="D562"/>
  <c r="J561"/>
  <c r="H561"/>
  <c r="J560"/>
  <c r="H560"/>
  <c r="J557"/>
  <c r="H557"/>
  <c r="D557"/>
  <c r="J556"/>
  <c r="H556"/>
  <c r="D556"/>
  <c r="J555"/>
  <c r="H555"/>
  <c r="D555"/>
  <c r="J552"/>
  <c r="H552"/>
  <c r="J551"/>
  <c r="H551"/>
  <c r="J550"/>
  <c r="H550"/>
  <c r="J547"/>
  <c r="H547"/>
  <c r="J546"/>
  <c r="H546"/>
  <c r="J545"/>
  <c r="H545"/>
  <c r="J542"/>
  <c r="H542"/>
  <c r="G542"/>
  <c r="E542"/>
  <c r="J541"/>
  <c r="H541"/>
  <c r="J540"/>
  <c r="H540"/>
  <c r="J528"/>
  <c r="H528"/>
  <c r="F528"/>
  <c r="D528"/>
  <c r="J527"/>
  <c r="H527"/>
  <c r="F527"/>
  <c r="D527"/>
  <c r="J526"/>
  <c r="H526"/>
  <c r="F526"/>
  <c r="D526"/>
  <c r="J523"/>
  <c r="H523"/>
  <c r="F523"/>
  <c r="D523"/>
  <c r="J522"/>
  <c r="H522"/>
  <c r="F522"/>
  <c r="D522"/>
  <c r="J521"/>
  <c r="H521"/>
  <c r="F521"/>
  <c r="D521"/>
  <c r="J518"/>
  <c r="H518"/>
  <c r="J517"/>
  <c r="H517"/>
  <c r="J516"/>
  <c r="H516"/>
  <c r="J513"/>
  <c r="I513"/>
  <c r="H513"/>
  <c r="G513"/>
  <c r="J512"/>
  <c r="I512"/>
  <c r="H512"/>
  <c r="G512"/>
  <c r="J511"/>
  <c r="I511"/>
  <c r="H511"/>
  <c r="G511"/>
  <c r="J508"/>
  <c r="I508"/>
  <c r="H508"/>
  <c r="G508"/>
  <c r="J507"/>
  <c r="I507"/>
  <c r="H507"/>
  <c r="G507"/>
  <c r="J506"/>
  <c r="I506"/>
  <c r="H506"/>
  <c r="G506"/>
  <c r="J503"/>
  <c r="I503"/>
  <c r="H503"/>
  <c r="G503"/>
  <c r="J502"/>
  <c r="H502"/>
  <c r="J501"/>
  <c r="H501"/>
  <c r="J500"/>
  <c r="H500"/>
  <c r="G494"/>
  <c r="G493"/>
  <c r="G492"/>
  <c r="G489"/>
  <c r="G488"/>
  <c r="G487"/>
  <c r="G484"/>
  <c r="G483"/>
  <c r="G479"/>
  <c r="G478"/>
  <c r="G477"/>
  <c r="G474"/>
  <c r="G473"/>
  <c r="G472"/>
  <c r="G466"/>
  <c r="G465"/>
  <c r="G464"/>
  <c r="G461"/>
  <c r="G460"/>
  <c r="G459"/>
  <c r="G456"/>
  <c r="G455"/>
  <c r="G454"/>
  <c r="G451"/>
  <c r="G450"/>
  <c r="G449"/>
  <c r="G446"/>
  <c r="G445"/>
  <c r="G444"/>
  <c r="G441"/>
  <c r="G440"/>
  <c r="G439"/>
  <c r="G436"/>
  <c r="G434"/>
  <c r="G431"/>
  <c r="G430"/>
  <c r="G429"/>
  <c r="G426"/>
  <c r="G425"/>
  <c r="G424"/>
  <c r="G421"/>
  <c r="G420"/>
  <c r="G419"/>
  <c r="G416"/>
  <c r="G415"/>
  <c r="G414"/>
  <c r="G397"/>
  <c r="G396"/>
  <c r="G395"/>
  <c r="G392"/>
  <c r="G391"/>
  <c r="G390"/>
  <c r="G387"/>
  <c r="F387"/>
  <c r="G386"/>
  <c r="G385"/>
  <c r="G377"/>
  <c r="G372"/>
  <c r="G362"/>
  <c r="F321"/>
  <c r="I282"/>
  <c r="I281"/>
  <c r="I280"/>
  <c r="I277"/>
  <c r="G277"/>
  <c r="F277"/>
  <c r="E277"/>
  <c r="I276"/>
  <c r="I275"/>
  <c r="H247"/>
  <c r="G247"/>
  <c r="F247"/>
  <c r="D247"/>
  <c r="E246"/>
  <c r="D246"/>
  <c r="E245"/>
  <c r="D245"/>
  <c r="E244"/>
  <c r="E247" s="1"/>
  <c r="H242"/>
  <c r="G242"/>
  <c r="F242"/>
  <c r="D242"/>
  <c r="E241"/>
  <c r="F240"/>
  <c r="E240"/>
  <c r="E239"/>
  <c r="E242" s="1"/>
  <c r="H237"/>
  <c r="G237"/>
  <c r="F237"/>
  <c r="D237"/>
  <c r="E236"/>
  <c r="E235"/>
  <c r="E237" s="1"/>
  <c r="E234"/>
  <c r="H232"/>
  <c r="G232"/>
  <c r="F232"/>
  <c r="D232"/>
  <c r="E231"/>
  <c r="E230"/>
  <c r="E232" s="1"/>
  <c r="H227"/>
  <c r="G227"/>
  <c r="F227"/>
  <c r="D227"/>
  <c r="E226"/>
  <c r="E225"/>
  <c r="E227" s="1"/>
  <c r="H220"/>
  <c r="D220"/>
  <c r="G219"/>
  <c r="E219"/>
  <c r="G218"/>
  <c r="F218"/>
  <c r="F220" s="1"/>
  <c r="E218"/>
  <c r="G217"/>
  <c r="G220" s="1"/>
  <c r="E217"/>
  <c r="E220" s="1"/>
  <c r="H215"/>
  <c r="G215"/>
  <c r="F215"/>
  <c r="D215"/>
  <c r="E214"/>
  <c r="E213"/>
  <c r="E212"/>
  <c r="E215" s="1"/>
  <c r="G210"/>
  <c r="F210"/>
  <c r="D210"/>
  <c r="E209"/>
  <c r="H208"/>
  <c r="H210" s="1"/>
  <c r="E208"/>
  <c r="E210" s="1"/>
  <c r="H205"/>
  <c r="G205"/>
  <c r="F205"/>
  <c r="D205"/>
  <c r="E204"/>
  <c r="E203"/>
  <c r="E202"/>
  <c r="E205" s="1"/>
  <c r="H200"/>
  <c r="G200"/>
  <c r="F200"/>
  <c r="D200"/>
  <c r="E199"/>
  <c r="E198"/>
  <c r="E197"/>
  <c r="E200" s="1"/>
  <c r="H195"/>
  <c r="G195"/>
  <c r="F195"/>
  <c r="D195"/>
  <c r="E194"/>
  <c r="E193"/>
  <c r="E192"/>
  <c r="E195" s="1"/>
  <c r="H190"/>
  <c r="G190"/>
  <c r="F190"/>
  <c r="E190"/>
  <c r="D190"/>
  <c r="H185"/>
  <c r="G185"/>
  <c r="F185"/>
  <c r="D185"/>
  <c r="E184"/>
  <c r="E183"/>
  <c r="E182"/>
  <c r="E185" s="1"/>
  <c r="H180"/>
  <c r="G180"/>
  <c r="F180"/>
  <c r="D180"/>
  <c r="E179"/>
  <c r="E178"/>
  <c r="E177"/>
  <c r="E180" s="1"/>
  <c r="H175"/>
  <c r="G175"/>
  <c r="F175"/>
  <c r="E174"/>
  <c r="D174"/>
  <c r="D175" s="1"/>
  <c r="E173"/>
  <c r="E172"/>
  <c r="E175" s="1"/>
  <c r="H170"/>
  <c r="G170"/>
  <c r="F170"/>
  <c r="D170"/>
  <c r="E169"/>
  <c r="E168"/>
  <c r="E170" s="1"/>
  <c r="H161"/>
  <c r="G161"/>
  <c r="F161"/>
  <c r="D161"/>
  <c r="E159"/>
  <c r="E158"/>
  <c r="E161" s="1"/>
  <c r="H156"/>
  <c r="G156"/>
  <c r="F156"/>
  <c r="D156"/>
  <c r="E155"/>
  <c r="E154"/>
  <c r="E153"/>
  <c r="E156" s="1"/>
  <c r="H151"/>
  <c r="F151"/>
  <c r="D151"/>
  <c r="G150"/>
  <c r="E150"/>
  <c r="G149"/>
  <c r="G151" s="1"/>
  <c r="E148"/>
  <c r="E151" s="1"/>
  <c r="H146"/>
  <c r="G146"/>
  <c r="F146"/>
  <c r="D146"/>
  <c r="E144"/>
  <c r="E146" s="1"/>
  <c r="F141"/>
  <c r="H140"/>
  <c r="G140"/>
  <c r="E140"/>
  <c r="D140"/>
  <c r="H139"/>
  <c r="G139"/>
  <c r="E139"/>
  <c r="D139"/>
  <c r="D141" s="1"/>
  <c r="H138"/>
  <c r="H141" s="1"/>
  <c r="G138"/>
  <c r="G141" s="1"/>
  <c r="E138"/>
  <c r="E141" s="1"/>
  <c r="G136"/>
  <c r="F136"/>
  <c r="D136"/>
  <c r="H135"/>
  <c r="E135"/>
  <c r="H134"/>
  <c r="E134"/>
  <c r="E136" s="1"/>
  <c r="H133"/>
  <c r="H136" s="1"/>
  <c r="H131"/>
  <c r="G131"/>
  <c r="F131"/>
  <c r="D131"/>
  <c r="E130"/>
  <c r="E129"/>
  <c r="E131" s="1"/>
  <c r="F126"/>
  <c r="E126"/>
  <c r="H125"/>
  <c r="G125"/>
  <c r="D125"/>
  <c r="H124"/>
  <c r="G124"/>
  <c r="D124"/>
  <c r="H123"/>
  <c r="H126" s="1"/>
  <c r="G123"/>
  <c r="G126" s="1"/>
  <c r="D123"/>
  <c r="D126" s="1"/>
  <c r="H121"/>
  <c r="F121"/>
  <c r="E121"/>
  <c r="G120"/>
  <c r="G121" s="1"/>
  <c r="D120"/>
  <c r="D121" s="1"/>
  <c r="H116"/>
  <c r="G116"/>
  <c r="F116"/>
  <c r="E116"/>
  <c r="D116"/>
  <c r="H108"/>
  <c r="G108"/>
  <c r="F108"/>
  <c r="E108"/>
  <c r="D108"/>
  <c r="H103"/>
  <c r="G103"/>
  <c r="F103"/>
  <c r="E103"/>
  <c r="D103"/>
  <c r="H97"/>
  <c r="G97"/>
  <c r="F97"/>
  <c r="D97"/>
  <c r="E94"/>
  <c r="E97" s="1"/>
  <c r="H92"/>
  <c r="G92"/>
  <c r="F92"/>
  <c r="E92"/>
  <c r="D92"/>
  <c r="H87"/>
  <c r="G87"/>
  <c r="F87"/>
  <c r="E87"/>
  <c r="D87"/>
  <c r="G82"/>
  <c r="F82"/>
  <c r="D82"/>
  <c r="H81"/>
  <c r="H82" s="1"/>
  <c r="E81"/>
  <c r="E82" s="1"/>
  <c r="H77"/>
  <c r="G77"/>
  <c r="F77"/>
  <c r="E77"/>
  <c r="D77"/>
  <c r="H72"/>
  <c r="G72"/>
  <c r="F72"/>
  <c r="E72"/>
  <c r="D72"/>
  <c r="M71"/>
  <c r="H67"/>
  <c r="G67"/>
  <c r="F67"/>
  <c r="E67"/>
  <c r="D67"/>
  <c r="H62"/>
  <c r="G62"/>
  <c r="F62"/>
  <c r="E62"/>
  <c r="D62"/>
  <c r="H53"/>
  <c r="G53"/>
  <c r="F53"/>
  <c r="E53"/>
  <c r="D53"/>
  <c r="H48"/>
  <c r="G48"/>
  <c r="F48"/>
  <c r="E48"/>
  <c r="D48"/>
  <c r="H43"/>
  <c r="G43"/>
  <c r="F43"/>
  <c r="E43"/>
  <c r="D43"/>
  <c r="H38"/>
  <c r="G38"/>
  <c r="F38"/>
  <c r="E38"/>
  <c r="D38"/>
  <c r="H33"/>
  <c r="G33"/>
  <c r="F33"/>
  <c r="E33"/>
  <c r="D33"/>
  <c r="H28"/>
  <c r="G28"/>
  <c r="F28"/>
  <c r="E28"/>
  <c r="D28"/>
  <c r="H23"/>
  <c r="G23"/>
  <c r="F23"/>
  <c r="E23"/>
  <c r="D23"/>
  <c r="H18"/>
  <c r="G18"/>
  <c r="F18"/>
  <c r="E18"/>
  <c r="D18"/>
  <c r="H13"/>
  <c r="H248" s="1"/>
  <c r="G13"/>
  <c r="G248" s="1"/>
  <c r="F13"/>
  <c r="F248" s="1"/>
  <c r="E13"/>
  <c r="E248" s="1"/>
  <c r="D13"/>
  <c r="D248" s="1"/>
  <c r="I9"/>
  <c r="C10" s="1"/>
  <c r="I10" s="1"/>
  <c r="C11" s="1"/>
  <c r="I11" s="1"/>
  <c r="C12" s="1"/>
  <c r="I12" s="1"/>
  <c r="C15" s="1"/>
  <c r="I15" s="1"/>
  <c r="C16" s="1"/>
  <c r="I16" s="1"/>
  <c r="C17" s="1"/>
  <c r="I17" s="1"/>
  <c r="C20" s="1"/>
  <c r="I20" s="1"/>
  <c r="C21" s="1"/>
  <c r="I21" s="1"/>
  <c r="C22" s="1"/>
  <c r="I22" s="1"/>
  <c r="C25" s="1"/>
  <c r="I25" s="1"/>
  <c r="C26" s="1"/>
  <c r="I26" s="1"/>
  <c r="C27" s="1"/>
  <c r="I27" s="1"/>
  <c r="C30" s="1"/>
  <c r="I30" s="1"/>
  <c r="C31" s="1"/>
  <c r="I31" s="1"/>
  <c r="C32" s="1"/>
  <c r="I32" s="1"/>
  <c r="C35" s="1"/>
  <c r="I35" s="1"/>
  <c r="C36" s="1"/>
  <c r="I36" s="1"/>
  <c r="C37" s="1"/>
  <c r="I37" s="1"/>
  <c r="C40" s="1"/>
  <c r="I40" s="1"/>
  <c r="C41" s="1"/>
  <c r="I41" s="1"/>
  <c r="C42" s="1"/>
  <c r="I42" s="1"/>
  <c r="C45" s="1"/>
  <c r="I45" s="1"/>
  <c r="C46" s="1"/>
  <c r="I46" s="1"/>
  <c r="C47" s="1"/>
  <c r="I47" s="1"/>
  <c r="C50" s="1"/>
  <c r="I50" s="1"/>
  <c r="C51" s="1"/>
  <c r="I51" s="1"/>
  <c r="C52" s="1"/>
  <c r="I52" s="1"/>
  <c r="C59" s="1"/>
  <c r="I59" s="1"/>
  <c r="C60" s="1"/>
  <c r="I60" s="1"/>
  <c r="C61" s="1"/>
  <c r="I61" s="1"/>
  <c r="C64" s="1"/>
  <c r="I64" s="1"/>
  <c r="C65" s="1"/>
  <c r="I65" s="1"/>
  <c r="C66" s="1"/>
  <c r="I66" s="1"/>
  <c r="C69" s="1"/>
  <c r="I69" s="1"/>
  <c r="C70" s="1"/>
  <c r="I70" s="1"/>
  <c r="C71" s="1"/>
  <c r="I71" s="1"/>
  <c r="C74" s="1"/>
  <c r="I74" s="1"/>
  <c r="C75" s="1"/>
  <c r="I75" s="1"/>
  <c r="C76" s="1"/>
  <c r="I76" s="1"/>
  <c r="C79" l="1"/>
  <c r="I79" s="1"/>
  <c r="C80" s="1"/>
  <c r="I80" s="1"/>
  <c r="C81" s="1"/>
  <c r="I81" s="1"/>
  <c r="N76"/>
  <c r="N71"/>
  <c r="C84" l="1"/>
  <c r="I84" s="1"/>
  <c r="C85" s="1"/>
  <c r="I85" s="1"/>
  <c r="C86" s="1"/>
  <c r="I86" s="1"/>
  <c r="C89" s="1"/>
  <c r="I89" s="1"/>
  <c r="C90" s="1"/>
  <c r="I90" s="1"/>
  <c r="C91" s="1"/>
  <c r="I91" s="1"/>
  <c r="C94" s="1"/>
  <c r="I94" s="1"/>
  <c r="C95" s="1"/>
  <c r="I95" s="1"/>
  <c r="C96" s="1"/>
  <c r="I96" s="1"/>
  <c r="C100" s="1"/>
  <c r="I100" s="1"/>
  <c r="C101" s="1"/>
  <c r="I101" s="1"/>
  <c r="C102" s="1"/>
  <c r="I102" s="1"/>
  <c r="C105" s="1"/>
  <c r="I105" s="1"/>
  <c r="C106" s="1"/>
  <c r="I106" s="1"/>
  <c r="C107" s="1"/>
  <c r="I107" s="1"/>
  <c r="C113" s="1"/>
  <c r="I113" s="1"/>
  <c r="C114" s="1"/>
  <c r="I114" s="1"/>
  <c r="C115" s="1"/>
  <c r="I115" s="1"/>
  <c r="C118" s="1"/>
  <c r="I118" s="1"/>
  <c r="C119" s="1"/>
  <c r="I119" s="1"/>
  <c r="C120" s="1"/>
  <c r="I120" s="1"/>
  <c r="C123" s="1"/>
  <c r="I123" s="1"/>
  <c r="C124" s="1"/>
  <c r="I124" s="1"/>
  <c r="C125" s="1"/>
  <c r="I125" s="1"/>
  <c r="C128" s="1"/>
  <c r="I128" s="1"/>
  <c r="C129" s="1"/>
  <c r="I129" s="1"/>
  <c r="C130" s="1"/>
  <c r="I130" s="1"/>
  <c r="C133" s="1"/>
  <c r="I133" s="1"/>
  <c r="C134" s="1"/>
  <c r="I134" s="1"/>
  <c r="C135" s="1"/>
  <c r="I135" s="1"/>
  <c r="C138" s="1"/>
  <c r="I138" s="1"/>
  <c r="C139" s="1"/>
  <c r="I139" s="1"/>
  <c r="C140" s="1"/>
  <c r="I140" s="1"/>
  <c r="C143" s="1"/>
  <c r="I143" s="1"/>
  <c r="C144" s="1"/>
  <c r="I144" s="1"/>
  <c r="C145" s="1"/>
  <c r="I145" s="1"/>
  <c r="C148" s="1"/>
  <c r="I148" s="1"/>
  <c r="C149" s="1"/>
  <c r="I149" s="1"/>
  <c r="C150" s="1"/>
  <c r="I150" s="1"/>
  <c r="C153" s="1"/>
  <c r="I153" s="1"/>
  <c r="C154" s="1"/>
  <c r="I154" s="1"/>
  <c r="C155" s="1"/>
  <c r="I155" s="1"/>
  <c r="C158" s="1"/>
  <c r="I158" s="1"/>
  <c r="C159" s="1"/>
  <c r="I159" s="1"/>
  <c r="C160" s="1"/>
  <c r="I160" s="1"/>
  <c r="C167" s="1"/>
  <c r="I167" s="1"/>
  <c r="C168" s="1"/>
  <c r="I168" s="1"/>
  <c r="C169" s="1"/>
  <c r="I169" s="1"/>
  <c r="C172" s="1"/>
  <c r="I172" s="1"/>
  <c r="C173" s="1"/>
  <c r="I173" s="1"/>
  <c r="C174" s="1"/>
  <c r="I174" s="1"/>
  <c r="C177" s="1"/>
  <c r="I177" s="1"/>
  <c r="C178" s="1"/>
  <c r="I178" s="1"/>
  <c r="C179" s="1"/>
  <c r="I179" s="1"/>
  <c r="C182" s="1"/>
  <c r="I182" s="1"/>
  <c r="C183" s="1"/>
  <c r="I183" s="1"/>
  <c r="C184" s="1"/>
  <c r="I184" s="1"/>
  <c r="C187" s="1"/>
  <c r="I187" s="1"/>
  <c r="C188" s="1"/>
  <c r="I188" s="1"/>
  <c r="C189" s="1"/>
  <c r="I189" s="1"/>
  <c r="C192" s="1"/>
  <c r="I192" s="1"/>
  <c r="C193" s="1"/>
  <c r="I193" s="1"/>
  <c r="C194" s="1"/>
  <c r="I194" s="1"/>
  <c r="C197" s="1"/>
  <c r="I197" s="1"/>
  <c r="C198" s="1"/>
  <c r="I198" s="1"/>
  <c r="C199" s="1"/>
  <c r="I199" s="1"/>
  <c r="C202" s="1"/>
  <c r="I202" s="1"/>
  <c r="C203" s="1"/>
  <c r="I203" s="1"/>
  <c r="C204" s="1"/>
  <c r="I204" s="1"/>
  <c r="C207" s="1"/>
  <c r="I207" s="1"/>
  <c r="C208" s="1"/>
  <c r="I208" s="1"/>
  <c r="C209" s="1"/>
  <c r="I209" s="1"/>
  <c r="C212" s="1"/>
  <c r="I212" s="1"/>
  <c r="C213" s="1"/>
  <c r="I213" s="1"/>
  <c r="C214" s="1"/>
  <c r="I214" s="1"/>
  <c r="C217" s="1"/>
  <c r="I217" s="1"/>
  <c r="C218" s="1"/>
  <c r="I218" s="1"/>
  <c r="C219" s="1"/>
  <c r="I219" s="1"/>
  <c r="C224" s="1"/>
  <c r="I224" s="1"/>
  <c r="C225" s="1"/>
  <c r="I225" s="1"/>
  <c r="C226" s="1"/>
  <c r="I226" s="1"/>
  <c r="C229" s="1"/>
  <c r="I229" s="1"/>
  <c r="C230" s="1"/>
  <c r="I230" s="1"/>
  <c r="C231" s="1"/>
  <c r="I231" s="1"/>
  <c r="C234" s="1"/>
  <c r="I234" s="1"/>
  <c r="C235" s="1"/>
  <c r="I235" s="1"/>
  <c r="C236" s="1"/>
  <c r="I236" s="1"/>
  <c r="C239" s="1"/>
  <c r="I239" s="1"/>
  <c r="C240" s="1"/>
  <c r="I240" s="1"/>
  <c r="C241" s="1"/>
  <c r="I241" s="1"/>
  <c r="C244" s="1"/>
  <c r="I244" s="1"/>
  <c r="C245" s="1"/>
  <c r="I245" s="1"/>
  <c r="C246" s="1"/>
  <c r="I246" s="1"/>
  <c r="N81"/>
</calcChain>
</file>

<file path=xl/sharedStrings.xml><?xml version="1.0" encoding="utf-8"?>
<sst xmlns="http://schemas.openxmlformats.org/spreadsheetml/2006/main" count="1316" uniqueCount="107">
  <si>
    <t>`</t>
  </si>
  <si>
    <t>Rocky Mountain Power</t>
  </si>
  <si>
    <t xml:space="preserve">Utah Low Income Lifeline Program Reporting </t>
  </si>
  <si>
    <t>For the Period September 2000 - December 2011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</si>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</sst>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3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2" fillId="0" borderId="0" xfId="1" applyNumberFormat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0" fontId="8" fillId="0" borderId="0" xfId="1" applyNumberFormat="1" applyFont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5"/>
  <sheetViews>
    <sheetView tabSelected="1" view="pageBreakPreview" zoomScale="60" zoomScaleNormal="100" workbookViewId="0">
      <selection sqref="A1:J1"/>
    </sheetView>
  </sheetViews>
  <sheetFormatPr defaultRowHeight="12.75"/>
  <cols>
    <col min="2" max="2" width="11.5" customWidth="1"/>
    <col min="3" max="3" width="18.83203125" style="7" bestFit="1" customWidth="1"/>
    <col min="4" max="4" width="25.5" style="7" bestFit="1" customWidth="1"/>
    <col min="5" max="5" width="24" style="7" bestFit="1" customWidth="1"/>
    <col min="6" max="6" width="27.33203125" style="7" customWidth="1"/>
    <col min="7" max="7" width="23.6640625" style="7" customWidth="1"/>
    <col min="8" max="8" width="20.5" style="7" customWidth="1"/>
    <col min="9" max="9" width="19.83203125" style="7" customWidth="1"/>
    <col min="10" max="10" width="20.5" style="7" customWidth="1"/>
    <col min="11" max="11" width="17.332031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2"/>
      <c r="M1" s="2"/>
      <c r="N1" s="2"/>
    </row>
    <row r="2" spans="1:14" ht="18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1"/>
      <c r="L2" s="2"/>
      <c r="M2" s="2"/>
      <c r="N2" s="2"/>
    </row>
    <row r="3" spans="1:14" ht="18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1"/>
      <c r="L3" s="2"/>
      <c r="M3" s="2"/>
      <c r="N3" s="2"/>
    </row>
    <row r="4" spans="1:14" ht="18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1"/>
      <c r="L4" s="2"/>
      <c r="M4" s="2"/>
      <c r="N4" s="2"/>
    </row>
    <row r="5" spans="1:14" ht="18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5.7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4" ht="15" customHeight="1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4" ht="15" customHeight="1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4" ht="15.7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4" ht="18">
      <c r="A12" s="5"/>
      <c r="B12" s="5" t="s">
        <v>21</v>
      </c>
      <c r="C12" s="16">
        <f>I11</f>
        <v>-362064.38000000006</v>
      </c>
      <c r="D12" s="17">
        <v>-157134.48000000001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4" ht="15.7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9180.2800000000007</v>
      </c>
      <c r="H13" s="20">
        <f>SUM(H9:H12)</f>
        <v>-5158.3900000000003</v>
      </c>
      <c r="I13" s="14"/>
      <c r="J13" s="6"/>
    </row>
    <row r="14" spans="1:14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4" ht="15.75">
      <c r="A15" s="12">
        <v>2001</v>
      </c>
      <c r="B15" s="5" t="s">
        <v>23</v>
      </c>
      <c r="C15" s="6">
        <f>I12</f>
        <v>-513984.8000000001</v>
      </c>
      <c r="D15" s="21">
        <v>-157395.98000000001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-638491.45000000019</v>
      </c>
      <c r="J15" s="6"/>
    </row>
    <row r="16" spans="1:14" ht="15.75">
      <c r="A16" s="5"/>
      <c r="B16" s="5" t="s">
        <v>24</v>
      </c>
      <c r="C16" s="6">
        <f>I15</f>
        <v>-638491.45000000019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-735112.87000000011</v>
      </c>
      <c r="J17" s="6"/>
    </row>
    <row r="18" spans="1:10" ht="15.7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27</v>
      </c>
      <c r="B20" s="5" t="s">
        <v>28</v>
      </c>
      <c r="C20" s="6">
        <f>I17</f>
        <v>-735112.87000000011</v>
      </c>
      <c r="D20" s="21">
        <v>-155632.22</v>
      </c>
      <c r="E20" s="21">
        <v>70.94</v>
      </c>
      <c r="F20" s="21">
        <v>0</v>
      </c>
      <c r="G20" s="21">
        <v>134926.39000000001</v>
      </c>
      <c r="H20" s="22">
        <v>-4491.96</v>
      </c>
      <c r="I20" s="14">
        <f>C20+D20+E20+F20+G20+H20</f>
        <v>-760239.72000000009</v>
      </c>
      <c r="J20" s="6"/>
    </row>
    <row r="21" spans="1:10" ht="15.75">
      <c r="A21" s="5"/>
      <c r="B21" s="5" t="s">
        <v>29</v>
      </c>
      <c r="C21" s="6">
        <f>I20</f>
        <v>-760239.72000000009</v>
      </c>
      <c r="D21" s="21">
        <v>-159152.26999999999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845.09999999999991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-4616.2299999999996</v>
      </c>
      <c r="I25" s="14">
        <f>C25+D25+E25+F25+G25+H25</f>
        <v>-780211.66</v>
      </c>
      <c r="J25" s="6"/>
    </row>
    <row r="26" spans="1:10" ht="15.75">
      <c r="A26" s="5"/>
      <c r="B26" s="5" t="s">
        <v>33</v>
      </c>
      <c r="C26" s="6">
        <f>I25</f>
        <v>-780211.66</v>
      </c>
      <c r="D26" s="21">
        <v>-159203.79999999999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18</v>
      </c>
      <c r="C27" s="6">
        <f>I26</f>
        <v>-818681.84</v>
      </c>
      <c r="D27" s="21">
        <v>-159673.67000000001</v>
      </c>
      <c r="E27" s="21">
        <v>1369.75</v>
      </c>
      <c r="F27" s="21">
        <v>0</v>
      </c>
      <c r="G27" s="21">
        <v>119798.57</v>
      </c>
      <c r="H27" s="22">
        <v>-5049.3900000000003</v>
      </c>
      <c r="I27" s="14">
        <f>C27+D27+E27+F27+G27+H27</f>
        <v>-862236.58</v>
      </c>
      <c r="J27" s="6"/>
    </row>
    <row r="28" spans="1:10" ht="15.7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19</v>
      </c>
      <c r="C30" s="6">
        <f>I27</f>
        <v>-862236.58</v>
      </c>
      <c r="D30" s="21">
        <v>-159560.14000000001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-911465.86999999988</v>
      </c>
      <c r="J30" s="6"/>
    </row>
    <row r="31" spans="1:10" ht="15.75">
      <c r="A31" s="5"/>
      <c r="B31" s="5" t="s">
        <v>20</v>
      </c>
      <c r="C31" s="6">
        <f>I30</f>
        <v>-911465.86999999988</v>
      </c>
      <c r="D31" s="21">
        <v>-160988.94</v>
      </c>
      <c r="E31" s="21">
        <v>64.760000000000005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-968579.72999999986</v>
      </c>
      <c r="J31" s="6"/>
    </row>
    <row r="32" spans="1:10" ht="15.75">
      <c r="A32" s="5"/>
      <c r="B32" s="5" t="s">
        <v>21</v>
      </c>
      <c r="C32" s="6">
        <f>I31</f>
        <v>-968579.72999999986</v>
      </c>
      <c r="D32" s="21">
        <v>-148605.51999999999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508843.83000000007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-989442.95999999961</v>
      </c>
      <c r="J40" s="6"/>
    </row>
    <row r="41" spans="1:10" ht="15.75">
      <c r="A41" s="5"/>
      <c r="B41" s="5" t="s">
        <v>29</v>
      </c>
      <c r="C41" s="6">
        <f>I40</f>
        <v>-989442.95999999961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-943610.58999999962</v>
      </c>
      <c r="J41" s="6"/>
    </row>
    <row r="42" spans="1:10" ht="15.75">
      <c r="A42" s="5"/>
      <c r="B42" s="5" t="s">
        <v>30</v>
      </c>
      <c r="C42" s="6">
        <f>I41</f>
        <v>-943610.58999999962</v>
      </c>
      <c r="D42" s="21">
        <v>-160707.20000000001</v>
      </c>
      <c r="E42" s="21">
        <v>0</v>
      </c>
      <c r="F42" s="21">
        <v>0</v>
      </c>
      <c r="G42" s="21">
        <v>165250.54999999999</v>
      </c>
      <c r="H42" s="22">
        <v>-5672.51</v>
      </c>
      <c r="I42" s="14">
        <f>C42+D42+E42+F42+G42+H42</f>
        <v>-944739.74999999953</v>
      </c>
      <c r="J42" s="6"/>
    </row>
    <row r="43" spans="1:10" ht="15.7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584866.31000000006</v>
      </c>
      <c r="H43" s="20">
        <f>SUM(H40:H42)</f>
        <v>-17546.400000000001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32</v>
      </c>
      <c r="C45" s="6">
        <f>I42</f>
        <v>-944739.74999999953</v>
      </c>
      <c r="D45" s="21">
        <v>-165340.01999999999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27</v>
      </c>
      <c r="B50" s="5" t="s">
        <v>19</v>
      </c>
      <c r="C50" s="6">
        <f>I47</f>
        <v>-1049902.6199999994</v>
      </c>
      <c r="D50" s="21">
        <v>-163272.95999999999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-20196.900000000001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159474.85999999999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-7358.2711574652803</v>
      </c>
      <c r="I64" s="14">
        <f>C64+D64+E64+F64+G64+H64</f>
        <v>-1218988.1511574639</v>
      </c>
      <c r="J64" s="6"/>
    </row>
    <row r="65" spans="1:14" ht="15.75">
      <c r="A65" s="5"/>
      <c r="B65" s="5" t="s">
        <v>29</v>
      </c>
      <c r="C65" s="6">
        <f>I64</f>
        <v>-1218988.1511574639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-1202258.4527390341</v>
      </c>
      <c r="J65" s="6"/>
    </row>
    <row r="66" spans="1:14" ht="15.75">
      <c r="A66" s="5"/>
      <c r="B66" s="5" t="s">
        <v>30</v>
      </c>
      <c r="C66" s="6">
        <f>I65</f>
        <v>-1202258.4527390341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-7225.3024522607093</v>
      </c>
      <c r="I66" s="14">
        <f>C66+D66+E66+F66+G66+H66+K66</f>
        <v>-1203009.4751912947</v>
      </c>
      <c r="J66" s="6"/>
      <c r="K66" s="7">
        <v>0</v>
      </c>
    </row>
    <row r="67" spans="1:14" ht="15.7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4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4" ht="15.75">
      <c r="A69" s="12" t="s">
        <v>27</v>
      </c>
      <c r="B69" s="5" t="s">
        <v>32</v>
      </c>
      <c r="C69" s="6">
        <f>I66</f>
        <v>-1203009.4751912947</v>
      </c>
      <c r="D69" s="21">
        <v>-167563.45000000001</v>
      </c>
      <c r="E69" s="21">
        <v>320.82</v>
      </c>
      <c r="F69" s="21">
        <v>0</v>
      </c>
      <c r="G69" s="21">
        <v>140299.42000000001</v>
      </c>
      <c r="H69" s="22">
        <v>-7330.52</v>
      </c>
      <c r="I69" s="14">
        <f>C69+D69+E69+F69+G69+H69</f>
        <v>-1237283.2051912947</v>
      </c>
      <c r="J69" s="6"/>
    </row>
    <row r="70" spans="1:14" ht="15.7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133100.70000000001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4" ht="15.7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4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4" ht="15.75">
      <c r="A74" s="12" t="s">
        <v>27</v>
      </c>
      <c r="B74" s="5" t="s">
        <v>19</v>
      </c>
      <c r="C74" s="6">
        <f>I71</f>
        <v>-1322567.8851912946</v>
      </c>
      <c r="D74" s="21">
        <v>-164424.14000000001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4" ht="15.7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569.70000000000005</v>
      </c>
      <c r="F76" s="21">
        <v>0</v>
      </c>
      <c r="G76" s="21">
        <v>128207.54</v>
      </c>
      <c r="H76" s="22">
        <v>-8778.7099999999991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4" ht="15.75">
      <c r="A77" s="5"/>
      <c r="B77" s="9" t="s">
        <v>44</v>
      </c>
      <c r="C77" s="6"/>
      <c r="D77" s="20">
        <f>SUM(D74:D76)</f>
        <v>-497605.5</v>
      </c>
      <c r="E77" s="20">
        <f>SUM(E74:E76)</f>
        <v>1076.0999999999999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4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138532.20000000001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4" ht="15.7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157770.76999999999</v>
      </c>
      <c r="H80" s="22">
        <v>-8970.7999999999993</v>
      </c>
      <c r="I80" s="14">
        <f>C80+D80+E80+F80+G80+H80</f>
        <v>-1525368.9451912942</v>
      </c>
      <c r="J80" s="6"/>
    </row>
    <row r="81" spans="1:15" ht="15.7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-4.8087057657539845E-3</v>
      </c>
      <c r="O81" s="15" t="s">
        <v>27</v>
      </c>
    </row>
    <row r="82" spans="1:15" ht="15.7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5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5" ht="15.7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5" ht="15.7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-9359.0499999999993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5" ht="15.7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5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5" ht="15.7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5" ht="15.7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-1667322.8151912941</v>
      </c>
      <c r="J90" s="6"/>
    </row>
    <row r="91" spans="1:15" ht="15.75">
      <c r="A91" s="5"/>
      <c r="B91" s="5" t="s">
        <v>18</v>
      </c>
      <c r="C91" s="6">
        <f>I90</f>
        <v>-1667322.8151912941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5" ht="15.7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5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5" ht="15.7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-1802722.8151912941</v>
      </c>
      <c r="J94" s="6"/>
      <c r="N94" s="15"/>
    </row>
    <row r="95" spans="1:15" ht="15.75">
      <c r="A95" s="5"/>
      <c r="B95" s="5" t="s">
        <v>20</v>
      </c>
      <c r="C95" s="6">
        <f>I94</f>
        <v>-1802722.8151912941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5" ht="15.7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5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5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5" ht="15.7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5" ht="15.7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5" ht="15.7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-35677.539999999994</v>
      </c>
      <c r="I103" s="14"/>
      <c r="J103" s="6"/>
    </row>
    <row r="104" spans="1:15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5" ht="15.7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163033.39000000001</v>
      </c>
      <c r="H105" s="22">
        <v>-12265.85</v>
      </c>
      <c r="I105" s="14">
        <f>C105+D105+E105+F105+G105+H105+K105</f>
        <v>-2052136.1351912939</v>
      </c>
      <c r="J105" s="6"/>
      <c r="N105" s="15"/>
    </row>
    <row r="106" spans="1:15" ht="15.75">
      <c r="A106" s="5"/>
      <c r="B106" s="5" t="s">
        <v>29</v>
      </c>
      <c r="C106" s="6">
        <f>I105</f>
        <v>-2052136.1351912939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-2064848.4251912939</v>
      </c>
      <c r="J106" s="6"/>
    </row>
    <row r="107" spans="1:15" ht="15.75">
      <c r="A107" s="5"/>
      <c r="B107" s="5" t="s">
        <v>30</v>
      </c>
      <c r="C107" s="6">
        <f>I106</f>
        <v>-2064848.4251912939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-2084223.3351912941</v>
      </c>
      <c r="J107" s="6"/>
      <c r="K107" s="7">
        <v>0</v>
      </c>
      <c r="N107" s="15"/>
      <c r="O107" s="15" t="s">
        <v>27</v>
      </c>
    </row>
    <row r="108" spans="1:15" ht="15.7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5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5" ht="15.7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5" ht="15" customHeight="1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5" ht="15" customHeight="1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5" ht="15.75">
      <c r="A113" s="12" t="s">
        <v>27</v>
      </c>
      <c r="B113" s="5" t="s">
        <v>32</v>
      </c>
      <c r="C113" s="6">
        <f>I107</f>
        <v>-2084223.3351912941</v>
      </c>
      <c r="D113" s="21">
        <v>-174662.68</v>
      </c>
      <c r="E113" s="21">
        <v>1694</v>
      </c>
      <c r="F113" s="21">
        <v>0</v>
      </c>
      <c r="G113" s="21">
        <v>161022.04999999999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5" ht="15.7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156368.42000000001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5" ht="15.7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5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5" ht="15.7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-2207535.4851912949</v>
      </c>
      <c r="J118" s="6"/>
      <c r="N118" s="15"/>
    </row>
    <row r="119" spans="1:15" ht="15.75">
      <c r="A119" s="5"/>
      <c r="B119" s="5" t="s">
        <v>20</v>
      </c>
      <c r="C119" s="6">
        <f>I118</f>
        <v>-2207535.4851912949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-2253077.1251912951</v>
      </c>
      <c r="J119" s="6"/>
    </row>
    <row r="120" spans="1:15" ht="15.75">
      <c r="A120" s="5"/>
      <c r="B120" s="5" t="s">
        <v>21</v>
      </c>
      <c r="C120" s="6">
        <f>I119</f>
        <v>-2253077.1251912951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-743760.61519129504</v>
      </c>
      <c r="J120" s="6"/>
      <c r="K120" s="7">
        <v>0</v>
      </c>
      <c r="N120" s="15"/>
      <c r="O120" s="15" t="s">
        <v>27</v>
      </c>
    </row>
    <row r="121" spans="1:15" ht="15.7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-35531.089999999997</v>
      </c>
      <c r="I121" s="14"/>
      <c r="J121" s="6"/>
    </row>
    <row r="122" spans="1:15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5" ht="15.75">
      <c r="A123" s="12">
        <v>2006</v>
      </c>
      <c r="B123" s="5" t="s">
        <v>23</v>
      </c>
      <c r="C123" s="6">
        <f>I120</f>
        <v>-743760.61519129504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-544006.86519129516</v>
      </c>
      <c r="J123" s="6"/>
      <c r="N123" s="15"/>
    </row>
    <row r="124" spans="1:15" ht="15.75">
      <c r="A124" s="5"/>
      <c r="B124" s="5" t="s">
        <v>24</v>
      </c>
      <c r="C124" s="6">
        <f>I123</f>
        <v>-544006.86519129516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-514560.00519129517</v>
      </c>
      <c r="J124" s="6"/>
    </row>
    <row r="125" spans="1:15" ht="15.75">
      <c r="A125" s="5"/>
      <c r="B125" s="5" t="s">
        <v>25</v>
      </c>
      <c r="C125" s="6">
        <f>I124</f>
        <v>-514560.00519129517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-383961.70519129513</v>
      </c>
      <c r="J125" s="6"/>
      <c r="K125" s="7">
        <v>0</v>
      </c>
      <c r="N125" s="15"/>
      <c r="O125" s="15" t="s">
        <v>27</v>
      </c>
    </row>
    <row r="126" spans="1:15" ht="15.7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5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5" ht="15.75">
      <c r="A128" s="12" t="s">
        <v>27</v>
      </c>
      <c r="B128" s="5" t="s">
        <v>28</v>
      </c>
      <c r="C128" s="6">
        <f>I125</f>
        <v>-383961.70519129513</v>
      </c>
      <c r="D128" s="21">
        <v>-147678.95000000001</v>
      </c>
      <c r="E128" s="21">
        <v>733.49</v>
      </c>
      <c r="F128" s="21">
        <v>0</v>
      </c>
      <c r="G128" s="21">
        <v>204672.11</v>
      </c>
      <c r="H128" s="22">
        <v>-2139.8200000000002</v>
      </c>
      <c r="I128" s="14">
        <f>C128+D128+E128+F128+G128+H128+K128</f>
        <v>-328374.87519129511</v>
      </c>
      <c r="J128" s="6"/>
      <c r="N128" s="15"/>
    </row>
    <row r="129" spans="1:15" ht="15.75">
      <c r="A129" s="5"/>
      <c r="B129" s="5" t="s">
        <v>29</v>
      </c>
      <c r="C129" s="6">
        <f>I128</f>
        <v>-328374.87519129511</v>
      </c>
      <c r="D129" s="21">
        <v>-149566.92000000001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30</v>
      </c>
      <c r="C130" s="6">
        <f>I129</f>
        <v>-271122.01519129507</v>
      </c>
      <c r="D130" s="21">
        <v>-148363.35999999999</v>
      </c>
      <c r="E130" s="21">
        <f>-907.84+71.8</f>
        <v>-836.04000000000008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5" ht="15.7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76.749999999999886</v>
      </c>
      <c r="F131" s="20">
        <f>SUM(F128:F130)</f>
        <v>0</v>
      </c>
      <c r="G131" s="20">
        <f>SUM(G128:G130)</f>
        <v>624010.40999999992</v>
      </c>
      <c r="H131" s="20">
        <f>SUM(H128:H130)</f>
        <v>-5388.5700000000006</v>
      </c>
      <c r="I131" s="14"/>
      <c r="J131" s="6"/>
    </row>
    <row r="132" spans="1:15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5" ht="15.75">
      <c r="A133" s="12" t="s">
        <v>27</v>
      </c>
      <c r="B133" s="5" t="s">
        <v>32</v>
      </c>
      <c r="C133" s="6">
        <f>I130</f>
        <v>-210872.34519129505</v>
      </c>
      <c r="D133" s="21">
        <v>-149509.35999999999</v>
      </c>
      <c r="E133" s="21">
        <v>-2151.85</v>
      </c>
      <c r="F133" s="21">
        <v>0</v>
      </c>
      <c r="G133" s="21">
        <v>209191.5</v>
      </c>
      <c r="H133" s="22">
        <f>-1097.38</f>
        <v>-1097.3800000000001</v>
      </c>
      <c r="I133" s="14">
        <f>C133+D133+E133+F133+G133+H133+K133</f>
        <v>-154439.43519129499</v>
      </c>
      <c r="J133" s="6"/>
      <c r="N133" s="15"/>
    </row>
    <row r="134" spans="1:15" ht="15.75">
      <c r="A134" s="5"/>
      <c r="B134" s="5" t="s">
        <v>33</v>
      </c>
      <c r="C134" s="6">
        <f>I133</f>
        <v>-154439.43519129499</v>
      </c>
      <c r="D134" s="21">
        <v>-151427.67000000001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-74542.695191295032</v>
      </c>
      <c r="J134" s="6"/>
    </row>
    <row r="135" spans="1:15" ht="15.75">
      <c r="A135" s="5"/>
      <c r="B135" s="5" t="s">
        <v>18</v>
      </c>
      <c r="C135" s="6">
        <f>I134</f>
        <v>-74542.695191295032</v>
      </c>
      <c r="D135" s="21">
        <v>-149280.59</v>
      </c>
      <c r="E135" s="21">
        <f>-1219.11+1292.22</f>
        <v>73.110000000000127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-36138.465191295043</v>
      </c>
      <c r="J135" s="6"/>
      <c r="K135" s="7">
        <v>0</v>
      </c>
      <c r="N135" s="15"/>
      <c r="O135" s="15" t="s">
        <v>27</v>
      </c>
    </row>
    <row r="136" spans="1:15" ht="15.7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597793.94999999995</v>
      </c>
      <c r="H136" s="20">
        <f>SUM(H133:H135)</f>
        <v>-2117.71</v>
      </c>
      <c r="I136" s="14"/>
      <c r="J136" s="6"/>
    </row>
    <row r="137" spans="1:15" ht="15.7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5" ht="15.75">
      <c r="A138" s="12" t="s">
        <v>27</v>
      </c>
      <c r="B138" s="5" t="s">
        <v>19</v>
      </c>
      <c r="C138" s="6">
        <f>I135</f>
        <v>-36138.465191295043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5" ht="15.75">
      <c r="A139" s="5"/>
      <c r="B139" s="5" t="s">
        <v>20</v>
      </c>
      <c r="C139" s="6">
        <f>I138</f>
        <v>-12577.745191295053</v>
      </c>
      <c r="D139" s="21">
        <f>-151565.64</f>
        <v>-151565.64000000001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8247.2048087049425</v>
      </c>
      <c r="J139" s="6"/>
    </row>
    <row r="140" spans="1:15" ht="15.75">
      <c r="A140" s="5"/>
      <c r="B140" s="5" t="s">
        <v>21</v>
      </c>
      <c r="C140" s="6">
        <f>I139</f>
        <v>8247.2048087049425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5" ht="15.7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5" ht="15.7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5" ht="15.7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5" ht="15.7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98.019999999999982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5" ht="15.75">
      <c r="A146" s="5"/>
      <c r="B146" s="9" t="s">
        <v>57</v>
      </c>
      <c r="C146" s="6"/>
      <c r="D146" s="20">
        <f>SUM(D143:D145)</f>
        <v>-601241.32999999996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5" ht="15.7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5" ht="15.7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5" ht="15.7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38600.074808704871</v>
      </c>
      <c r="J149" s="6"/>
    </row>
    <row r="150" spans="1:15" ht="15.75">
      <c r="A150" s="5"/>
      <c r="B150" s="5" t="s">
        <v>30</v>
      </c>
      <c r="C150" s="6">
        <f>I149</f>
        <v>38600.074808704871</v>
      </c>
      <c r="D150" s="21">
        <v>-203576.52</v>
      </c>
      <c r="E150" s="21">
        <f>-82.65+70.49</f>
        <v>-12.160000000000011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5" ht="15.7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625534.32999999996</v>
      </c>
      <c r="H151" s="20">
        <f>SUM(H148:H150)</f>
        <v>476.91</v>
      </c>
      <c r="I151" s="14"/>
      <c r="J151" s="6"/>
    </row>
    <row r="152" spans="1:15" ht="15.7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5" ht="15.7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5" ht="15.7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20.190000000000001</v>
      </c>
      <c r="I154" s="14">
        <f>C154+D154+E154+F154+G154+H154</f>
        <v>8618.2048087048443</v>
      </c>
      <c r="J154" s="6"/>
    </row>
    <row r="155" spans="1:15" ht="15.75">
      <c r="A155" s="5"/>
      <c r="B155" s="5" t="s">
        <v>18</v>
      </c>
      <c r="C155" s="6">
        <f>I154</f>
        <v>8618.2048087048443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-26297.995191295151</v>
      </c>
      <c r="J155" s="6"/>
      <c r="K155" s="7">
        <v>0</v>
      </c>
      <c r="N155" s="15"/>
      <c r="O155" s="15" t="s">
        <v>27</v>
      </c>
    </row>
    <row r="156" spans="1:15" ht="15.75">
      <c r="A156" s="5"/>
      <c r="B156" s="9" t="s">
        <v>59</v>
      </c>
      <c r="C156" s="6"/>
      <c r="D156" s="20">
        <f>SUM(D153:D155)</f>
        <v>-615699.94999999995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5" ht="15.7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5" ht="15.75">
      <c r="A158" s="12" t="s">
        <v>27</v>
      </c>
      <c r="B158" s="5" t="s">
        <v>19</v>
      </c>
      <c r="C158" s="6">
        <f>I155</f>
        <v>-26297.995191295151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-62524.985191295149</v>
      </c>
      <c r="J158" s="6"/>
      <c r="N158" s="15"/>
    </row>
    <row r="159" spans="1:15" ht="15.75">
      <c r="A159" s="5"/>
      <c r="B159" s="5" t="s">
        <v>20</v>
      </c>
      <c r="C159" s="6">
        <f>I158</f>
        <v>-62524.985191295149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>
      <c r="A160" s="5"/>
      <c r="B160" s="5" t="s">
        <v>21</v>
      </c>
      <c r="C160" s="6">
        <f>I159</f>
        <v>-106127.51519129513</v>
      </c>
      <c r="D160" s="21">
        <v>-209528.32000000001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5" ht="15.7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913.31999999999994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5" ht="15.7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5" ht="15.7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5" ht="15.7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5" ht="15" customHeight="1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5" ht="15" customHeight="1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5" ht="15.75">
      <c r="A167" s="12">
        <v>2008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5" ht="15.7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5" ht="15.7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559824.59000000008</v>
      </c>
      <c r="H170" s="20">
        <f>SUM(H167:H169)</f>
        <v>-3344.64</v>
      </c>
      <c r="I170" s="14"/>
      <c r="J170" s="6"/>
    </row>
    <row r="171" spans="1:15" ht="15.7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5" ht="15.75">
      <c r="A172" s="12" t="s">
        <v>27</v>
      </c>
      <c r="B172" s="5" t="s">
        <v>28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-1268.3699999999999</v>
      </c>
      <c r="I172" s="14">
        <f>C172+D172+E172+F172+G172+H172+K172</f>
        <v>-210741.77519129516</v>
      </c>
      <c r="J172" s="6"/>
      <c r="N172" s="15"/>
      <c r="O172" t="s">
        <v>27</v>
      </c>
    </row>
    <row r="173" spans="1:15" ht="15.75">
      <c r="A173" s="5"/>
      <c r="B173" s="5" t="s">
        <v>29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>
      <c r="A174" s="5"/>
      <c r="B174" s="5" t="s">
        <v>30</v>
      </c>
      <c r="C174" s="6">
        <f>I173</f>
        <v>-202795.22519129512</v>
      </c>
      <c r="D174" s="21">
        <f>-208475.05</f>
        <v>-208475.05</v>
      </c>
      <c r="E174" s="21">
        <f>28.2+732.72</f>
        <v>760.92000000000007</v>
      </c>
      <c r="F174" s="21">
        <v>0</v>
      </c>
      <c r="G174" s="21">
        <v>209603.02</v>
      </c>
      <c r="H174" s="22">
        <v>-1216.3499999999999</v>
      </c>
      <c r="I174" s="14">
        <f>C174+D174+E174+F174+G174+H174+K174</f>
        <v>-202122.68519129511</v>
      </c>
      <c r="J174" s="6"/>
      <c r="K174" s="7">
        <v>0</v>
      </c>
      <c r="N174" s="15"/>
      <c r="O174" s="15" t="s">
        <v>27</v>
      </c>
    </row>
    <row r="175" spans="1:15" ht="15.75">
      <c r="A175" s="5"/>
      <c r="B175" s="9" t="s">
        <v>63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632930.32999999996</v>
      </c>
      <c r="H175" s="20">
        <f>SUM(H172:H174)</f>
        <v>-3726.9599999999996</v>
      </c>
      <c r="I175" s="14"/>
      <c r="J175" s="6"/>
      <c r="N175" t="s">
        <v>27</v>
      </c>
    </row>
    <row r="176" spans="1:15" ht="15.75">
      <c r="A176" s="5"/>
      <c r="B176" s="9"/>
      <c r="C176" s="6"/>
      <c r="D176" s="20"/>
      <c r="E176" s="20"/>
      <c r="F176" s="20"/>
      <c r="G176" s="20"/>
      <c r="H176" s="20"/>
      <c r="I176" s="14"/>
      <c r="J176" s="6"/>
    </row>
    <row r="177" spans="1:15" ht="15.75">
      <c r="A177" s="12" t="s">
        <v>27</v>
      </c>
      <c r="B177" s="5" t="s">
        <v>32</v>
      </c>
      <c r="C177" s="6">
        <f>I174</f>
        <v>-202122.68519129511</v>
      </c>
      <c r="D177" s="21">
        <v>-209808.62</v>
      </c>
      <c r="E177" s="21">
        <f>14.59+69.56</f>
        <v>84.15</v>
      </c>
      <c r="F177" s="21">
        <v>0</v>
      </c>
      <c r="G177" s="21">
        <v>180897.71</v>
      </c>
      <c r="H177" s="22">
        <v>-1304.8499999999999</v>
      </c>
      <c r="I177" s="14">
        <f>C177+D177+E177+F177+G177+H177+K177</f>
        <v>-232254.2951912951</v>
      </c>
      <c r="J177" s="6"/>
      <c r="N177" s="15"/>
    </row>
    <row r="178" spans="1:15" ht="15.75">
      <c r="A178" s="5"/>
      <c r="B178" s="5" t="s">
        <v>33</v>
      </c>
      <c r="C178" s="6">
        <f>I177</f>
        <v>-232254.2951912951</v>
      </c>
      <c r="D178" s="21">
        <v>-209497.88</v>
      </c>
      <c r="E178" s="21">
        <f>-35.97+69.56</f>
        <v>33.590000000000003</v>
      </c>
      <c r="F178" s="21">
        <v>0</v>
      </c>
      <c r="G178" s="21">
        <v>177026</v>
      </c>
      <c r="H178" s="22">
        <v>-1497.3</v>
      </c>
      <c r="I178" s="14">
        <f>C178+D178+E178+F178+G178+H178</f>
        <v>-266189.88519129506</v>
      </c>
      <c r="J178" s="6"/>
    </row>
    <row r="179" spans="1:15" ht="15.75">
      <c r="A179" s="5"/>
      <c r="B179" s="5" t="s">
        <v>18</v>
      </c>
      <c r="C179" s="6">
        <f>I178</f>
        <v>-266189.88519129506</v>
      </c>
      <c r="D179" s="21">
        <v>-209110.69</v>
      </c>
      <c r="E179" s="21">
        <f>18.75+208.68</f>
        <v>227.43</v>
      </c>
      <c r="F179" s="21">
        <v>19178.099999999999</v>
      </c>
      <c r="G179" s="21">
        <v>173895.75</v>
      </c>
      <c r="H179" s="22">
        <v>-1651.69</v>
      </c>
      <c r="I179" s="14">
        <f>C179+D179+E179+F179+G179+H179+K179</f>
        <v>-283650.9851912951</v>
      </c>
      <c r="J179" s="6"/>
      <c r="K179" s="7">
        <v>0</v>
      </c>
      <c r="N179" s="15"/>
      <c r="O179" s="15" t="s">
        <v>27</v>
      </c>
    </row>
    <row r="180" spans="1:15" ht="15.75">
      <c r="A180" s="5"/>
      <c r="B180" s="9" t="s">
        <v>64</v>
      </c>
      <c r="C180" s="6"/>
      <c r="D180" s="20">
        <f>SUM(D177:D179)</f>
        <v>-628417.18999999994</v>
      </c>
      <c r="E180" s="20">
        <f>SUM(E177:E179)</f>
        <v>345.17</v>
      </c>
      <c r="F180" s="20">
        <f>SUM(F177:F179)</f>
        <v>19178.099999999999</v>
      </c>
      <c r="G180" s="20">
        <f>SUM(G177:G179)</f>
        <v>531819.46</v>
      </c>
      <c r="H180" s="20">
        <f>SUM(H177:H179)</f>
        <v>-4453.84</v>
      </c>
      <c r="I180" s="14"/>
      <c r="J180" s="6"/>
      <c r="N180" t="s">
        <v>27</v>
      </c>
    </row>
    <row r="181" spans="1:15" ht="15.75">
      <c r="A181" s="5"/>
      <c r="B181" s="9"/>
      <c r="C181" s="6"/>
      <c r="D181" s="20"/>
      <c r="E181" s="20"/>
      <c r="F181" s="20"/>
      <c r="G181" s="20"/>
      <c r="H181" s="20"/>
      <c r="I181" s="14"/>
      <c r="J181" s="6"/>
    </row>
    <row r="182" spans="1:15" ht="15.75">
      <c r="A182" s="12" t="s">
        <v>27</v>
      </c>
      <c r="B182" s="5" t="s">
        <v>19</v>
      </c>
      <c r="C182" s="6">
        <f>I179</f>
        <v>-283650.9851912951</v>
      </c>
      <c r="D182" s="21">
        <v>-210717.72</v>
      </c>
      <c r="E182" s="21">
        <f>25.28+278.24</f>
        <v>303.52</v>
      </c>
      <c r="F182" s="21">
        <v>0</v>
      </c>
      <c r="G182" s="21">
        <v>171159.36</v>
      </c>
      <c r="H182" s="22">
        <v>-1827.56</v>
      </c>
      <c r="I182" s="14">
        <f>C182+D182+E182+F182+G182+H182+K182</f>
        <v>-324733.38519129512</v>
      </c>
      <c r="J182" s="6"/>
      <c r="N182" s="15"/>
    </row>
    <row r="183" spans="1:15" ht="15.75">
      <c r="A183" s="5"/>
      <c r="B183" s="5" t="s">
        <v>20</v>
      </c>
      <c r="C183" s="6">
        <f>I182</f>
        <v>-324733.38519129512</v>
      </c>
      <c r="D183" s="21">
        <v>-207556.79</v>
      </c>
      <c r="E183" s="21">
        <f>37.51+69.56</f>
        <v>107.07</v>
      </c>
      <c r="F183" s="21">
        <v>0</v>
      </c>
      <c r="G183" s="21">
        <v>169585.2</v>
      </c>
      <c r="H183" s="22">
        <v>-2070.9299999999998</v>
      </c>
      <c r="I183" s="14">
        <f>C183+D183+E183+F183+G183+H183</f>
        <v>-364668.83519129513</v>
      </c>
      <c r="J183" s="6"/>
    </row>
    <row r="184" spans="1:15" ht="15.75">
      <c r="A184" s="5"/>
      <c r="B184" s="5" t="s">
        <v>21</v>
      </c>
      <c r="C184" s="6">
        <f>I183</f>
        <v>-364668.83519129513</v>
      </c>
      <c r="D184" s="21">
        <v>-207649.09</v>
      </c>
      <c r="E184" s="21">
        <f>5.66</f>
        <v>5.66</v>
      </c>
      <c r="F184" s="21">
        <v>0</v>
      </c>
      <c r="G184" s="21">
        <v>174584.43</v>
      </c>
      <c r="H184" s="22">
        <v>-2297.1</v>
      </c>
      <c r="I184" s="14">
        <f>C184+D184+E184+F184+G184+H184+K184</f>
        <v>-400024.93519129505</v>
      </c>
      <c r="J184" s="6"/>
      <c r="K184" s="7">
        <v>0</v>
      </c>
      <c r="N184" s="15"/>
      <c r="O184" s="15" t="s">
        <v>27</v>
      </c>
    </row>
    <row r="185" spans="1:15" ht="15.75">
      <c r="A185" s="5"/>
      <c r="B185" s="9" t="s">
        <v>65</v>
      </c>
      <c r="C185" s="6"/>
      <c r="D185" s="20">
        <f>SUM(D182:D184)</f>
        <v>-625923.6</v>
      </c>
      <c r="E185" s="20">
        <f>SUM(E182:E184)</f>
        <v>416.25</v>
      </c>
      <c r="F185" s="20">
        <f>SUM(F182:F184)</f>
        <v>0</v>
      </c>
      <c r="G185" s="20">
        <f>SUM(G182:G184)</f>
        <v>515328.99</v>
      </c>
      <c r="H185" s="20">
        <f>SUM(H182:H184)</f>
        <v>-6195.59</v>
      </c>
      <c r="I185" s="14"/>
      <c r="J185" s="6"/>
      <c r="N185" t="s">
        <v>27</v>
      </c>
    </row>
    <row r="186" spans="1:15" ht="15.75">
      <c r="A186" s="5"/>
      <c r="B186" s="9"/>
      <c r="C186" s="6"/>
      <c r="D186" s="20"/>
      <c r="E186" s="20"/>
      <c r="F186" s="20"/>
      <c r="G186" s="20"/>
      <c r="H186" s="20"/>
      <c r="I186" s="14"/>
      <c r="J186" s="6"/>
    </row>
    <row r="187" spans="1:15" ht="15.75">
      <c r="A187" s="12">
        <v>2009</v>
      </c>
      <c r="B187" s="5" t="s">
        <v>23</v>
      </c>
      <c r="C187" s="6">
        <f>I184</f>
        <v>-400024.93519129505</v>
      </c>
      <c r="D187" s="21">
        <v>-206031.38</v>
      </c>
      <c r="E187" s="21">
        <v>21.58</v>
      </c>
      <c r="F187" s="21">
        <v>0</v>
      </c>
      <c r="G187" s="21">
        <v>184430.48</v>
      </c>
      <c r="H187" s="22">
        <v>-2475.5700000000002</v>
      </c>
      <c r="I187" s="14">
        <f>C187+D187+E187+F187+G187+H187+K187</f>
        <v>-424079.82519129507</v>
      </c>
      <c r="J187" s="6"/>
      <c r="N187" s="15"/>
    </row>
    <row r="188" spans="1:15" ht="15.75">
      <c r="A188" s="5"/>
      <c r="B188" s="5" t="s">
        <v>24</v>
      </c>
      <c r="C188" s="6">
        <f>I187</f>
        <v>-424079.82519129507</v>
      </c>
      <c r="D188" s="21">
        <v>-205742.29</v>
      </c>
      <c r="E188" s="21">
        <v>33.71</v>
      </c>
      <c r="F188" s="21">
        <v>0</v>
      </c>
      <c r="G188" s="21">
        <v>205507.28</v>
      </c>
      <c r="H188" s="22">
        <v>-2556.11</v>
      </c>
      <c r="I188" s="14">
        <f>C188+D188+E188+F188+G188+H188</f>
        <v>-426837.23519129504</v>
      </c>
      <c r="J188" s="6"/>
    </row>
    <row r="189" spans="1:15" ht="15.75">
      <c r="A189" s="5"/>
      <c r="B189" s="5" t="s">
        <v>25</v>
      </c>
      <c r="C189" s="6">
        <f>I188</f>
        <v>-426837.23519129504</v>
      </c>
      <c r="D189" s="21">
        <v>-206650.57</v>
      </c>
      <c r="E189" s="21">
        <v>20.63</v>
      </c>
      <c r="F189" s="21">
        <v>0</v>
      </c>
      <c r="G189" s="21">
        <v>220698.81</v>
      </c>
      <c r="H189" s="22">
        <v>-2529.73</v>
      </c>
      <c r="I189" s="14">
        <f>C189+D189+E189+F189+G189+H189+K189</f>
        <v>-415298.09519129497</v>
      </c>
      <c r="J189" s="6"/>
      <c r="K189" s="7">
        <v>0</v>
      </c>
      <c r="N189" s="15"/>
      <c r="O189" s="15" t="s">
        <v>27</v>
      </c>
    </row>
    <row r="190" spans="1:15" ht="15.75">
      <c r="A190" s="5"/>
      <c r="B190" s="9" t="s">
        <v>66</v>
      </c>
      <c r="C190" s="6"/>
      <c r="D190" s="20">
        <f>SUM(D187:D189)</f>
        <v>-618424.24</v>
      </c>
      <c r="E190" s="20">
        <f>SUM(E187:E189)</f>
        <v>75.92</v>
      </c>
      <c r="F190" s="20">
        <f>SUM(F187:F189)</f>
        <v>0</v>
      </c>
      <c r="G190" s="20">
        <f>SUM(G187:G189)</f>
        <v>610636.57000000007</v>
      </c>
      <c r="H190" s="20">
        <f>SUM(H187:H189)</f>
        <v>-7561.41</v>
      </c>
      <c r="I190" s="14"/>
      <c r="J190" s="6"/>
      <c r="N190" t="s">
        <v>27</v>
      </c>
    </row>
    <row r="191" spans="1:15" ht="15.75">
      <c r="A191" s="5"/>
      <c r="B191" s="9"/>
      <c r="C191" s="6"/>
      <c r="D191" s="20"/>
      <c r="E191" s="20"/>
      <c r="F191" s="20"/>
      <c r="G191" s="20"/>
      <c r="H191" s="20"/>
      <c r="I191" s="14"/>
      <c r="J191" s="6"/>
    </row>
    <row r="192" spans="1:15" ht="15.75">
      <c r="A192" s="12" t="s">
        <v>27</v>
      </c>
      <c r="B192" s="5" t="s">
        <v>28</v>
      </c>
      <c r="C192" s="6">
        <f>I189</f>
        <v>-415298.09519129497</v>
      </c>
      <c r="D192" s="21">
        <v>-206906.03</v>
      </c>
      <c r="E192" s="21">
        <f>981.92+14.46</f>
        <v>996.38</v>
      </c>
      <c r="F192" s="21">
        <v>0</v>
      </c>
      <c r="G192" s="21">
        <v>233031.34</v>
      </c>
      <c r="H192" s="22">
        <v>-2420.87</v>
      </c>
      <c r="I192" s="14">
        <f>C192+D192+E192+F192+G192+H192+K192</f>
        <v>-390597.27519129496</v>
      </c>
      <c r="J192" s="6"/>
      <c r="N192" s="15"/>
    </row>
    <row r="193" spans="1:15" ht="15.75">
      <c r="A193" s="5"/>
      <c r="B193" s="5" t="s">
        <v>29</v>
      </c>
      <c r="C193" s="6">
        <f>I192</f>
        <v>-390597.27519129496</v>
      </c>
      <c r="D193" s="21">
        <v>-207590.64</v>
      </c>
      <c r="E193" s="21">
        <f>68.37+27.81</f>
        <v>96.18</v>
      </c>
      <c r="F193" s="21">
        <v>0</v>
      </c>
      <c r="G193" s="21">
        <v>241060.83</v>
      </c>
      <c r="H193" s="22">
        <v>-2252.6</v>
      </c>
      <c r="I193" s="14">
        <f>C193+D193+E193+F193+G193+H193</f>
        <v>-359283.50519129494</v>
      </c>
      <c r="J193" s="6"/>
    </row>
    <row r="194" spans="1:15" ht="15.75">
      <c r="A194" s="5"/>
      <c r="B194" s="5" t="s">
        <v>30</v>
      </c>
      <c r="C194" s="6">
        <f>I193</f>
        <v>-359283.50519129494</v>
      </c>
      <c r="D194" s="21">
        <v>-206922</v>
      </c>
      <c r="E194" s="21">
        <f>68.37+7.1</f>
        <v>75.47</v>
      </c>
      <c r="F194" s="21">
        <v>0</v>
      </c>
      <c r="G194" s="21">
        <v>239979.39</v>
      </c>
      <c r="H194" s="22">
        <v>-2065.21</v>
      </c>
      <c r="I194" s="14">
        <f>C194+D194+E194+F194+G194+H194+K194</f>
        <v>-328215.85519129498</v>
      </c>
      <c r="J194" s="6"/>
      <c r="K194" s="7">
        <v>0</v>
      </c>
      <c r="N194" s="15"/>
      <c r="O194" s="15" t="s">
        <v>27</v>
      </c>
    </row>
    <row r="195" spans="1:15" ht="15.75">
      <c r="A195" s="5"/>
      <c r="B195" s="9" t="s">
        <v>67</v>
      </c>
      <c r="C195" s="6"/>
      <c r="D195" s="20">
        <f>SUM(D192:D194)</f>
        <v>-621418.67000000004</v>
      </c>
      <c r="E195" s="20">
        <f>SUM(E192:E194)</f>
        <v>1168.03</v>
      </c>
      <c r="F195" s="20">
        <f>SUM(F192:F194)</f>
        <v>0</v>
      </c>
      <c r="G195" s="20">
        <f>SUM(G192:G194)</f>
        <v>714071.56</v>
      </c>
      <c r="H195" s="20">
        <f>SUM(H192:H194)</f>
        <v>-6738.6799999999994</v>
      </c>
      <c r="I195" s="14"/>
      <c r="J195" s="6"/>
      <c r="N195" t="s">
        <v>27</v>
      </c>
    </row>
    <row r="196" spans="1:15" ht="15.75">
      <c r="A196" s="5"/>
      <c r="B196" s="9"/>
      <c r="C196" s="6"/>
      <c r="D196" s="20"/>
      <c r="E196" s="20"/>
      <c r="F196" s="20"/>
      <c r="G196" s="20"/>
      <c r="H196" s="20"/>
      <c r="I196" s="14"/>
      <c r="J196" s="6"/>
    </row>
    <row r="197" spans="1:15" ht="15.75">
      <c r="A197" s="12" t="s">
        <v>27</v>
      </c>
      <c r="B197" s="5" t="s">
        <v>32</v>
      </c>
      <c r="C197" s="6">
        <f>I194</f>
        <v>-328215.85519129498</v>
      </c>
      <c r="D197" s="21">
        <v>-210241.91</v>
      </c>
      <c r="E197" s="21">
        <f>27.55+1570.86</f>
        <v>1598.4099999999999</v>
      </c>
      <c r="F197" s="21">
        <v>0</v>
      </c>
      <c r="G197" s="21">
        <v>226134.94</v>
      </c>
      <c r="H197" s="22">
        <v>-1925.13</v>
      </c>
      <c r="I197" s="14">
        <f>C197+D197+E197+F197+G197+H197+K197</f>
        <v>-312649.54519129492</v>
      </c>
      <c r="J197" s="6"/>
      <c r="N197" s="15"/>
    </row>
    <row r="198" spans="1:15" ht="15.75">
      <c r="A198" s="5"/>
      <c r="B198" s="5" t="s">
        <v>33</v>
      </c>
      <c r="C198" s="6">
        <f>I197</f>
        <v>-312649.54519129492</v>
      </c>
      <c r="D198" s="21">
        <v>-207234.42</v>
      </c>
      <c r="E198" s="21">
        <f>15.61+410.22</f>
        <v>425.83000000000004</v>
      </c>
      <c r="F198" s="21">
        <v>15858.8</v>
      </c>
      <c r="G198" s="21">
        <v>203282.36</v>
      </c>
      <c r="H198" s="22">
        <v>-1846.87</v>
      </c>
      <c r="I198" s="14">
        <f>C198+D198+E198+F198+G198+H198</f>
        <v>-302163.84519129491</v>
      </c>
      <c r="J198" s="6"/>
    </row>
    <row r="199" spans="1:15" ht="15.75">
      <c r="A199" s="5"/>
      <c r="B199" s="5" t="s">
        <v>18</v>
      </c>
      <c r="C199" s="6">
        <f>I198</f>
        <v>-302163.84519129491</v>
      </c>
      <c r="D199" s="21">
        <v>-209314.55</v>
      </c>
      <c r="E199" s="21">
        <f>20.74+341.85</f>
        <v>362.59000000000003</v>
      </c>
      <c r="F199" s="21">
        <v>0</v>
      </c>
      <c r="G199" s="21">
        <v>198526.4</v>
      </c>
      <c r="H199" s="22">
        <v>-1852.25</v>
      </c>
      <c r="I199" s="14">
        <f>C199+D199+E199+F199+G199+H199+K199</f>
        <v>-314441.65519129485</v>
      </c>
      <c r="J199" s="6"/>
      <c r="K199" s="7">
        <v>0</v>
      </c>
      <c r="N199" s="15"/>
      <c r="O199" s="15" t="s">
        <v>27</v>
      </c>
    </row>
    <row r="200" spans="1:15" ht="15.75">
      <c r="A200" s="5"/>
      <c r="B200" s="9" t="s">
        <v>68</v>
      </c>
      <c r="C200" s="6"/>
      <c r="D200" s="20">
        <f>SUM(D197:D199)</f>
        <v>-626790.88</v>
      </c>
      <c r="E200" s="20">
        <f>SUM(E197:E199)</f>
        <v>2386.83</v>
      </c>
      <c r="F200" s="20">
        <f>SUM(F197:F199)</f>
        <v>15858.8</v>
      </c>
      <c r="G200" s="20">
        <f>SUM(G197:G199)</f>
        <v>627943.69999999995</v>
      </c>
      <c r="H200" s="20">
        <f>SUM(H197:H199)</f>
        <v>-5624.25</v>
      </c>
      <c r="I200" s="14"/>
      <c r="J200" s="6"/>
      <c r="N200" t="s">
        <v>27</v>
      </c>
    </row>
    <row r="201" spans="1:15" ht="15.75">
      <c r="A201" s="5"/>
      <c r="B201" s="9"/>
      <c r="C201" s="6"/>
      <c r="D201" s="20"/>
      <c r="E201" s="20"/>
      <c r="F201" s="20"/>
      <c r="G201" s="20"/>
      <c r="H201" s="20"/>
      <c r="I201" s="14"/>
      <c r="J201" s="6"/>
    </row>
    <row r="202" spans="1:15" s="31" customFormat="1" ht="15.75">
      <c r="A202" s="25" t="s">
        <v>27</v>
      </c>
      <c r="B202" s="26" t="s">
        <v>19</v>
      </c>
      <c r="C202" s="27">
        <f>I199</f>
        <v>-314441.65519129485</v>
      </c>
      <c r="D202" s="23">
        <v>-207370.78</v>
      </c>
      <c r="E202" s="23">
        <f>-39.02+136.74</f>
        <v>97.72</v>
      </c>
      <c r="F202" s="23">
        <v>0</v>
      </c>
      <c r="G202" s="23">
        <v>196045.02</v>
      </c>
      <c r="H202" s="28">
        <v>-1928.66</v>
      </c>
      <c r="I202" s="29">
        <f>C202+D202+E202+F202+G202+H202+K202</f>
        <v>-327598.35519129486</v>
      </c>
      <c r="J202" s="27"/>
      <c r="K202" s="30"/>
      <c r="N202" s="32"/>
    </row>
    <row r="203" spans="1:15" s="31" customFormat="1" ht="15.75">
      <c r="A203" s="26"/>
      <c r="B203" s="26" t="s">
        <v>20</v>
      </c>
      <c r="C203" s="27">
        <f>I202</f>
        <v>-327598.35519129486</v>
      </c>
      <c r="D203" s="23">
        <v>-253638.78</v>
      </c>
      <c r="E203" s="23">
        <f>16.06+205.11</f>
        <v>221.17000000000002</v>
      </c>
      <c r="F203" s="23">
        <v>0</v>
      </c>
      <c r="G203" s="23">
        <v>222198.85</v>
      </c>
      <c r="H203" s="28">
        <v>-2068.17</v>
      </c>
      <c r="I203" s="29">
        <f>C203+D203+E203+F203+G203+H203</f>
        <v>-360885.2851912948</v>
      </c>
      <c r="J203" s="27"/>
      <c r="K203" s="30"/>
    </row>
    <row r="204" spans="1:15" s="31" customFormat="1" ht="15.75">
      <c r="A204" s="26"/>
      <c r="B204" s="26" t="s">
        <v>21</v>
      </c>
      <c r="C204" s="27">
        <f>I203</f>
        <v>-360885.2851912948</v>
      </c>
      <c r="D204" s="23">
        <v>-325873.21000000002</v>
      </c>
      <c r="E204" s="23">
        <f>11.17+205.08</f>
        <v>216.25</v>
      </c>
      <c r="F204" s="23">
        <v>0</v>
      </c>
      <c r="G204" s="23">
        <v>275014.53000000003</v>
      </c>
      <c r="H204" s="28">
        <v>-2327.2800000000002</v>
      </c>
      <c r="I204" s="29">
        <f>C204+D204+E204+F204+G204+H204+K204</f>
        <v>-413854.99519129482</v>
      </c>
      <c r="J204" s="27"/>
      <c r="K204" s="30">
        <v>0</v>
      </c>
      <c r="N204" s="32"/>
      <c r="O204" s="32" t="s">
        <v>27</v>
      </c>
    </row>
    <row r="205" spans="1:15" ht="15.75">
      <c r="A205" s="5"/>
      <c r="B205" s="9" t="s">
        <v>69</v>
      </c>
      <c r="C205" s="6"/>
      <c r="D205" s="20">
        <f>SUM(D202:D204)</f>
        <v>-786882.77</v>
      </c>
      <c r="E205" s="20">
        <f>SUM(E202:E204)</f>
        <v>535.14</v>
      </c>
      <c r="F205" s="20">
        <f>SUM(F202:F204)</f>
        <v>0</v>
      </c>
      <c r="G205" s="20">
        <f>SUM(G202:G204)</f>
        <v>693258.4</v>
      </c>
      <c r="H205" s="20">
        <f>SUM(H202:H204)</f>
        <v>-6324.1100000000006</v>
      </c>
      <c r="I205" s="14"/>
      <c r="J205" s="6"/>
      <c r="N205" t="s">
        <v>27</v>
      </c>
    </row>
    <row r="206" spans="1:15" ht="15.75">
      <c r="A206" s="5"/>
      <c r="B206" s="9"/>
      <c r="C206" s="6"/>
      <c r="D206" s="20"/>
      <c r="E206" s="20"/>
      <c r="F206" s="20"/>
      <c r="G206" s="20"/>
      <c r="H206" s="20"/>
      <c r="I206" s="14"/>
      <c r="J206" s="6"/>
    </row>
    <row r="207" spans="1:15" s="31" customFormat="1" ht="15.75">
      <c r="A207" s="25">
        <v>2010</v>
      </c>
      <c r="B207" s="26" t="s">
        <v>23</v>
      </c>
      <c r="C207" s="27">
        <f>I204</f>
        <v>-413854.99519129482</v>
      </c>
      <c r="D207" s="23">
        <v>-327195.88</v>
      </c>
      <c r="E207" s="23">
        <v>16.7</v>
      </c>
      <c r="F207" s="23">
        <v>0</v>
      </c>
      <c r="G207" s="23">
        <v>288919.01</v>
      </c>
      <c r="H207" s="28">
        <v>-2609.17</v>
      </c>
      <c r="I207" s="29">
        <f>C207+D207+E207+F207+G207+H207+K207</f>
        <v>-454724.33519129484</v>
      </c>
      <c r="J207" s="27"/>
      <c r="K207" s="30"/>
      <c r="N207" s="32"/>
    </row>
    <row r="208" spans="1:15" s="31" customFormat="1" ht="15.75">
      <c r="A208" s="26"/>
      <c r="B208" s="26" t="s">
        <v>24</v>
      </c>
      <c r="C208" s="27">
        <f>I207</f>
        <v>-454724.33519129484</v>
      </c>
      <c r="D208" s="23">
        <v>-324679.90000000002</v>
      </c>
      <c r="E208" s="23">
        <f>10+71.4</f>
        <v>81.400000000000006</v>
      </c>
      <c r="F208" s="23">
        <v>0</v>
      </c>
      <c r="G208" s="23">
        <v>309991.2</v>
      </c>
      <c r="H208" s="28">
        <f>-2784.18</f>
        <v>-2784.18</v>
      </c>
      <c r="I208" s="29">
        <f>C208+D208+E208+F208+G208+H208</f>
        <v>-472115.81519129488</v>
      </c>
      <c r="J208" s="27"/>
      <c r="K208" s="30"/>
    </row>
    <row r="209" spans="1:15" s="31" customFormat="1" ht="15.75">
      <c r="A209" s="26"/>
      <c r="B209" s="26" t="s">
        <v>25</v>
      </c>
      <c r="C209" s="27">
        <f>I208</f>
        <v>-472115.81519129488</v>
      </c>
      <c r="D209" s="23">
        <v>-326704.7</v>
      </c>
      <c r="E209" s="23">
        <f>8.57+71.4</f>
        <v>79.97</v>
      </c>
      <c r="F209" s="23">
        <v>0</v>
      </c>
      <c r="G209" s="23">
        <v>335732.04</v>
      </c>
      <c r="H209" s="28">
        <v>-2817.53</v>
      </c>
      <c r="I209" s="29">
        <f>C209+D209+E209+F209+G209+H209+K209</f>
        <v>-465826.03519129503</v>
      </c>
      <c r="J209" s="27"/>
      <c r="K209" s="30">
        <v>0</v>
      </c>
      <c r="N209" s="32"/>
      <c r="O209" s="32" t="s">
        <v>27</v>
      </c>
    </row>
    <row r="210" spans="1:15" ht="15.75">
      <c r="A210" s="5"/>
      <c r="B210" s="9" t="s">
        <v>70</v>
      </c>
      <c r="C210" s="6"/>
      <c r="D210" s="20">
        <f>SUM(D207:D209)</f>
        <v>-978580.47999999998</v>
      </c>
      <c r="E210" s="20">
        <f>SUM(E207:E209)</f>
        <v>178.07</v>
      </c>
      <c r="F210" s="20">
        <f>SUM(F207:F209)</f>
        <v>0</v>
      </c>
      <c r="G210" s="20">
        <f>SUM(G207:G209)</f>
        <v>934642.25</v>
      </c>
      <c r="H210" s="20">
        <f>SUM(H207:H209)</f>
        <v>-8210.880000000001</v>
      </c>
      <c r="I210" s="14"/>
      <c r="J210" s="6"/>
      <c r="N210" t="s">
        <v>27</v>
      </c>
    </row>
    <row r="211" spans="1:15" ht="15.75">
      <c r="A211" s="5"/>
      <c r="B211" s="9"/>
      <c r="C211" s="6"/>
      <c r="D211" s="20"/>
      <c r="E211" s="20"/>
      <c r="F211" s="20"/>
      <c r="G211" s="20"/>
      <c r="H211" s="20"/>
      <c r="I211" s="14"/>
      <c r="J211" s="6"/>
    </row>
    <row r="212" spans="1:15" s="31" customFormat="1" ht="15.75">
      <c r="A212" s="25" t="s">
        <v>27</v>
      </c>
      <c r="B212" s="5" t="s">
        <v>28</v>
      </c>
      <c r="C212" s="27">
        <f>I209</f>
        <v>-465826.03519129503</v>
      </c>
      <c r="D212" s="23">
        <v>-323708.73</v>
      </c>
      <c r="E212" s="23">
        <f>0.55+505.12</f>
        <v>505.67</v>
      </c>
      <c r="F212" s="23">
        <v>0</v>
      </c>
      <c r="G212" s="23">
        <v>362317.63</v>
      </c>
      <c r="H212" s="28">
        <v>-2689.22</v>
      </c>
      <c r="I212" s="29">
        <f>C212+D212+E212+F212+G212+H212+K212</f>
        <v>-429400.68519129488</v>
      </c>
      <c r="J212" s="27"/>
      <c r="K212" s="30"/>
      <c r="N212" s="32"/>
    </row>
    <row r="213" spans="1:15" s="31" customFormat="1" ht="15.75">
      <c r="A213" s="26"/>
      <c r="B213" s="5" t="s">
        <v>29</v>
      </c>
      <c r="C213" s="27">
        <f>I212</f>
        <v>-429400.68519129488</v>
      </c>
      <c r="D213" s="23">
        <v>-326937.18</v>
      </c>
      <c r="E213" s="23">
        <f>8.37+349.16</f>
        <v>357.53000000000003</v>
      </c>
      <c r="F213" s="23">
        <v>0</v>
      </c>
      <c r="G213" s="23">
        <v>382497.02</v>
      </c>
      <c r="H213" s="28">
        <v>-2419.09</v>
      </c>
      <c r="I213" s="29">
        <f>C213+D213+E213+F213+G213+H213</f>
        <v>-375902.40519129479</v>
      </c>
      <c r="J213" s="27"/>
      <c r="K213" s="30"/>
    </row>
    <row r="214" spans="1:15" s="31" customFormat="1" ht="15.75">
      <c r="A214" s="26"/>
      <c r="B214" s="5" t="s">
        <v>30</v>
      </c>
      <c r="C214" s="27">
        <f>I213</f>
        <v>-375902.40519129479</v>
      </c>
      <c r="D214" s="23">
        <v>-325764.82</v>
      </c>
      <c r="E214" s="23">
        <f>7.88+1376.16</f>
        <v>1384.0400000000002</v>
      </c>
      <c r="F214" s="23">
        <v>0</v>
      </c>
      <c r="G214" s="23">
        <v>391979.74</v>
      </c>
      <c r="H214" s="28">
        <v>-2061.5100000000002</v>
      </c>
      <c r="I214" s="29">
        <f>C214+D214+E214+F214+G214+H214+K214</f>
        <v>-310364.95519129478</v>
      </c>
      <c r="J214" s="27"/>
      <c r="K214" s="30">
        <v>0</v>
      </c>
      <c r="N214" s="32"/>
      <c r="O214" s="32" t="s">
        <v>27</v>
      </c>
    </row>
    <row r="215" spans="1:15" ht="15.75">
      <c r="A215" s="5"/>
      <c r="B215" s="9" t="s">
        <v>71</v>
      </c>
      <c r="C215" s="6"/>
      <c r="D215" s="20">
        <f>SUM(D212:D214)</f>
        <v>-976410.73</v>
      </c>
      <c r="E215" s="20">
        <f>SUM(E212:E214)</f>
        <v>2247.2400000000002</v>
      </c>
      <c r="F215" s="20">
        <f>SUM(F212:F214)</f>
        <v>0</v>
      </c>
      <c r="G215" s="20">
        <f>SUM(G212:G214)</f>
        <v>1136794.3900000001</v>
      </c>
      <c r="H215" s="20">
        <f>SUM(H212:H214)</f>
        <v>-7169.82</v>
      </c>
      <c r="I215" s="14"/>
      <c r="J215" s="6"/>
      <c r="N215" t="s">
        <v>27</v>
      </c>
    </row>
    <row r="216" spans="1:15" ht="15.75">
      <c r="A216" s="5"/>
      <c r="B216" s="9"/>
      <c r="C216" s="6"/>
      <c r="D216" s="20"/>
      <c r="E216" s="20"/>
      <c r="F216" s="20"/>
      <c r="G216" s="20"/>
      <c r="H216" s="20"/>
      <c r="I216" s="14"/>
      <c r="J216" s="6"/>
    </row>
    <row r="217" spans="1:15" s="31" customFormat="1" ht="15.75">
      <c r="A217" s="25" t="s">
        <v>27</v>
      </c>
      <c r="B217" s="5" t="s">
        <v>32</v>
      </c>
      <c r="C217" s="27">
        <f>I214</f>
        <v>-310364.95519129478</v>
      </c>
      <c r="D217" s="23">
        <v>-328174.11</v>
      </c>
      <c r="E217" s="23">
        <f>1.62+72.16</f>
        <v>73.78</v>
      </c>
      <c r="F217" s="23">
        <v>0</v>
      </c>
      <c r="G217" s="23">
        <f>387138.28</f>
        <v>387138.28</v>
      </c>
      <c r="H217" s="28">
        <v>-1692.38</v>
      </c>
      <c r="I217" s="29">
        <f>C217+D217+E217+F217+G217+H217+K217</f>
        <v>-253019.38519129471</v>
      </c>
      <c r="J217" s="27"/>
      <c r="K217" s="30"/>
      <c r="N217" s="32"/>
    </row>
    <row r="218" spans="1:15" s="31" customFormat="1" ht="15.75">
      <c r="A218" s="26"/>
      <c r="B218" s="5" t="s">
        <v>33</v>
      </c>
      <c r="C218" s="27">
        <f>I217</f>
        <v>-253019.38519129471</v>
      </c>
      <c r="D218" s="23">
        <v>-329796.43</v>
      </c>
      <c r="E218" s="23">
        <f>-0.83+72.16</f>
        <v>71.33</v>
      </c>
      <c r="F218" s="23">
        <f>20110.1</f>
        <v>20110.099999999999</v>
      </c>
      <c r="G218" s="23">
        <f>369664.42</f>
        <v>369664.42</v>
      </c>
      <c r="H218" s="28">
        <v>-1343.77</v>
      </c>
      <c r="I218" s="29">
        <f>C218+D218+E218+F218+G218+H218</f>
        <v>-194313.73519129484</v>
      </c>
      <c r="J218" s="27"/>
      <c r="K218" s="30"/>
    </row>
    <row r="219" spans="1:15" s="31" customFormat="1" ht="15.75">
      <c r="A219" s="26"/>
      <c r="B219" s="5" t="s">
        <v>18</v>
      </c>
      <c r="C219" s="27">
        <f>I218</f>
        <v>-194313.73519129484</v>
      </c>
      <c r="D219" s="23">
        <v>-330065.36</v>
      </c>
      <c r="E219" s="23">
        <f>6.59+72.16</f>
        <v>78.75</v>
      </c>
      <c r="F219" s="23">
        <v>0</v>
      </c>
      <c r="G219" s="23">
        <f>336247.33</f>
        <v>336247.33</v>
      </c>
      <c r="H219" s="28">
        <v>-1152.07</v>
      </c>
      <c r="I219" s="29">
        <f>C219+D219+E219+F219+G219+H219+K219</f>
        <v>-189205.08519129478</v>
      </c>
      <c r="J219" s="27"/>
      <c r="K219" s="30">
        <v>0</v>
      </c>
      <c r="N219" s="32"/>
      <c r="O219" s="32" t="s">
        <v>27</v>
      </c>
    </row>
    <row r="220" spans="1:15" ht="15.75">
      <c r="A220" s="5"/>
      <c r="B220" s="9" t="s">
        <v>72</v>
      </c>
      <c r="C220" s="6"/>
      <c r="D220" s="20">
        <f>SUM(D217:D219)</f>
        <v>-988035.9</v>
      </c>
      <c r="E220" s="20">
        <f>SUM(E217:E219)</f>
        <v>223.86</v>
      </c>
      <c r="F220" s="20">
        <f>SUM(F217:F219)</f>
        <v>20110.099999999999</v>
      </c>
      <c r="G220" s="20">
        <f>SUM(G217:G219)</f>
        <v>1093050.03</v>
      </c>
      <c r="H220" s="20">
        <f>SUM(H217:H219)</f>
        <v>-4188.22</v>
      </c>
      <c r="I220" s="14"/>
      <c r="J220" s="6"/>
      <c r="N220" t="s">
        <v>27</v>
      </c>
    </row>
    <row r="221" spans="1:15" ht="15.75">
      <c r="A221" s="4" t="s">
        <v>4</v>
      </c>
      <c r="B221" s="5"/>
      <c r="C221" s="6"/>
      <c r="D221" s="6"/>
      <c r="E221" s="6"/>
      <c r="F221" s="6"/>
      <c r="G221" s="6"/>
      <c r="H221" s="6"/>
      <c r="I221" s="6"/>
      <c r="J221" s="6"/>
    </row>
    <row r="222" spans="1:15" ht="15" customHeight="1">
      <c r="A222" s="4"/>
      <c r="B222" s="5"/>
      <c r="C222" s="8" t="s">
        <v>5</v>
      </c>
      <c r="D222" s="6"/>
      <c r="E222" s="8" t="s">
        <v>6</v>
      </c>
      <c r="F222" s="8" t="s">
        <v>6</v>
      </c>
      <c r="G222" s="8" t="s">
        <v>7</v>
      </c>
      <c r="H222" s="6"/>
      <c r="I222" s="8" t="s">
        <v>8</v>
      </c>
      <c r="J222" s="6"/>
    </row>
    <row r="223" spans="1:15" ht="15" customHeight="1">
      <c r="A223" s="9" t="s">
        <v>9</v>
      </c>
      <c r="B223" s="9" t="s">
        <v>10</v>
      </c>
      <c r="C223" s="8" t="s">
        <v>11</v>
      </c>
      <c r="D223" s="10" t="s">
        <v>12</v>
      </c>
      <c r="E223" s="11" t="s">
        <v>13</v>
      </c>
      <c r="F223" s="11" t="s">
        <v>40</v>
      </c>
      <c r="G223" s="11" t="s">
        <v>15</v>
      </c>
      <c r="H223" s="11" t="s">
        <v>16</v>
      </c>
      <c r="I223" s="11" t="s">
        <v>17</v>
      </c>
      <c r="J223" s="6"/>
    </row>
    <row r="224" spans="1:15" s="31" customFormat="1" ht="15.75">
      <c r="A224" s="25">
        <v>2010</v>
      </c>
      <c r="B224" s="26" t="s">
        <v>19</v>
      </c>
      <c r="C224" s="27">
        <f>I219</f>
        <v>-189205.08519129478</v>
      </c>
      <c r="D224" s="23">
        <v>-331864.28999999998</v>
      </c>
      <c r="E224" s="23">
        <v>2.5299999999999998</v>
      </c>
      <c r="F224" s="23">
        <v>0</v>
      </c>
      <c r="G224" s="23">
        <v>333378.93</v>
      </c>
      <c r="H224" s="28">
        <v>-1135.58</v>
      </c>
      <c r="I224" s="29">
        <f>C224+D224+E224+F224+G224+H224+K224</f>
        <v>-188823.49519129473</v>
      </c>
      <c r="J224" s="27"/>
      <c r="K224" s="30"/>
      <c r="N224" s="32"/>
    </row>
    <row r="225" spans="1:15" s="31" customFormat="1" ht="15.75">
      <c r="A225" s="26"/>
      <c r="B225" s="26" t="s">
        <v>20</v>
      </c>
      <c r="C225" s="27">
        <f>I224</f>
        <v>-188823.49519129473</v>
      </c>
      <c r="D225" s="23">
        <v>-329629.07</v>
      </c>
      <c r="E225" s="23">
        <f>2.57+72.16</f>
        <v>74.72999999999999</v>
      </c>
      <c r="F225" s="23">
        <v>0</v>
      </c>
      <c r="G225" s="23">
        <v>326538.14</v>
      </c>
      <c r="H225" s="28">
        <v>-1146.94</v>
      </c>
      <c r="I225" s="29">
        <f>C225+D225+E225+F225+G225+H225</f>
        <v>-192986.63519129477</v>
      </c>
      <c r="J225" s="27"/>
      <c r="K225" s="30"/>
    </row>
    <row r="226" spans="1:15" s="31" customFormat="1" ht="15.75">
      <c r="A226" s="26"/>
      <c r="B226" s="26" t="s">
        <v>21</v>
      </c>
      <c r="C226" s="27">
        <f>I225</f>
        <v>-192986.63519129477</v>
      </c>
      <c r="D226" s="23">
        <v>-327004.63</v>
      </c>
      <c r="E226" s="23">
        <f>4.8+72.16</f>
        <v>76.959999999999994</v>
      </c>
      <c r="F226" s="23">
        <v>0</v>
      </c>
      <c r="G226" s="23">
        <v>317742.88</v>
      </c>
      <c r="H226" s="28">
        <v>-1190.6099999999999</v>
      </c>
      <c r="I226" s="29">
        <f>C226+D226+E226+F226+G226+H226+K226</f>
        <v>-203362.03519129474</v>
      </c>
      <c r="J226" s="27"/>
      <c r="K226" s="30">
        <v>0</v>
      </c>
      <c r="N226" s="32"/>
      <c r="O226" s="32" t="s">
        <v>27</v>
      </c>
    </row>
    <row r="227" spans="1:15" ht="15.75">
      <c r="A227" s="5"/>
      <c r="B227" s="9" t="s">
        <v>73</v>
      </c>
      <c r="C227" s="6"/>
      <c r="D227" s="20">
        <f>SUM(D224:D226)</f>
        <v>-988497.99</v>
      </c>
      <c r="E227" s="20">
        <f>SUM(E224:E226)</f>
        <v>154.21999999999997</v>
      </c>
      <c r="F227" s="20">
        <f>SUM(F224:F226)</f>
        <v>0</v>
      </c>
      <c r="G227" s="20">
        <f>SUM(G224:G226)</f>
        <v>977659.95000000007</v>
      </c>
      <c r="H227" s="20">
        <f>SUM(H224:H226)</f>
        <v>-3473.13</v>
      </c>
      <c r="I227" s="14"/>
      <c r="J227" s="6"/>
      <c r="N227" t="s">
        <v>27</v>
      </c>
    </row>
    <row r="228" spans="1:15" ht="15.75">
      <c r="A228" s="5"/>
      <c r="B228" s="9"/>
      <c r="C228" s="6"/>
      <c r="D228" s="20"/>
      <c r="E228" s="20"/>
      <c r="F228" s="20"/>
      <c r="G228" s="20"/>
      <c r="H228" s="20"/>
      <c r="I228" s="14"/>
      <c r="J228" s="6"/>
    </row>
    <row r="229" spans="1:15" ht="15.75">
      <c r="A229" s="12">
        <v>2011</v>
      </c>
      <c r="B229" s="5" t="s">
        <v>23</v>
      </c>
      <c r="C229" s="6">
        <f>I226</f>
        <v>-203362.03519129474</v>
      </c>
      <c r="D229" s="21">
        <v>-329201.68</v>
      </c>
      <c r="E229" s="21">
        <v>-4.58</v>
      </c>
      <c r="F229" s="21">
        <v>0</v>
      </c>
      <c r="G229" s="21">
        <v>312804.27</v>
      </c>
      <c r="H229" s="22">
        <v>-1274.8800000000001</v>
      </c>
      <c r="I229" s="14">
        <f>C229+D229+E229+F229+G229+H229+K229</f>
        <v>-221038.90519129462</v>
      </c>
      <c r="J229" s="6"/>
      <c r="N229" s="15"/>
    </row>
    <row r="230" spans="1:15" ht="15.75">
      <c r="A230" s="5"/>
      <c r="B230" s="5" t="s">
        <v>24</v>
      </c>
      <c r="C230" s="6">
        <f>I229</f>
        <v>-221038.90519129462</v>
      </c>
      <c r="D230" s="21">
        <v>-328921.36</v>
      </c>
      <c r="E230" s="21">
        <f>-2.36+565.04</f>
        <v>562.67999999999995</v>
      </c>
      <c r="F230" s="21">
        <v>0</v>
      </c>
      <c r="G230" s="21">
        <v>307682.03999999998</v>
      </c>
      <c r="H230" s="22">
        <v>-1394.28</v>
      </c>
      <c r="I230" s="14">
        <f>C230+D230+E230+F230+G230+H230</f>
        <v>-243109.82519129457</v>
      </c>
      <c r="J230" s="6"/>
    </row>
    <row r="231" spans="1:15" ht="15.75">
      <c r="A231" s="5"/>
      <c r="B231" s="5" t="s">
        <v>25</v>
      </c>
      <c r="C231" s="6">
        <f>I230</f>
        <v>-243109.82519129457</v>
      </c>
      <c r="D231" s="21">
        <v>-327970.58</v>
      </c>
      <c r="E231" s="21">
        <f>7.01+475.16</f>
        <v>482.17</v>
      </c>
      <c r="F231" s="21">
        <v>0</v>
      </c>
      <c r="G231" s="21">
        <v>306473.95</v>
      </c>
      <c r="H231" s="22">
        <v>-1528.3</v>
      </c>
      <c r="I231" s="14">
        <f>C231+D231+E231+F231+G231+H231+K231</f>
        <v>-265652.58519129455</v>
      </c>
      <c r="J231" s="6"/>
      <c r="K231" s="7">
        <v>0</v>
      </c>
      <c r="N231" s="15"/>
      <c r="O231" s="15" t="s">
        <v>27</v>
      </c>
    </row>
    <row r="232" spans="1:15" ht="15.75">
      <c r="A232" s="5"/>
      <c r="B232" s="9" t="s">
        <v>74</v>
      </c>
      <c r="C232" s="6"/>
      <c r="D232" s="20">
        <f>SUM(D229:D231)</f>
        <v>-986093.62000000011</v>
      </c>
      <c r="E232" s="20">
        <f>SUM(E229:E231)</f>
        <v>1040.27</v>
      </c>
      <c r="F232" s="20">
        <f>SUM(F229:F231)</f>
        <v>0</v>
      </c>
      <c r="G232" s="20">
        <f>SUM(G229:G231)</f>
        <v>926960.26</v>
      </c>
      <c r="H232" s="20">
        <f>SUM(H229:H231)</f>
        <v>-4197.46</v>
      </c>
      <c r="I232" s="14"/>
      <c r="J232" s="6"/>
      <c r="N232" t="s">
        <v>27</v>
      </c>
    </row>
    <row r="233" spans="1:15" ht="15.75">
      <c r="A233" s="5"/>
      <c r="B233" s="9"/>
      <c r="C233" s="6"/>
      <c r="D233" s="20"/>
      <c r="E233" s="20"/>
      <c r="F233" s="20"/>
      <c r="G233" s="20"/>
      <c r="H233" s="20"/>
      <c r="I233" s="14"/>
      <c r="J233" s="6"/>
    </row>
    <row r="234" spans="1:15" ht="15.75">
      <c r="A234" s="12" t="s">
        <v>27</v>
      </c>
      <c r="B234" s="5" t="s">
        <v>28</v>
      </c>
      <c r="C234" s="6">
        <f>I231</f>
        <v>-265652.58519129455</v>
      </c>
      <c r="D234" s="21">
        <v>-325293.75</v>
      </c>
      <c r="E234" s="21">
        <f>0.26+950.25</f>
        <v>950.51</v>
      </c>
      <c r="F234" s="21">
        <v>0</v>
      </c>
      <c r="G234" s="21">
        <v>390496.97</v>
      </c>
      <c r="H234" s="22">
        <v>-1401.5</v>
      </c>
      <c r="I234" s="14">
        <f>C234+D234+E234+F234+G234+H234+K234</f>
        <v>-200900.35519129457</v>
      </c>
      <c r="J234" s="6"/>
      <c r="N234" s="15"/>
    </row>
    <row r="235" spans="1:15" ht="15.75">
      <c r="A235" s="5"/>
      <c r="B235" s="5" t="s">
        <v>29</v>
      </c>
      <c r="C235" s="6">
        <f>I234</f>
        <v>-200900.35519129457</v>
      </c>
      <c r="D235" s="21">
        <v>-326157.73</v>
      </c>
      <c r="E235" s="21">
        <f>3.09+330.72</f>
        <v>333.81</v>
      </c>
      <c r="F235" s="21">
        <v>0</v>
      </c>
      <c r="G235" s="21">
        <v>427668.8</v>
      </c>
      <c r="H235" s="22">
        <v>-903.77</v>
      </c>
      <c r="I235" s="14">
        <f>C235+D235+E235+F235+G235+H235</f>
        <v>-99959.245191294511</v>
      </c>
      <c r="J235" s="6"/>
    </row>
    <row r="236" spans="1:15" s="31" customFormat="1" ht="15.75">
      <c r="A236" s="26"/>
      <c r="B236" s="26" t="s">
        <v>30</v>
      </c>
      <c r="C236" s="27">
        <f>I235</f>
        <v>-99959.245191294511</v>
      </c>
      <c r="D236" s="23">
        <v>-329344.94</v>
      </c>
      <c r="E236" s="23">
        <f>3.8+484.32</f>
        <v>488.12</v>
      </c>
      <c r="F236" s="23">
        <v>0</v>
      </c>
      <c r="G236" s="23">
        <v>421819.35</v>
      </c>
      <c r="H236" s="28">
        <v>-322.26</v>
      </c>
      <c r="I236" s="29">
        <f>C236+D236+E236+F236+G236+H236+K236</f>
        <v>-7318.9751912945558</v>
      </c>
      <c r="J236" s="27"/>
      <c r="K236" s="30">
        <v>0</v>
      </c>
      <c r="N236" s="32"/>
      <c r="O236" s="32" t="s">
        <v>27</v>
      </c>
    </row>
    <row r="237" spans="1:15" ht="15.75">
      <c r="A237" s="5"/>
      <c r="B237" s="9" t="s">
        <v>75</v>
      </c>
      <c r="C237" s="6"/>
      <c r="D237" s="20">
        <f>SUM(D234:D236)</f>
        <v>-980796.41999999993</v>
      </c>
      <c r="E237" s="20">
        <f>SUM(E234:E236)</f>
        <v>1772.44</v>
      </c>
      <c r="F237" s="20">
        <f>SUM(F234:F236)</f>
        <v>0</v>
      </c>
      <c r="G237" s="20">
        <f>SUM(G234:G236)</f>
        <v>1239985.1200000001</v>
      </c>
      <c r="H237" s="20">
        <f>SUM(H234:H236)</f>
        <v>-2627.5299999999997</v>
      </c>
      <c r="I237" s="14"/>
      <c r="J237" s="6"/>
      <c r="N237" t="s">
        <v>27</v>
      </c>
    </row>
    <row r="238" spans="1:15" ht="15.75">
      <c r="A238" s="5"/>
      <c r="B238" s="9"/>
      <c r="C238" s="6"/>
      <c r="D238" s="20"/>
      <c r="E238" s="20"/>
      <c r="F238" s="20"/>
      <c r="G238" s="20"/>
      <c r="H238" s="20"/>
      <c r="I238" s="14"/>
      <c r="J238" s="6"/>
    </row>
    <row r="239" spans="1:15" ht="15.75">
      <c r="A239" s="12" t="s">
        <v>27</v>
      </c>
      <c r="B239" s="5" t="s">
        <v>32</v>
      </c>
      <c r="C239" s="6">
        <f>I236</f>
        <v>-7318.9751912945558</v>
      </c>
      <c r="D239" s="21">
        <v>-329520.02</v>
      </c>
      <c r="E239" s="21">
        <f>4.29+161.44</f>
        <v>165.73</v>
      </c>
      <c r="F239" s="21">
        <v>0</v>
      </c>
      <c r="G239" s="21">
        <v>370949.45</v>
      </c>
      <c r="H239" s="22">
        <v>81.22</v>
      </c>
      <c r="I239" s="14">
        <f>C239+D239+E239+F239+G239+H239+K239</f>
        <v>34357.404808705411</v>
      </c>
      <c r="J239" s="6"/>
      <c r="N239" s="15"/>
    </row>
    <row r="240" spans="1:15" ht="15.75">
      <c r="A240" s="5"/>
      <c r="B240" s="5" t="s">
        <v>33</v>
      </c>
      <c r="C240" s="6">
        <f>I239</f>
        <v>34357.404808705411</v>
      </c>
      <c r="D240" s="21">
        <v>-331104.5</v>
      </c>
      <c r="E240" s="21">
        <f>11.9+565.04</f>
        <v>576.93999999999994</v>
      </c>
      <c r="F240" s="21">
        <f>29451.87</f>
        <v>29451.87</v>
      </c>
      <c r="G240" s="21">
        <v>330605.3</v>
      </c>
      <c r="H240" s="22">
        <v>296.01</v>
      </c>
      <c r="I240" s="14">
        <f>C240+D240+E240+F240+G240+H240</f>
        <v>64183.024808705428</v>
      </c>
      <c r="J240" s="6"/>
    </row>
    <row r="241" spans="1:15" s="31" customFormat="1" ht="15.75">
      <c r="A241" s="26"/>
      <c r="B241" s="5" t="s">
        <v>18</v>
      </c>
      <c r="C241" s="27">
        <f>I240</f>
        <v>64183.024808705428</v>
      </c>
      <c r="D241" s="23">
        <v>-334649.63</v>
      </c>
      <c r="E241" s="23">
        <f>6.1+322.88</f>
        <v>328.98</v>
      </c>
      <c r="F241" s="23">
        <v>0</v>
      </c>
      <c r="G241" s="23">
        <v>327383.75</v>
      </c>
      <c r="H241" s="28">
        <v>365.87</v>
      </c>
      <c r="I241" s="29">
        <f>C241+D241+E241+F241+G241+H241+K241</f>
        <v>57611.994808705414</v>
      </c>
      <c r="J241" s="27"/>
      <c r="K241" s="30">
        <v>0</v>
      </c>
      <c r="N241" s="32"/>
      <c r="O241" s="32" t="s">
        <v>27</v>
      </c>
    </row>
    <row r="242" spans="1:15" ht="15.75">
      <c r="A242" s="5"/>
      <c r="B242" s="9" t="s">
        <v>76</v>
      </c>
      <c r="C242" s="6"/>
      <c r="D242" s="20">
        <f>SUM(D239:D241)</f>
        <v>-995274.15</v>
      </c>
      <c r="E242" s="20">
        <f>SUM(E239:E241)</f>
        <v>1071.6500000000001</v>
      </c>
      <c r="F242" s="20">
        <f>SUM(F239:F241)</f>
        <v>29451.87</v>
      </c>
      <c r="G242" s="20">
        <f>SUM(G239:G241)</f>
        <v>1028938.5</v>
      </c>
      <c r="H242" s="20">
        <f>SUM(H239:H241)</f>
        <v>743.1</v>
      </c>
      <c r="I242" s="14"/>
      <c r="J242" s="6"/>
      <c r="N242" t="s">
        <v>27</v>
      </c>
    </row>
    <row r="243" spans="1:15" ht="15.75">
      <c r="A243" s="5"/>
      <c r="B243" s="9"/>
      <c r="C243" s="6"/>
      <c r="D243" s="20"/>
      <c r="E243" s="20"/>
      <c r="F243" s="20"/>
      <c r="G243" s="20"/>
      <c r="H243" s="20"/>
      <c r="I243" s="14"/>
      <c r="J243" s="6"/>
    </row>
    <row r="244" spans="1:15" ht="15.75">
      <c r="A244" s="12" t="s">
        <v>27</v>
      </c>
      <c r="B244" s="26" t="s">
        <v>19</v>
      </c>
      <c r="C244" s="6">
        <f>I241</f>
        <v>57611.994808705414</v>
      </c>
      <c r="D244" s="21">
        <v>-342465.14</v>
      </c>
      <c r="E244" s="21">
        <f>3.74+19</f>
        <v>22.740000000000002</v>
      </c>
      <c r="F244" s="21">
        <v>0</v>
      </c>
      <c r="G244" s="21">
        <v>321418.69</v>
      </c>
      <c r="H244" s="22">
        <v>283.83</v>
      </c>
      <c r="I244" s="14">
        <f>C244+D244+E244+F244+G244+H244+K244</f>
        <v>36872.114808705388</v>
      </c>
      <c r="J244" s="6"/>
      <c r="N244" s="15"/>
    </row>
    <row r="245" spans="1:15" ht="15.75">
      <c r="A245" s="5"/>
      <c r="B245" s="26" t="s">
        <v>20</v>
      </c>
      <c r="C245" s="6">
        <f>I244</f>
        <v>36872.114808705388</v>
      </c>
      <c r="D245" s="21">
        <f>-371021.01</f>
        <v>-371021.01</v>
      </c>
      <c r="E245" s="21">
        <f>1233.66</f>
        <v>1233.6600000000001</v>
      </c>
      <c r="F245" s="21">
        <v>0</v>
      </c>
      <c r="G245" s="21">
        <v>319093.14</v>
      </c>
      <c r="H245" s="22">
        <v>69.45</v>
      </c>
      <c r="I245" s="14">
        <f>C245+D245+E245+F245+G245+H245</f>
        <v>-13752.645191294618</v>
      </c>
      <c r="J245" s="6"/>
    </row>
    <row r="246" spans="1:15" s="31" customFormat="1" ht="15.75">
      <c r="A246" s="26"/>
      <c r="B246" s="26" t="s">
        <v>21</v>
      </c>
      <c r="C246" s="27">
        <f>I245</f>
        <v>-13752.645191294618</v>
      </c>
      <c r="D246" s="23">
        <f>-372841.26</f>
        <v>-372841.26</v>
      </c>
      <c r="E246" s="23">
        <f>-1227.01+242.16</f>
        <v>-984.85</v>
      </c>
      <c r="F246" s="23">
        <v>0</v>
      </c>
      <c r="G246" s="23">
        <v>327262.90000000002</v>
      </c>
      <c r="H246" s="28">
        <v>-223.17</v>
      </c>
      <c r="I246" s="29">
        <f>C246+D246+E246+F246+G246+H246+K246</f>
        <v>-60539.025191294568</v>
      </c>
      <c r="J246" s="27"/>
      <c r="K246" s="30">
        <v>0</v>
      </c>
      <c r="N246" s="32"/>
      <c r="O246" s="32" t="s">
        <v>27</v>
      </c>
    </row>
    <row r="247" spans="1:15" ht="15.75">
      <c r="A247" s="5"/>
      <c r="B247" s="9" t="s">
        <v>77</v>
      </c>
      <c r="C247" s="6"/>
      <c r="D247" s="20">
        <f>SUM(D244:D246)</f>
        <v>-1086327.4100000001</v>
      </c>
      <c r="E247" s="20">
        <f>SUM(E244:E246)</f>
        <v>271.55000000000007</v>
      </c>
      <c r="F247" s="20">
        <f>SUM(F244:F246)</f>
        <v>0</v>
      </c>
      <c r="G247" s="20">
        <f>SUM(G244:G246)</f>
        <v>967774.7300000001</v>
      </c>
      <c r="H247" s="20">
        <f>SUM(H244:H246)</f>
        <v>130.10999999999999</v>
      </c>
      <c r="I247" s="14"/>
      <c r="J247" s="6"/>
      <c r="N247" t="s">
        <v>27</v>
      </c>
    </row>
    <row r="248" spans="1:15" ht="15.75">
      <c r="A248" s="5"/>
      <c r="B248" s="9" t="s">
        <v>78</v>
      </c>
      <c r="C248" s="6"/>
      <c r="D248" s="20">
        <f>D13+D18+D23+D28+D33+D38+D43+D48+D53+D62+D67+D72+D77+D82+D87+D92+D97+D103+D108+D116+D121+D126+D131+D136+D141+D146+D151+D156+D161+D170+D175+D180+D185+D190+D195+D200+D205+D210+D215+D220+D227+D232+D237+D242+D247</f>
        <v>-26056224.989999998</v>
      </c>
      <c r="E248" s="20">
        <f>E13+E18+E23+E28+E33+E38+E43+E48+E53+E62+E67+E72+E77+E82+E87+E92+E97+E103+E108+E116+E121+E126+E131+E136+E141+E146+E151+E156+E161+E170+E175+E180+E185+E190+E195+E200+E205+E210+E215+E220+E227+E232+E237+E242+E247</f>
        <v>101288.48999999999</v>
      </c>
      <c r="F248" s="20">
        <f>F13+F18+F23+F28+F33+F38+F43+F48+F53+F62+F67+F72+F77+F82+F87+F92+F97+F103+F108+F116+F121+F126+F131+F136+F141+F146+F151+F156+F161+F170+F175+F180+F185+F190+F195+F205+F210+F215+F220+F227+F232+F237+F242+F247</f>
        <v>280484.29000000004</v>
      </c>
      <c r="G248" s="20">
        <f>G13+G18+G23+G28+G33+G38+G43+G48+G53+G62+G67+G72+G77+G82+G87+G92+G97+G103+G108+G116+G121+G126+G131+G136+G141+G146+G151+G156+G161+G170+G175+G180+G185+G190+G195+G200+G205+G210+G215+G220+G227+G232+G237+G242+G247</f>
        <v>26181496.860000003</v>
      </c>
      <c r="H248" s="20">
        <f>H13+H18+H23+H28+H33+H38+H43+H48+H53+H62+H67+H72+H77+H82+H87+H92+H97+H103+H108+H116+H121+H126+H131+H136+H141+H146+H151+H156+H161+H170+H175+H180+H185+H190+H195+H205+H210+H215+H220+H227+H232+H237+H242+H247</f>
        <v>-577818.22519129631</v>
      </c>
      <c r="I248" s="6"/>
      <c r="J248" s="6"/>
    </row>
    <row r="249" spans="1:15" ht="15.75">
      <c r="A249" s="4" t="s">
        <v>79</v>
      </c>
      <c r="B249" s="9"/>
      <c r="C249" s="6"/>
      <c r="D249" s="6"/>
      <c r="E249" s="6"/>
      <c r="F249" s="6"/>
      <c r="G249" s="6"/>
      <c r="H249" s="6"/>
      <c r="I249" s="6"/>
      <c r="J249" s="6"/>
      <c r="K249" s="6"/>
    </row>
    <row r="250" spans="1:15" ht="22.5">
      <c r="A250" s="4"/>
      <c r="B250" s="9"/>
      <c r="C250" s="6"/>
      <c r="D250" s="6"/>
      <c r="E250" s="6"/>
      <c r="F250" s="6"/>
      <c r="G250" s="6"/>
      <c r="H250" s="60" t="s">
        <v>80</v>
      </c>
      <c r="I250" s="60"/>
      <c r="J250" s="60"/>
      <c r="K250" s="60"/>
    </row>
    <row r="251" spans="1:15" ht="22.5">
      <c r="A251" s="4"/>
      <c r="B251" s="9"/>
      <c r="C251" s="6"/>
      <c r="D251" s="60" t="s">
        <v>81</v>
      </c>
      <c r="E251" s="60"/>
      <c r="F251" s="60" t="s">
        <v>82</v>
      </c>
      <c r="G251" s="60"/>
      <c r="H251" s="60" t="s">
        <v>83</v>
      </c>
      <c r="I251" s="60"/>
      <c r="J251" s="60" t="s">
        <v>84</v>
      </c>
      <c r="K251" s="60"/>
    </row>
    <row r="252" spans="1:15" ht="15.75">
      <c r="A252" s="9" t="s">
        <v>9</v>
      </c>
      <c r="B252" s="9" t="s">
        <v>10</v>
      </c>
      <c r="C252" s="33" t="s">
        <v>85</v>
      </c>
      <c r="D252" s="33" t="s">
        <v>86</v>
      </c>
      <c r="E252" s="33" t="s">
        <v>87</v>
      </c>
      <c r="F252" s="33" t="s">
        <v>86</v>
      </c>
      <c r="G252" s="33" t="s">
        <v>87</v>
      </c>
      <c r="H252" s="33" t="s">
        <v>86</v>
      </c>
      <c r="I252" s="33" t="s">
        <v>87</v>
      </c>
      <c r="J252" s="33" t="s">
        <v>86</v>
      </c>
      <c r="K252" s="33" t="s">
        <v>87</v>
      </c>
    </row>
    <row r="253" spans="1:15" ht="15.75">
      <c r="A253" s="9"/>
      <c r="B253" s="9" t="s">
        <v>22</v>
      </c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1:15" ht="15.75">
      <c r="A254" s="12">
        <v>2000</v>
      </c>
      <c r="B254" s="5" t="s">
        <v>18</v>
      </c>
      <c r="C254" s="34">
        <v>0</v>
      </c>
      <c r="D254" s="35">
        <v>0</v>
      </c>
      <c r="E254" s="35">
        <v>581906</v>
      </c>
      <c r="F254" s="36">
        <v>0</v>
      </c>
      <c r="G254" s="36">
        <v>10952082</v>
      </c>
      <c r="H254" s="37">
        <v>0</v>
      </c>
      <c r="I254" s="37">
        <v>51557</v>
      </c>
      <c r="J254" s="37">
        <v>0</v>
      </c>
      <c r="K254" s="37">
        <v>472</v>
      </c>
      <c r="L254" t="s">
        <v>27</v>
      </c>
    </row>
    <row r="255" spans="1:15" ht="15.75">
      <c r="A255" s="5"/>
      <c r="B255" s="5" t="s">
        <v>19</v>
      </c>
      <c r="C255" s="35">
        <v>4</v>
      </c>
      <c r="D255" s="37">
        <v>4</v>
      </c>
      <c r="E255" s="35">
        <v>582429</v>
      </c>
      <c r="F255" s="38">
        <v>1183</v>
      </c>
      <c r="G255" s="38">
        <v>10901437</v>
      </c>
      <c r="H255" s="37">
        <v>1</v>
      </c>
      <c r="I255" s="37">
        <v>53336</v>
      </c>
      <c r="J255" s="37">
        <v>0</v>
      </c>
      <c r="K255" s="37">
        <v>237</v>
      </c>
      <c r="L255" t="s">
        <v>27</v>
      </c>
    </row>
    <row r="256" spans="1:15" ht="15.75">
      <c r="A256" s="5"/>
      <c r="B256" s="5" t="s">
        <v>20</v>
      </c>
      <c r="C256" s="35">
        <v>165</v>
      </c>
      <c r="D256" s="37">
        <v>451</v>
      </c>
      <c r="E256" s="35">
        <v>584742</v>
      </c>
      <c r="F256" s="38">
        <v>6297</v>
      </c>
      <c r="G256" s="38">
        <v>10613998</v>
      </c>
      <c r="H256" s="37">
        <v>23</v>
      </c>
      <c r="I256" s="37">
        <v>45334</v>
      </c>
      <c r="J256" s="37">
        <v>0</v>
      </c>
      <c r="K256" s="37">
        <v>254</v>
      </c>
      <c r="L256" t="s">
        <v>27</v>
      </c>
    </row>
    <row r="257" spans="1:12" ht="15.75">
      <c r="A257" s="5"/>
      <c r="B257" s="5" t="s">
        <v>21</v>
      </c>
      <c r="C257" s="39">
        <v>980</v>
      </c>
      <c r="D257" s="40">
        <v>1151</v>
      </c>
      <c r="E257" s="35">
        <v>584283</v>
      </c>
      <c r="F257" s="41">
        <v>20479</v>
      </c>
      <c r="G257" s="41">
        <v>10130021</v>
      </c>
      <c r="H257" s="37">
        <v>26</v>
      </c>
      <c r="I257" s="37">
        <v>43605</v>
      </c>
      <c r="J257" s="37">
        <v>0</v>
      </c>
      <c r="K257" s="37">
        <v>120</v>
      </c>
      <c r="L257" t="s">
        <v>27</v>
      </c>
    </row>
    <row r="258" spans="1:12" ht="15.75">
      <c r="A258" s="5"/>
      <c r="B258" s="5"/>
      <c r="C258" s="39"/>
      <c r="D258" s="40"/>
      <c r="E258" s="35"/>
      <c r="F258" s="41"/>
      <c r="G258" s="41"/>
      <c r="H258" s="37"/>
      <c r="I258" s="37"/>
      <c r="J258" s="37"/>
      <c r="K258" s="37"/>
    </row>
    <row r="259" spans="1:12" ht="15.75">
      <c r="A259" s="5"/>
      <c r="B259" s="9" t="s">
        <v>26</v>
      </c>
      <c r="C259" s="39"/>
      <c r="D259" s="40"/>
      <c r="E259" s="35"/>
      <c r="F259" s="41"/>
      <c r="G259" s="41"/>
      <c r="H259" s="37"/>
      <c r="I259" s="37"/>
      <c r="J259" s="37"/>
      <c r="K259" s="37"/>
    </row>
    <row r="260" spans="1:12" ht="15.75">
      <c r="A260" s="12">
        <v>2001</v>
      </c>
      <c r="B260" s="5" t="s">
        <v>23</v>
      </c>
      <c r="C260" s="39">
        <v>4524</v>
      </c>
      <c r="D260" s="40">
        <v>9425</v>
      </c>
      <c r="E260" s="35">
        <v>577760</v>
      </c>
      <c r="F260" s="41">
        <v>341720.1</v>
      </c>
      <c r="G260" s="41">
        <v>10503794.43</v>
      </c>
      <c r="H260" s="37">
        <v>628</v>
      </c>
      <c r="I260" s="37">
        <v>54493</v>
      </c>
      <c r="J260" s="37">
        <v>0</v>
      </c>
      <c r="K260" s="37">
        <v>304</v>
      </c>
      <c r="L260" t="s">
        <v>27</v>
      </c>
    </row>
    <row r="261" spans="1:12" ht="15.75">
      <c r="A261" s="5"/>
      <c r="B261" s="5" t="s">
        <v>24</v>
      </c>
      <c r="C261" s="39">
        <v>11633</v>
      </c>
      <c r="D261" s="40">
        <v>13649</v>
      </c>
      <c r="E261" s="35">
        <v>575515</v>
      </c>
      <c r="F261" s="41">
        <v>439220.91</v>
      </c>
      <c r="G261" s="41">
        <v>10244004.359999998</v>
      </c>
      <c r="H261" s="37">
        <v>1416</v>
      </c>
      <c r="I261" s="37">
        <v>46942</v>
      </c>
      <c r="J261" s="37">
        <v>0</v>
      </c>
      <c r="K261" s="37">
        <v>226</v>
      </c>
      <c r="L261" t="s">
        <v>27</v>
      </c>
    </row>
    <row r="262" spans="1:12" ht="15.75">
      <c r="A262" s="5"/>
      <c r="B262" s="5" t="s">
        <v>25</v>
      </c>
      <c r="C262" s="39">
        <v>14767</v>
      </c>
      <c r="D262" s="40">
        <v>15961</v>
      </c>
      <c r="E262" s="35">
        <v>573114</v>
      </c>
      <c r="F262" s="41">
        <v>542324.85</v>
      </c>
      <c r="G262" s="41">
        <v>9503513.1099999975</v>
      </c>
      <c r="H262" s="37">
        <v>2072</v>
      </c>
      <c r="I262" s="37">
        <v>49489</v>
      </c>
      <c r="J262" s="37">
        <v>0</v>
      </c>
      <c r="K262" s="37">
        <v>294</v>
      </c>
      <c r="L262" t="s">
        <v>27</v>
      </c>
    </row>
    <row r="263" spans="1:12" ht="15.75">
      <c r="A263" s="5"/>
      <c r="B263" s="5"/>
      <c r="C263" s="39"/>
      <c r="D263" s="40"/>
      <c r="E263" s="35"/>
      <c r="F263" s="41"/>
      <c r="G263" s="41"/>
      <c r="H263" s="37"/>
      <c r="I263" s="37"/>
      <c r="J263" s="37"/>
      <c r="K263" s="37"/>
    </row>
    <row r="264" spans="1:12" ht="15.75">
      <c r="A264" s="5"/>
      <c r="B264" s="9" t="s">
        <v>31</v>
      </c>
      <c r="C264" s="39"/>
      <c r="D264" s="40"/>
      <c r="E264" s="35"/>
      <c r="F264" s="41"/>
      <c r="G264" s="41"/>
      <c r="H264" s="37"/>
      <c r="I264" s="37"/>
      <c r="J264" s="37"/>
      <c r="K264" s="37"/>
    </row>
    <row r="265" spans="1:12" ht="15.75">
      <c r="A265" s="12" t="s">
        <v>27</v>
      </c>
      <c r="B265" s="5" t="s">
        <v>28</v>
      </c>
      <c r="C265" s="39">
        <v>16903</v>
      </c>
      <c r="D265" s="40">
        <v>17342</v>
      </c>
      <c r="E265" s="35">
        <v>572460</v>
      </c>
      <c r="F265" s="41" t="s">
        <v>88</v>
      </c>
      <c r="G265" s="41" t="s">
        <v>88</v>
      </c>
      <c r="H265" s="37">
        <v>2613</v>
      </c>
      <c r="I265" s="37">
        <v>46078</v>
      </c>
      <c r="J265" s="37">
        <v>0</v>
      </c>
      <c r="K265" s="37">
        <v>532</v>
      </c>
      <c r="L265" t="s">
        <v>27</v>
      </c>
    </row>
    <row r="266" spans="1:12" ht="15.75">
      <c r="A266" s="5"/>
      <c r="B266" s="5" t="s">
        <v>29</v>
      </c>
      <c r="C266" s="39">
        <v>17652</v>
      </c>
      <c r="D266" s="40">
        <v>17253</v>
      </c>
      <c r="E266" s="35">
        <v>573315</v>
      </c>
      <c r="F266" s="41" t="s">
        <v>88</v>
      </c>
      <c r="G266" s="41" t="s">
        <v>88</v>
      </c>
      <c r="H266" s="37">
        <v>2778</v>
      </c>
      <c r="I266" s="37">
        <v>47956</v>
      </c>
      <c r="J266" s="37">
        <v>0</v>
      </c>
      <c r="K266" s="37">
        <v>495</v>
      </c>
      <c r="L266" t="s">
        <v>27</v>
      </c>
    </row>
    <row r="267" spans="1:12" ht="15.75">
      <c r="A267" s="5"/>
      <c r="B267" s="5" t="s">
        <v>30</v>
      </c>
      <c r="C267" s="39">
        <v>17147</v>
      </c>
      <c r="D267" s="40">
        <v>16603</v>
      </c>
      <c r="E267" s="35">
        <v>574341</v>
      </c>
      <c r="F267" s="36">
        <v>580808.54</v>
      </c>
      <c r="G267" s="36">
        <v>8364089.4500000002</v>
      </c>
      <c r="H267" s="37">
        <v>2525</v>
      </c>
      <c r="I267" s="37">
        <v>43645</v>
      </c>
      <c r="J267" s="37">
        <v>0</v>
      </c>
      <c r="K267" s="37">
        <v>456</v>
      </c>
      <c r="L267" t="s">
        <v>27</v>
      </c>
    </row>
    <row r="268" spans="1:12" ht="15.75">
      <c r="A268" s="5"/>
      <c r="B268" s="5"/>
      <c r="C268" s="39"/>
      <c r="D268" s="40"/>
      <c r="E268" s="35"/>
      <c r="F268" s="36"/>
      <c r="G268" s="36"/>
      <c r="H268" s="37"/>
      <c r="I268" s="37"/>
      <c r="J268" s="37"/>
      <c r="K268" s="37"/>
    </row>
    <row r="269" spans="1:12" ht="15.75">
      <c r="A269" s="5"/>
      <c r="B269" s="9" t="s">
        <v>34</v>
      </c>
      <c r="C269" s="39"/>
      <c r="D269" s="40"/>
      <c r="E269" s="35"/>
      <c r="F269" s="41"/>
      <c r="G269" s="41"/>
      <c r="H269" s="37"/>
      <c r="I269" s="37"/>
      <c r="J269" s="37"/>
      <c r="K269" s="37"/>
    </row>
    <row r="270" spans="1:12" ht="15.75">
      <c r="A270" s="12" t="s">
        <v>27</v>
      </c>
      <c r="B270" s="5" t="s">
        <v>32</v>
      </c>
      <c r="C270" s="39">
        <v>16589</v>
      </c>
      <c r="D270" s="40">
        <v>15966</v>
      </c>
      <c r="E270" s="35">
        <v>577448</v>
      </c>
      <c r="F270" s="41" t="s">
        <v>88</v>
      </c>
      <c r="G270" s="41" t="s">
        <v>88</v>
      </c>
      <c r="H270" s="37">
        <v>1389</v>
      </c>
      <c r="I270" s="37">
        <v>40882</v>
      </c>
      <c r="J270" s="37">
        <v>0</v>
      </c>
      <c r="K270" s="37">
        <v>412</v>
      </c>
      <c r="L270" t="s">
        <v>27</v>
      </c>
    </row>
    <row r="271" spans="1:12" ht="15.75">
      <c r="A271" s="5"/>
      <c r="B271" s="5" t="s">
        <v>33</v>
      </c>
      <c r="C271" s="39">
        <v>15918</v>
      </c>
      <c r="D271" s="40">
        <v>15409</v>
      </c>
      <c r="E271" s="35">
        <v>577723</v>
      </c>
      <c r="F271" s="41" t="s">
        <v>88</v>
      </c>
      <c r="G271" s="41" t="s">
        <v>88</v>
      </c>
      <c r="H271" s="37">
        <v>2706</v>
      </c>
      <c r="I271" s="37">
        <v>55898</v>
      </c>
      <c r="J271" s="37">
        <v>0</v>
      </c>
      <c r="K271" s="37">
        <v>532</v>
      </c>
      <c r="L271" t="s">
        <v>27</v>
      </c>
    </row>
    <row r="272" spans="1:12" ht="15.75">
      <c r="A272" s="5"/>
      <c r="B272" s="5" t="s">
        <v>18</v>
      </c>
      <c r="C272" s="39">
        <v>15359</v>
      </c>
      <c r="D272" s="40">
        <v>14860</v>
      </c>
      <c r="E272" s="35">
        <v>579399</v>
      </c>
      <c r="F272" s="36">
        <v>650062.23</v>
      </c>
      <c r="G272" s="36">
        <v>10850610.5</v>
      </c>
      <c r="H272" s="37">
        <v>2669</v>
      </c>
      <c r="I272" s="37">
        <v>53058</v>
      </c>
      <c r="J272" s="42" t="s">
        <v>89</v>
      </c>
      <c r="K272" s="37">
        <v>417</v>
      </c>
      <c r="L272" t="s">
        <v>27</v>
      </c>
    </row>
    <row r="273" spans="1:12" ht="15.75">
      <c r="A273" s="5"/>
      <c r="B273" s="5"/>
      <c r="C273" s="39"/>
      <c r="D273" s="40"/>
      <c r="E273" s="35"/>
      <c r="F273" s="36"/>
      <c r="G273" s="36"/>
      <c r="H273" s="37"/>
      <c r="I273" s="37"/>
      <c r="J273" s="37"/>
      <c r="K273" s="37"/>
    </row>
    <row r="274" spans="1:12" ht="15.75">
      <c r="A274" s="5"/>
      <c r="B274" s="9" t="s">
        <v>35</v>
      </c>
      <c r="C274" s="39"/>
      <c r="D274" s="40"/>
      <c r="E274" s="35"/>
      <c r="F274" s="41"/>
      <c r="G274" s="41"/>
      <c r="H274" s="37"/>
      <c r="I274" s="37"/>
      <c r="J274" s="37"/>
      <c r="K274" s="37"/>
    </row>
    <row r="275" spans="1:12" ht="15.75">
      <c r="A275" s="12" t="s">
        <v>27</v>
      </c>
      <c r="B275" s="5" t="s">
        <v>19</v>
      </c>
      <c r="C275" s="39">
        <v>14926</v>
      </c>
      <c r="D275" s="40">
        <v>14430</v>
      </c>
      <c r="E275" s="35">
        <v>580891</v>
      </c>
      <c r="F275" s="41" t="s">
        <v>88</v>
      </c>
      <c r="G275" s="41" t="s">
        <v>88</v>
      </c>
      <c r="H275" s="37">
        <v>4434</v>
      </c>
      <c r="I275" s="37">
        <f>57070+18</f>
        <v>57088</v>
      </c>
      <c r="J275" s="37">
        <v>0</v>
      </c>
      <c r="K275" s="37">
        <v>282</v>
      </c>
      <c r="L275" t="s">
        <v>27</v>
      </c>
    </row>
    <row r="276" spans="1:12" ht="15.75">
      <c r="A276" s="5"/>
      <c r="B276" s="5" t="s">
        <v>20</v>
      </c>
      <c r="C276" s="39">
        <v>14747</v>
      </c>
      <c r="D276" s="40">
        <v>14853</v>
      </c>
      <c r="E276" s="35">
        <v>583633</v>
      </c>
      <c r="F276" s="41" t="s">
        <v>88</v>
      </c>
      <c r="G276" s="41" t="s">
        <v>88</v>
      </c>
      <c r="H276" s="37">
        <v>3908</v>
      </c>
      <c r="I276" s="37">
        <f>47666+23</f>
        <v>47689</v>
      </c>
      <c r="J276" s="37">
        <v>0</v>
      </c>
      <c r="K276" s="37">
        <v>265</v>
      </c>
      <c r="L276" t="s">
        <v>27</v>
      </c>
    </row>
    <row r="277" spans="1:12" ht="15.75">
      <c r="A277" s="5"/>
      <c r="B277" s="5" t="s">
        <v>21</v>
      </c>
      <c r="C277" s="39">
        <v>14770</v>
      </c>
      <c r="D277" s="40">
        <v>16140</v>
      </c>
      <c r="E277" s="35">
        <f>583474</f>
        <v>583474</v>
      </c>
      <c r="F277" s="36">
        <f>291764.19+212948.21+375622.24</f>
        <v>880334.64</v>
      </c>
      <c r="G277" s="36">
        <f>4726156.92+2405575.35+2901167.1+57.04+1020.25+345.32+4749.03</f>
        <v>10039071.009999998</v>
      </c>
      <c r="H277" s="37">
        <v>3312</v>
      </c>
      <c r="I277" s="37">
        <f>41677+15</f>
        <v>41692</v>
      </c>
      <c r="J277" s="37">
        <v>0</v>
      </c>
      <c r="K277" s="37">
        <v>140</v>
      </c>
      <c r="L277" t="s">
        <v>27</v>
      </c>
    </row>
    <row r="278" spans="1:12" ht="15.75">
      <c r="A278" s="5"/>
      <c r="B278" s="5"/>
      <c r="C278" s="39"/>
      <c r="D278" s="40"/>
      <c r="E278" s="35"/>
      <c r="F278" s="36"/>
      <c r="G278" s="36"/>
      <c r="H278" s="37"/>
      <c r="I278" s="37"/>
      <c r="J278" s="37"/>
      <c r="K278" s="37"/>
    </row>
    <row r="279" spans="1:12" ht="15.75">
      <c r="A279" s="5"/>
      <c r="B279" s="9" t="s">
        <v>36</v>
      </c>
      <c r="C279" s="39"/>
      <c r="D279" s="40"/>
      <c r="E279" s="35"/>
      <c r="F279" s="41"/>
      <c r="G279" s="41"/>
      <c r="H279" s="37"/>
      <c r="I279" s="37"/>
      <c r="J279" s="37"/>
      <c r="K279" s="37"/>
    </row>
    <row r="280" spans="1:12" ht="15.75">
      <c r="A280" s="12">
        <v>2002</v>
      </c>
      <c r="B280" s="5" t="s">
        <v>23</v>
      </c>
      <c r="C280" s="39">
        <v>18559</v>
      </c>
      <c r="D280" s="40">
        <v>18964</v>
      </c>
      <c r="E280" s="35">
        <v>581155</v>
      </c>
      <c r="F280" s="41" t="s">
        <v>88</v>
      </c>
      <c r="G280" s="41" t="s">
        <v>88</v>
      </c>
      <c r="H280" s="37">
        <v>5020</v>
      </c>
      <c r="I280" s="37">
        <f>54856+16</f>
        <v>54872</v>
      </c>
      <c r="J280" s="37">
        <v>11</v>
      </c>
      <c r="K280" s="37">
        <v>195</v>
      </c>
    </row>
    <row r="281" spans="1:12" ht="15.75">
      <c r="A281" s="5"/>
      <c r="B281" s="5" t="s">
        <v>24</v>
      </c>
      <c r="C281" s="39">
        <v>20266</v>
      </c>
      <c r="D281" s="40">
        <v>20990</v>
      </c>
      <c r="E281" s="35">
        <v>581011</v>
      </c>
      <c r="F281" s="41" t="s">
        <v>88</v>
      </c>
      <c r="G281" s="41" t="s">
        <v>88</v>
      </c>
      <c r="H281" s="37">
        <v>4686</v>
      </c>
      <c r="I281" s="37">
        <f>55313+12</f>
        <v>55325</v>
      </c>
      <c r="J281" s="37">
        <v>6</v>
      </c>
      <c r="K281" s="37">
        <v>201</v>
      </c>
    </row>
    <row r="282" spans="1:12" ht="15.75">
      <c r="A282" s="5"/>
      <c r="B282" s="5" t="s">
        <v>25</v>
      </c>
      <c r="C282" s="39">
        <v>22301</v>
      </c>
      <c r="D282" s="40">
        <v>22417</v>
      </c>
      <c r="E282" s="35">
        <v>580035</v>
      </c>
      <c r="F282" s="36">
        <v>1113718</v>
      </c>
      <c r="G282" s="36">
        <v>9542463</v>
      </c>
      <c r="H282" s="37">
        <v>4013</v>
      </c>
      <c r="I282" s="37">
        <f>50537+13</f>
        <v>50550</v>
      </c>
      <c r="J282" s="37">
        <v>15</v>
      </c>
      <c r="K282" s="37">
        <v>206</v>
      </c>
    </row>
    <row r="283" spans="1:12" ht="15.75">
      <c r="A283" s="5"/>
      <c r="B283" s="5"/>
      <c r="C283" s="39"/>
      <c r="D283" s="40"/>
      <c r="E283" s="35"/>
      <c r="F283" s="36"/>
      <c r="G283" s="36"/>
      <c r="H283" s="37"/>
      <c r="I283" s="37"/>
      <c r="J283" s="37"/>
      <c r="K283" s="37"/>
    </row>
    <row r="284" spans="1:12" ht="15.75">
      <c r="A284" s="5"/>
      <c r="B284" s="9" t="s">
        <v>37</v>
      </c>
      <c r="C284" s="39"/>
      <c r="D284" s="40"/>
      <c r="E284" s="35"/>
      <c r="F284" s="41"/>
      <c r="G284" s="41"/>
      <c r="H284" s="37"/>
      <c r="I284" s="37"/>
      <c r="J284" s="37"/>
      <c r="K284" s="37"/>
    </row>
    <row r="285" spans="1:12" ht="15.75">
      <c r="A285" s="5"/>
      <c r="B285" s="5" t="s">
        <v>28</v>
      </c>
      <c r="C285" s="39">
        <v>23312</v>
      </c>
      <c r="D285" s="40">
        <v>23224</v>
      </c>
      <c r="E285" s="35">
        <v>580447</v>
      </c>
      <c r="F285" s="41" t="s">
        <v>88</v>
      </c>
      <c r="G285" s="41" t="s">
        <v>88</v>
      </c>
      <c r="H285" s="37">
        <v>3997</v>
      </c>
      <c r="I285" s="37">
        <v>51186</v>
      </c>
      <c r="J285" s="37">
        <v>60</v>
      </c>
      <c r="K285" s="37">
        <v>455</v>
      </c>
    </row>
    <row r="286" spans="1:12" ht="15.75">
      <c r="A286" s="5"/>
      <c r="B286" s="5" t="s">
        <v>29</v>
      </c>
      <c r="C286" s="39">
        <v>23603</v>
      </c>
      <c r="D286" s="40">
        <v>22728</v>
      </c>
      <c r="E286" s="35">
        <v>580635</v>
      </c>
      <c r="F286" s="41" t="s">
        <v>88</v>
      </c>
      <c r="G286" s="41" t="s">
        <v>88</v>
      </c>
      <c r="H286" s="37">
        <v>3489</v>
      </c>
      <c r="I286" s="37">
        <v>48298</v>
      </c>
      <c r="J286" s="37">
        <v>79</v>
      </c>
      <c r="K286" s="37">
        <v>452</v>
      </c>
    </row>
    <row r="287" spans="1:12" ht="15.75">
      <c r="A287" s="5"/>
      <c r="B287" s="5" t="s">
        <v>30</v>
      </c>
      <c r="C287" s="39">
        <v>20955</v>
      </c>
      <c r="D287" s="40">
        <v>18337</v>
      </c>
      <c r="E287" s="35">
        <v>585555</v>
      </c>
      <c r="F287" s="36">
        <v>926189.26</v>
      </c>
      <c r="G287" s="36">
        <v>8424780.1799999978</v>
      </c>
      <c r="H287" s="37">
        <v>2996</v>
      </c>
      <c r="I287" s="37">
        <v>42134</v>
      </c>
      <c r="J287" s="37">
        <v>53</v>
      </c>
      <c r="K287" s="37">
        <v>355</v>
      </c>
    </row>
    <row r="288" spans="1:12" ht="15.75">
      <c r="A288" s="5"/>
      <c r="B288" s="5"/>
      <c r="C288" s="39"/>
      <c r="D288" s="40"/>
      <c r="E288" s="35"/>
      <c r="F288" s="36"/>
      <c r="G288" s="36"/>
      <c r="H288" s="37"/>
      <c r="I288" s="37"/>
      <c r="J288" s="37"/>
      <c r="K288" s="37"/>
    </row>
    <row r="289" spans="1:11" ht="15.75">
      <c r="A289" s="5"/>
      <c r="B289" s="9" t="s">
        <v>38</v>
      </c>
      <c r="C289" s="39"/>
      <c r="D289" s="40"/>
      <c r="E289" s="35"/>
      <c r="F289" s="41"/>
      <c r="G289" s="41"/>
      <c r="H289" s="37"/>
      <c r="I289" s="37"/>
      <c r="J289" s="37"/>
      <c r="K289" s="37"/>
    </row>
    <row r="290" spans="1:11" ht="15.75">
      <c r="A290" s="5"/>
      <c r="B290" s="5" t="s">
        <v>32</v>
      </c>
      <c r="C290" s="39">
        <v>18417</v>
      </c>
      <c r="D290" s="40">
        <v>17698</v>
      </c>
      <c r="E290" s="35">
        <v>587949</v>
      </c>
      <c r="F290" s="41" t="s">
        <v>88</v>
      </c>
      <c r="G290" s="41" t="s">
        <v>88</v>
      </c>
      <c r="H290" s="37">
        <v>3353</v>
      </c>
      <c r="I290" s="37">
        <v>49289</v>
      </c>
      <c r="J290" s="37">
        <v>41</v>
      </c>
      <c r="K290" s="37">
        <v>291</v>
      </c>
    </row>
    <row r="291" spans="1:11" ht="15.75">
      <c r="A291" s="5"/>
      <c r="B291" s="5" t="s">
        <v>33</v>
      </c>
      <c r="C291" s="39">
        <v>17768</v>
      </c>
      <c r="D291" s="40">
        <v>17020</v>
      </c>
      <c r="E291" s="35">
        <v>588973</v>
      </c>
      <c r="F291" s="41" t="s">
        <v>88</v>
      </c>
      <c r="G291" s="41" t="s">
        <v>88</v>
      </c>
      <c r="H291" s="37">
        <v>4213</v>
      </c>
      <c r="I291" s="37">
        <v>62003</v>
      </c>
      <c r="J291" s="37">
        <v>56</v>
      </c>
      <c r="K291" s="37">
        <v>426</v>
      </c>
    </row>
    <row r="292" spans="1:11" ht="15.75">
      <c r="A292" s="5"/>
      <c r="B292" s="5" t="s">
        <v>18</v>
      </c>
      <c r="C292" s="39">
        <v>17214</v>
      </c>
      <c r="D292" s="40">
        <v>16380</v>
      </c>
      <c r="E292" s="35">
        <v>590490</v>
      </c>
      <c r="F292" s="36">
        <v>998812.82</v>
      </c>
      <c r="G292" s="36">
        <v>12674696.18</v>
      </c>
      <c r="H292" s="37">
        <v>3745</v>
      </c>
      <c r="I292" s="37">
        <v>59654</v>
      </c>
      <c r="J292" s="37">
        <v>100</v>
      </c>
      <c r="K292" s="37">
        <v>550</v>
      </c>
    </row>
    <row r="293" spans="1:11" ht="15.75">
      <c r="A293" s="5"/>
      <c r="B293" s="5"/>
      <c r="C293" s="39"/>
      <c r="D293" s="40"/>
      <c r="E293" s="35"/>
      <c r="F293" s="36"/>
      <c r="G293" s="36"/>
      <c r="H293" s="37"/>
      <c r="I293" s="37"/>
      <c r="J293" s="37"/>
      <c r="K293" s="37"/>
    </row>
    <row r="294" spans="1:11" ht="15.75">
      <c r="A294" s="5"/>
      <c r="B294" s="9" t="s">
        <v>39</v>
      </c>
      <c r="C294" s="39"/>
      <c r="D294" s="40"/>
      <c r="E294" s="35"/>
      <c r="F294" s="41"/>
      <c r="G294" s="41"/>
      <c r="H294" s="37"/>
      <c r="I294" s="37"/>
      <c r="J294" s="37"/>
      <c r="K294" s="37"/>
    </row>
    <row r="295" spans="1:11" ht="15.75">
      <c r="A295" s="5"/>
      <c r="B295" s="5" t="s">
        <v>19</v>
      </c>
      <c r="C295" s="39">
        <v>16642</v>
      </c>
      <c r="D295" s="40">
        <v>15824</v>
      </c>
      <c r="E295" s="35">
        <v>592545</v>
      </c>
      <c r="F295" s="41" t="s">
        <v>88</v>
      </c>
      <c r="G295" s="41" t="s">
        <v>88</v>
      </c>
      <c r="H295" s="37">
        <v>4363</v>
      </c>
      <c r="I295" s="37">
        <v>61126</v>
      </c>
      <c r="J295" s="37">
        <v>30</v>
      </c>
      <c r="K295" s="37">
        <v>287</v>
      </c>
    </row>
    <row r="296" spans="1:11" ht="15.75">
      <c r="A296" s="5"/>
      <c r="B296" s="5" t="s">
        <v>20</v>
      </c>
      <c r="C296" s="39">
        <v>16198</v>
      </c>
      <c r="D296" s="40">
        <v>16120</v>
      </c>
      <c r="E296" s="35">
        <v>594218</v>
      </c>
      <c r="F296" s="41" t="s">
        <v>88</v>
      </c>
      <c r="G296" s="41" t="s">
        <v>88</v>
      </c>
      <c r="H296" s="37">
        <v>3491</v>
      </c>
      <c r="I296" s="37">
        <v>44450</v>
      </c>
      <c r="J296" s="37">
        <v>22</v>
      </c>
      <c r="K296" s="37">
        <v>211</v>
      </c>
    </row>
    <row r="297" spans="1:11" ht="15.75">
      <c r="A297" s="5"/>
      <c r="B297" s="5" t="s">
        <v>21</v>
      </c>
      <c r="C297" s="39">
        <v>17192</v>
      </c>
      <c r="D297" s="40">
        <v>17538</v>
      </c>
      <c r="E297" s="35">
        <v>593695</v>
      </c>
      <c r="F297" s="36">
        <v>866147.83999999997</v>
      </c>
      <c r="G297" s="36">
        <v>10832537.119999999</v>
      </c>
      <c r="H297" s="37">
        <v>3370</v>
      </c>
      <c r="I297" s="37">
        <v>47197</v>
      </c>
      <c r="J297" s="37">
        <v>25</v>
      </c>
      <c r="K297" s="37">
        <v>266</v>
      </c>
    </row>
    <row r="298" spans="1:11" ht="15.75">
      <c r="A298" s="5"/>
      <c r="B298" s="5"/>
      <c r="C298" s="39"/>
      <c r="D298" s="40"/>
      <c r="E298" s="35"/>
      <c r="F298" s="36"/>
      <c r="G298" s="36"/>
      <c r="H298" s="37"/>
      <c r="I298" s="37"/>
      <c r="J298" s="37"/>
      <c r="K298" s="37"/>
    </row>
    <row r="299" spans="1:11" ht="15.75">
      <c r="A299" s="12" t="s">
        <v>27</v>
      </c>
      <c r="B299" s="9" t="s">
        <v>41</v>
      </c>
      <c r="C299" s="39"/>
      <c r="D299" s="40"/>
      <c r="E299" s="35"/>
      <c r="F299" s="41"/>
      <c r="G299" s="41"/>
      <c r="H299" s="37"/>
      <c r="I299" s="37"/>
      <c r="J299" s="37"/>
      <c r="K299" s="37"/>
    </row>
    <row r="300" spans="1:11" ht="15.75">
      <c r="A300" s="5">
        <v>2003</v>
      </c>
      <c r="B300" s="5" t="s">
        <v>23</v>
      </c>
      <c r="C300" s="39">
        <v>18797</v>
      </c>
      <c r="D300" s="40">
        <v>19398</v>
      </c>
      <c r="E300" s="35">
        <v>593570</v>
      </c>
      <c r="F300" s="41" t="s">
        <v>88</v>
      </c>
      <c r="G300" s="41" t="s">
        <v>88</v>
      </c>
      <c r="H300" s="37">
        <v>6038</v>
      </c>
      <c r="I300" s="37">
        <v>56752</v>
      </c>
      <c r="J300" s="37">
        <v>29</v>
      </c>
      <c r="K300" s="37">
        <v>362</v>
      </c>
    </row>
    <row r="301" spans="1:11" ht="15.75">
      <c r="A301" s="5"/>
      <c r="B301" s="5" t="s">
        <v>24</v>
      </c>
      <c r="C301" s="39">
        <v>21066</v>
      </c>
      <c r="D301" s="40">
        <v>21310</v>
      </c>
      <c r="E301" s="35">
        <v>593472</v>
      </c>
      <c r="F301" s="41" t="s">
        <v>88</v>
      </c>
      <c r="G301" s="41" t="s">
        <v>88</v>
      </c>
      <c r="H301" s="37">
        <v>4816</v>
      </c>
      <c r="I301" s="37">
        <v>52858</v>
      </c>
      <c r="J301" s="37">
        <v>35</v>
      </c>
      <c r="K301" s="37">
        <v>399</v>
      </c>
    </row>
    <row r="302" spans="1:11" ht="15.75">
      <c r="A302" s="5"/>
      <c r="B302" s="5" t="s">
        <v>25</v>
      </c>
      <c r="C302" s="39">
        <v>22691</v>
      </c>
      <c r="D302" s="40">
        <v>22821</v>
      </c>
      <c r="E302" s="35">
        <v>593378</v>
      </c>
      <c r="F302" s="36">
        <v>1156415</v>
      </c>
      <c r="G302" s="36">
        <v>9767092</v>
      </c>
      <c r="H302" s="37">
        <v>4060</v>
      </c>
      <c r="I302" s="37">
        <v>48034</v>
      </c>
      <c r="J302" s="37">
        <v>43</v>
      </c>
      <c r="K302" s="37">
        <v>379</v>
      </c>
    </row>
    <row r="303" spans="1:11" ht="15.75">
      <c r="A303" s="4" t="s">
        <v>79</v>
      </c>
      <c r="B303" s="9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22.5">
      <c r="A304" s="4"/>
      <c r="B304" s="9"/>
      <c r="C304" s="6"/>
      <c r="D304" s="6"/>
      <c r="E304" s="6"/>
      <c r="F304" s="6"/>
      <c r="G304" s="6"/>
      <c r="H304" s="60" t="s">
        <v>80</v>
      </c>
      <c r="I304" s="60"/>
      <c r="J304" s="60"/>
      <c r="K304" s="60"/>
    </row>
    <row r="305" spans="1:11" ht="22.5">
      <c r="A305" s="4"/>
      <c r="B305" s="9"/>
      <c r="C305" s="6"/>
      <c r="D305" s="60" t="s">
        <v>81</v>
      </c>
      <c r="E305" s="60"/>
      <c r="F305" s="60" t="s">
        <v>82</v>
      </c>
      <c r="G305" s="60"/>
      <c r="H305" s="60" t="s">
        <v>83</v>
      </c>
      <c r="I305" s="60"/>
      <c r="J305" s="60" t="s">
        <v>84</v>
      </c>
      <c r="K305" s="60"/>
    </row>
    <row r="306" spans="1:11" ht="15.75">
      <c r="A306" s="9" t="s">
        <v>9</v>
      </c>
      <c r="B306" s="9" t="s">
        <v>10</v>
      </c>
      <c r="C306" s="33" t="s">
        <v>85</v>
      </c>
      <c r="D306" s="33" t="s">
        <v>86</v>
      </c>
      <c r="E306" s="33" t="s">
        <v>87</v>
      </c>
      <c r="F306" s="33" t="s">
        <v>86</v>
      </c>
      <c r="G306" s="33" t="s">
        <v>87</v>
      </c>
      <c r="H306" s="33" t="s">
        <v>86</v>
      </c>
      <c r="I306" s="33" t="s">
        <v>87</v>
      </c>
      <c r="J306" s="33" t="s">
        <v>86</v>
      </c>
      <c r="K306" s="33" t="s">
        <v>87</v>
      </c>
    </row>
    <row r="307" spans="1:11" ht="15.75">
      <c r="A307" s="5"/>
      <c r="B307" s="5"/>
      <c r="C307" s="39"/>
      <c r="D307" s="40"/>
      <c r="E307" s="35"/>
      <c r="F307" s="36"/>
      <c r="G307" s="36"/>
      <c r="H307" s="37"/>
      <c r="I307" s="37"/>
      <c r="J307" s="37"/>
      <c r="K307" s="37"/>
    </row>
    <row r="308" spans="1:11" ht="15.75">
      <c r="A308" s="12" t="s">
        <v>27</v>
      </c>
      <c r="B308" s="9" t="s">
        <v>42</v>
      </c>
      <c r="C308" s="39"/>
      <c r="D308" s="40"/>
      <c r="E308" s="35"/>
      <c r="F308" s="41"/>
      <c r="G308" s="41"/>
      <c r="H308" s="37"/>
      <c r="I308" s="37"/>
      <c r="J308" s="37"/>
      <c r="K308" s="37"/>
    </row>
    <row r="309" spans="1:11" ht="15.75">
      <c r="A309" s="5"/>
      <c r="B309" s="5" t="s">
        <v>28</v>
      </c>
      <c r="C309" s="39">
        <v>23884</v>
      </c>
      <c r="D309" s="40">
        <v>23506</v>
      </c>
      <c r="E309" s="35">
        <v>593216</v>
      </c>
      <c r="F309" s="41" t="s">
        <v>88</v>
      </c>
      <c r="G309" s="41" t="s">
        <v>88</v>
      </c>
      <c r="H309" s="37">
        <v>3474</v>
      </c>
      <c r="I309" s="37">
        <v>49538</v>
      </c>
      <c r="J309" s="37">
        <v>58</v>
      </c>
      <c r="K309" s="37">
        <v>605</v>
      </c>
    </row>
    <row r="310" spans="1:11" ht="15.75">
      <c r="A310" s="5"/>
      <c r="B310" s="5" t="s">
        <v>29</v>
      </c>
      <c r="C310" s="39">
        <v>24166</v>
      </c>
      <c r="D310" s="40">
        <v>23481</v>
      </c>
      <c r="E310" s="35">
        <v>593787</v>
      </c>
      <c r="F310" s="41" t="s">
        <v>88</v>
      </c>
      <c r="G310" s="41" t="s">
        <v>88</v>
      </c>
      <c r="H310" s="37">
        <v>3643</v>
      </c>
      <c r="I310" s="37">
        <v>46383</v>
      </c>
      <c r="J310" s="37">
        <v>1</v>
      </c>
      <c r="K310" s="37">
        <v>546</v>
      </c>
    </row>
    <row r="311" spans="1:11" ht="15.75">
      <c r="A311" s="5"/>
      <c r="B311" s="5" t="s">
        <v>30</v>
      </c>
      <c r="C311" s="39">
        <v>22096</v>
      </c>
      <c r="D311" s="40">
        <v>18151</v>
      </c>
      <c r="E311" s="35">
        <v>599513</v>
      </c>
      <c r="F311" s="36">
        <v>1019165.69</v>
      </c>
      <c r="G311" s="36">
        <v>9042021.9299999997</v>
      </c>
      <c r="H311" s="37">
        <v>3606</v>
      </c>
      <c r="I311" s="37">
        <v>43885</v>
      </c>
      <c r="J311" s="37">
        <v>27</v>
      </c>
      <c r="K311" s="37">
        <v>863</v>
      </c>
    </row>
    <row r="312" spans="1:11" ht="15.75">
      <c r="A312" s="5"/>
      <c r="B312" s="5"/>
      <c r="C312" s="39"/>
      <c r="D312" s="40"/>
      <c r="E312" s="35"/>
      <c r="F312" s="36"/>
      <c r="G312" s="36"/>
      <c r="H312" s="37"/>
      <c r="I312" s="37"/>
      <c r="J312" s="37"/>
      <c r="K312" s="37"/>
    </row>
    <row r="313" spans="1:11" ht="15.75">
      <c r="A313" s="12" t="s">
        <v>27</v>
      </c>
      <c r="B313" s="9" t="s">
        <v>43</v>
      </c>
      <c r="C313" s="39"/>
      <c r="D313" s="40"/>
      <c r="E313" s="35"/>
      <c r="F313" s="41"/>
      <c r="G313" s="41"/>
      <c r="H313" s="37"/>
      <c r="I313" s="37"/>
      <c r="J313" s="37"/>
      <c r="K313" s="37"/>
    </row>
    <row r="314" spans="1:11" ht="15.75">
      <c r="A314" s="5"/>
      <c r="B314" s="5" t="s">
        <v>32</v>
      </c>
      <c r="C314" s="39">
        <v>18294</v>
      </c>
      <c r="D314" s="40">
        <v>17418</v>
      </c>
      <c r="E314" s="35">
        <v>601947</v>
      </c>
      <c r="F314" s="41" t="s">
        <v>88</v>
      </c>
      <c r="G314" s="41" t="s">
        <v>88</v>
      </c>
      <c r="H314" s="37">
        <v>3715</v>
      </c>
      <c r="I314" s="37">
        <v>48911</v>
      </c>
      <c r="J314" s="37">
        <v>73</v>
      </c>
      <c r="K314" s="37">
        <v>710</v>
      </c>
    </row>
    <row r="315" spans="1:11" ht="15.75">
      <c r="A315" s="5"/>
      <c r="B315" s="5" t="s">
        <v>33</v>
      </c>
      <c r="C315" s="39">
        <v>17458</v>
      </c>
      <c r="D315" s="40">
        <v>16781</v>
      </c>
      <c r="E315" s="35">
        <v>602962</v>
      </c>
      <c r="F315" s="41" t="s">
        <v>88</v>
      </c>
      <c r="G315" s="41" t="s">
        <v>88</v>
      </c>
      <c r="H315" s="37">
        <v>3747</v>
      </c>
      <c r="I315" s="37">
        <v>52067</v>
      </c>
      <c r="J315" s="37">
        <v>3</v>
      </c>
      <c r="K315" s="37">
        <v>654</v>
      </c>
    </row>
    <row r="316" spans="1:11" ht="15.75">
      <c r="A316" s="5"/>
      <c r="B316" s="5" t="s">
        <v>18</v>
      </c>
      <c r="C316" s="39">
        <v>17118</v>
      </c>
      <c r="D316" s="40">
        <v>16228</v>
      </c>
      <c r="E316" s="35">
        <v>604851</v>
      </c>
      <c r="F316" s="36">
        <v>816361.92</v>
      </c>
      <c r="G316" s="36">
        <v>11114494.32</v>
      </c>
      <c r="H316" s="37">
        <v>4160</v>
      </c>
      <c r="I316" s="37">
        <v>59511</v>
      </c>
      <c r="J316" s="37">
        <v>1</v>
      </c>
      <c r="K316" s="37">
        <v>901</v>
      </c>
    </row>
    <row r="317" spans="1:11" ht="15.75">
      <c r="A317" s="5"/>
      <c r="B317" s="5"/>
      <c r="C317" s="39"/>
      <c r="D317" s="40"/>
      <c r="E317" s="35"/>
      <c r="F317" s="36"/>
      <c r="G317" s="36"/>
      <c r="H317" s="37"/>
      <c r="I317" s="37"/>
      <c r="J317" s="37"/>
      <c r="K317" s="37"/>
    </row>
    <row r="318" spans="1:11" ht="15.75">
      <c r="A318" s="12" t="s">
        <v>27</v>
      </c>
      <c r="B318" s="9" t="s">
        <v>44</v>
      </c>
      <c r="C318" s="39"/>
      <c r="D318" s="40"/>
      <c r="E318" s="35"/>
      <c r="F318" s="41"/>
      <c r="G318" s="41"/>
      <c r="H318" s="37"/>
      <c r="I318" s="37"/>
      <c r="J318" s="37"/>
      <c r="K318" s="37"/>
    </row>
    <row r="319" spans="1:11" ht="15.75">
      <c r="A319" s="5"/>
      <c r="B319" s="5" t="s">
        <v>19</v>
      </c>
      <c r="C319" s="39">
        <v>16449</v>
      </c>
      <c r="D319" s="40">
        <v>15708</v>
      </c>
      <c r="E319" s="35">
        <v>605838</v>
      </c>
      <c r="F319" s="41" t="s">
        <v>88</v>
      </c>
      <c r="G319" s="41" t="s">
        <v>88</v>
      </c>
      <c r="H319" s="37">
        <v>4821</v>
      </c>
      <c r="I319" s="37">
        <v>58379</v>
      </c>
      <c r="J319" s="37">
        <v>0</v>
      </c>
      <c r="K319" s="37">
        <v>369</v>
      </c>
    </row>
    <row r="320" spans="1:11" ht="15.75">
      <c r="A320" s="5"/>
      <c r="B320" s="5" t="s">
        <v>20</v>
      </c>
      <c r="C320" s="39">
        <v>16094</v>
      </c>
      <c r="D320" s="40">
        <v>15798</v>
      </c>
      <c r="E320" s="35">
        <v>609712</v>
      </c>
      <c r="F320" s="41" t="s">
        <v>88</v>
      </c>
      <c r="G320" s="41" t="s">
        <v>88</v>
      </c>
      <c r="H320" s="37">
        <v>3461</v>
      </c>
      <c r="I320" s="37">
        <v>38372</v>
      </c>
      <c r="J320" s="37">
        <v>1</v>
      </c>
      <c r="K320" s="37">
        <v>340</v>
      </c>
    </row>
    <row r="321" spans="1:11" ht="15.75">
      <c r="A321" s="5"/>
      <c r="B321" s="5" t="s">
        <v>21</v>
      </c>
      <c r="C321" s="39">
        <v>17120</v>
      </c>
      <c r="D321" s="40">
        <v>17345</v>
      </c>
      <c r="E321" s="35">
        <v>607291</v>
      </c>
      <c r="F321" s="36">
        <f>1048848</f>
        <v>1048848</v>
      </c>
      <c r="G321" s="36">
        <v>11605646</v>
      </c>
      <c r="H321" s="37">
        <v>3407</v>
      </c>
      <c r="I321" s="37">
        <v>45693</v>
      </c>
      <c r="J321" s="37">
        <v>22</v>
      </c>
      <c r="K321" s="37">
        <v>310</v>
      </c>
    </row>
    <row r="322" spans="1:11" ht="15.75">
      <c r="A322" s="5"/>
      <c r="B322" s="5"/>
      <c r="C322" s="39"/>
      <c r="D322" s="40"/>
      <c r="E322" s="35"/>
      <c r="F322" s="36"/>
      <c r="G322" s="36"/>
      <c r="H322" s="37"/>
      <c r="I322" s="37"/>
      <c r="J322" s="37"/>
      <c r="K322" s="37"/>
    </row>
    <row r="323" spans="1:11" ht="15.75">
      <c r="A323" s="12" t="s">
        <v>27</v>
      </c>
      <c r="B323" s="9" t="s">
        <v>45</v>
      </c>
      <c r="C323" s="39"/>
      <c r="D323" s="40"/>
      <c r="E323" s="35"/>
      <c r="F323" s="41"/>
      <c r="G323" s="41"/>
      <c r="H323" s="37"/>
      <c r="I323" s="37"/>
      <c r="J323" s="37"/>
      <c r="K323" s="37"/>
    </row>
    <row r="324" spans="1:11" ht="15.75">
      <c r="A324" s="5">
        <v>2004</v>
      </c>
      <c r="B324" s="5" t="s">
        <v>23</v>
      </c>
      <c r="C324" s="39">
        <v>18727</v>
      </c>
      <c r="D324" s="40">
        <v>19077</v>
      </c>
      <c r="E324" s="35">
        <v>607545</v>
      </c>
      <c r="F324" s="41" t="s">
        <v>88</v>
      </c>
      <c r="G324" s="41" t="s">
        <v>88</v>
      </c>
      <c r="H324" s="37">
        <v>4681</v>
      </c>
      <c r="I324" s="37">
        <v>51228</v>
      </c>
      <c r="J324" s="37">
        <v>1</v>
      </c>
      <c r="K324" s="37">
        <v>358</v>
      </c>
    </row>
    <row r="325" spans="1:11" ht="15.75">
      <c r="A325" s="5"/>
      <c r="B325" s="5" t="s">
        <v>24</v>
      </c>
      <c r="C325" s="39">
        <v>20542</v>
      </c>
      <c r="D325" s="40">
        <v>20433</v>
      </c>
      <c r="E325" s="35">
        <v>608541</v>
      </c>
      <c r="F325" s="41" t="s">
        <v>88</v>
      </c>
      <c r="G325" s="41" t="s">
        <v>88</v>
      </c>
      <c r="H325" s="37">
        <v>3979</v>
      </c>
      <c r="I325" s="37">
        <v>50461</v>
      </c>
      <c r="J325" s="37">
        <v>1</v>
      </c>
      <c r="K325" s="37">
        <v>533</v>
      </c>
    </row>
    <row r="326" spans="1:11" ht="15.75">
      <c r="A326" s="5"/>
      <c r="B326" s="5" t="s">
        <v>25</v>
      </c>
      <c r="C326" s="39">
        <v>21653</v>
      </c>
      <c r="D326" s="40">
        <v>21440</v>
      </c>
      <c r="E326" s="35">
        <v>607606</v>
      </c>
      <c r="F326" s="36">
        <v>1242171.72</v>
      </c>
      <c r="G326" s="36">
        <v>10421871.48</v>
      </c>
      <c r="H326" s="37">
        <v>4020</v>
      </c>
      <c r="I326" s="37">
        <v>49530</v>
      </c>
      <c r="J326" s="37">
        <v>0</v>
      </c>
      <c r="K326" s="37">
        <v>581</v>
      </c>
    </row>
    <row r="327" spans="1:11" ht="15.75">
      <c r="A327" s="5"/>
      <c r="B327" s="5"/>
      <c r="C327" s="39"/>
      <c r="D327" s="40"/>
      <c r="E327" s="35"/>
      <c r="F327" s="36"/>
      <c r="G327" s="36"/>
      <c r="H327" s="37"/>
      <c r="I327" s="37"/>
      <c r="J327" s="37"/>
      <c r="K327" s="37"/>
    </row>
    <row r="328" spans="1:11" ht="15.75">
      <c r="A328" s="12" t="s">
        <v>27</v>
      </c>
      <c r="B328" s="9" t="s">
        <v>46</v>
      </c>
      <c r="C328" s="39"/>
      <c r="D328" s="40"/>
      <c r="E328" s="35"/>
      <c r="F328" s="41"/>
      <c r="G328" s="41"/>
      <c r="H328" s="37"/>
      <c r="I328" s="37"/>
      <c r="J328" s="37"/>
      <c r="K328" s="37"/>
    </row>
    <row r="329" spans="1:11" ht="15.75">
      <c r="A329" s="5"/>
      <c r="B329" s="5" t="s">
        <v>28</v>
      </c>
      <c r="C329" s="39">
        <v>22276</v>
      </c>
      <c r="D329" s="40">
        <v>21668</v>
      </c>
      <c r="E329" s="35">
        <v>607485</v>
      </c>
      <c r="F329" s="41" t="s">
        <v>88</v>
      </c>
      <c r="G329" s="41" t="s">
        <v>88</v>
      </c>
      <c r="H329" s="37">
        <v>3188</v>
      </c>
      <c r="I329" s="37">
        <v>46428</v>
      </c>
      <c r="J329" s="37">
        <v>46</v>
      </c>
      <c r="K329" s="37">
        <v>758</v>
      </c>
    </row>
    <row r="330" spans="1:11" ht="15.75">
      <c r="A330" s="5"/>
      <c r="B330" s="5" t="s">
        <v>29</v>
      </c>
      <c r="C330" s="39">
        <v>22616</v>
      </c>
      <c r="D330" s="40">
        <v>21651</v>
      </c>
      <c r="E330" s="35">
        <v>608743</v>
      </c>
      <c r="F330" s="41" t="s">
        <v>88</v>
      </c>
      <c r="G330" s="41" t="s">
        <v>88</v>
      </c>
      <c r="H330" s="37">
        <v>2294</v>
      </c>
      <c r="I330" s="37">
        <v>40482</v>
      </c>
      <c r="J330" s="37">
        <v>190</v>
      </c>
      <c r="K330" s="37">
        <v>586</v>
      </c>
    </row>
    <row r="331" spans="1:11" ht="15.75">
      <c r="A331" s="5"/>
      <c r="B331" s="5" t="s">
        <v>30</v>
      </c>
      <c r="C331" s="39">
        <v>21763</v>
      </c>
      <c r="D331" s="40">
        <v>16162</v>
      </c>
      <c r="E331" s="35">
        <v>615355</v>
      </c>
      <c r="F331" s="36">
        <v>979097.97</v>
      </c>
      <c r="G331" s="36">
        <v>9403556.1999999993</v>
      </c>
      <c r="H331" s="37">
        <v>2555</v>
      </c>
      <c r="I331" s="37">
        <v>46097</v>
      </c>
      <c r="J331" s="37">
        <v>128</v>
      </c>
      <c r="K331" s="37">
        <v>721</v>
      </c>
    </row>
    <row r="332" spans="1:11" ht="15.75">
      <c r="A332" s="5"/>
      <c r="B332" s="5"/>
      <c r="C332" s="39"/>
      <c r="D332" s="40"/>
      <c r="E332" s="35"/>
      <c r="F332" s="36"/>
      <c r="G332" s="36"/>
      <c r="H332" s="37"/>
      <c r="I332" s="37"/>
      <c r="J332" s="37"/>
      <c r="K332" s="37"/>
    </row>
    <row r="333" spans="1:11" ht="15.75">
      <c r="A333" s="12" t="s">
        <v>27</v>
      </c>
      <c r="B333" s="9" t="s">
        <v>47</v>
      </c>
      <c r="C333" s="39"/>
      <c r="D333" s="40"/>
      <c r="E333" s="35"/>
      <c r="F333" s="41"/>
      <c r="G333" s="41"/>
      <c r="H333" s="37"/>
      <c r="I333" s="37"/>
      <c r="J333" s="37"/>
      <c r="K333" s="37"/>
    </row>
    <row r="334" spans="1:11" ht="15.75">
      <c r="A334" s="5"/>
      <c r="B334" s="5" t="s">
        <v>32</v>
      </c>
      <c r="C334" s="39">
        <v>16439</v>
      </c>
      <c r="D334" s="40">
        <v>15610</v>
      </c>
      <c r="E334" s="35">
        <v>617715</v>
      </c>
      <c r="F334" s="41" t="s">
        <v>88</v>
      </c>
      <c r="G334" s="41" t="s">
        <v>88</v>
      </c>
      <c r="H334" s="37">
        <v>2356</v>
      </c>
      <c r="I334" s="37">
        <v>46867</v>
      </c>
      <c r="J334" s="37">
        <v>68</v>
      </c>
      <c r="K334" s="37">
        <v>607</v>
      </c>
    </row>
    <row r="335" spans="1:11" ht="15.75">
      <c r="A335" s="5"/>
      <c r="B335" s="5" t="s">
        <v>33</v>
      </c>
      <c r="C335" s="39">
        <v>15958</v>
      </c>
      <c r="D335" s="40">
        <v>15036</v>
      </c>
      <c r="E335" s="35">
        <v>618936</v>
      </c>
      <c r="F335" s="41" t="s">
        <v>88</v>
      </c>
      <c r="G335" s="41" t="s">
        <v>88</v>
      </c>
      <c r="H335" s="37">
        <v>2745</v>
      </c>
      <c r="I335" s="37">
        <v>56948</v>
      </c>
      <c r="J335" s="37">
        <v>100</v>
      </c>
      <c r="K335" s="37">
        <v>1059</v>
      </c>
    </row>
    <row r="336" spans="1:11" ht="15.75">
      <c r="A336" s="5"/>
      <c r="B336" s="5" t="s">
        <v>18</v>
      </c>
      <c r="C336" s="39">
        <v>15369</v>
      </c>
      <c r="D336" s="40">
        <v>14512</v>
      </c>
      <c r="E336" s="35">
        <v>621379</v>
      </c>
      <c r="F336" s="36">
        <v>976395.79</v>
      </c>
      <c r="G336" s="36">
        <v>14532737.5</v>
      </c>
      <c r="H336" s="37">
        <v>2818</v>
      </c>
      <c r="I336" s="37">
        <v>61652</v>
      </c>
      <c r="J336" s="37">
        <v>75</v>
      </c>
      <c r="K336" s="37">
        <v>923</v>
      </c>
    </row>
    <row r="337" spans="1:11" ht="15.75">
      <c r="A337" s="5"/>
      <c r="B337" s="5"/>
      <c r="C337" s="39"/>
      <c r="D337" s="40"/>
      <c r="E337" s="35"/>
      <c r="F337" s="36"/>
      <c r="G337" s="36"/>
      <c r="H337" s="37"/>
      <c r="I337" s="37"/>
      <c r="J337" s="37"/>
      <c r="K337" s="37"/>
    </row>
    <row r="338" spans="1:11" ht="15.75">
      <c r="A338" s="12" t="s">
        <v>27</v>
      </c>
      <c r="B338" s="9" t="s">
        <v>48</v>
      </c>
      <c r="C338" s="39"/>
      <c r="D338" s="40"/>
      <c r="E338" s="35"/>
      <c r="F338" s="41"/>
      <c r="G338" s="41"/>
      <c r="H338" s="37"/>
      <c r="I338" s="37"/>
      <c r="J338" s="37"/>
      <c r="K338" s="37"/>
    </row>
    <row r="339" spans="1:11" ht="15.75">
      <c r="A339" s="5"/>
      <c r="B339" s="5" t="s">
        <v>19</v>
      </c>
      <c r="C339" s="39">
        <v>14856</v>
      </c>
      <c r="D339" s="40">
        <v>14110</v>
      </c>
      <c r="E339" s="35">
        <v>623027</v>
      </c>
      <c r="F339" s="41" t="s">
        <v>88</v>
      </c>
      <c r="G339" s="41" t="s">
        <v>88</v>
      </c>
      <c r="H339" s="37">
        <v>3071</v>
      </c>
      <c r="I339" s="37">
        <v>53347</v>
      </c>
      <c r="J339" s="37">
        <v>32</v>
      </c>
      <c r="K339" s="37">
        <v>472</v>
      </c>
    </row>
    <row r="340" spans="1:11" ht="15.75">
      <c r="A340" s="5"/>
      <c r="B340" s="5" t="s">
        <v>20</v>
      </c>
      <c r="C340" s="39">
        <v>14728</v>
      </c>
      <c r="D340" s="40">
        <v>14305</v>
      </c>
      <c r="E340" s="35">
        <v>626870</v>
      </c>
      <c r="F340" s="41" t="s">
        <v>88</v>
      </c>
      <c r="G340" s="41" t="s">
        <v>88</v>
      </c>
      <c r="H340" s="37">
        <v>2701</v>
      </c>
      <c r="I340" s="37">
        <v>42162</v>
      </c>
      <c r="J340" s="37">
        <v>17</v>
      </c>
      <c r="K340" s="37">
        <v>356</v>
      </c>
    </row>
    <row r="341" spans="1:11" ht="15.75">
      <c r="A341" s="5"/>
      <c r="B341" s="5" t="s">
        <v>21</v>
      </c>
      <c r="C341" s="39">
        <v>15945</v>
      </c>
      <c r="D341" s="40">
        <v>16000</v>
      </c>
      <c r="E341" s="35">
        <v>625178</v>
      </c>
      <c r="F341" s="36">
        <v>790697.38</v>
      </c>
      <c r="G341" s="36">
        <v>12620921.439999999</v>
      </c>
      <c r="H341" s="37">
        <v>2435</v>
      </c>
      <c r="I341" s="37">
        <v>44236</v>
      </c>
      <c r="J341" s="37">
        <v>17</v>
      </c>
      <c r="K341" s="37">
        <v>232</v>
      </c>
    </row>
    <row r="342" spans="1:11" ht="15.75">
      <c r="A342" s="5"/>
      <c r="B342" s="5"/>
      <c r="C342" s="39"/>
      <c r="D342" s="40"/>
      <c r="E342" s="35"/>
      <c r="F342" s="36"/>
      <c r="G342" s="36"/>
      <c r="H342" s="37"/>
      <c r="I342" s="37"/>
      <c r="J342" s="37"/>
      <c r="K342" s="37"/>
    </row>
    <row r="343" spans="1:11" ht="15.75">
      <c r="A343" s="12" t="s">
        <v>27</v>
      </c>
      <c r="B343" s="9" t="s">
        <v>49</v>
      </c>
      <c r="C343" s="39"/>
      <c r="D343" s="40"/>
      <c r="E343" s="35"/>
      <c r="F343" s="41"/>
      <c r="G343" s="41"/>
      <c r="H343" s="37"/>
      <c r="I343" s="37"/>
      <c r="J343" s="37"/>
      <c r="K343" s="37"/>
    </row>
    <row r="344" spans="1:11" ht="15.75">
      <c r="A344" s="5">
        <v>2005</v>
      </c>
      <c r="B344" s="5" t="s">
        <v>23</v>
      </c>
      <c r="C344" s="39">
        <v>17449</v>
      </c>
      <c r="D344" s="40">
        <v>17162</v>
      </c>
      <c r="E344" s="35">
        <v>626248</v>
      </c>
      <c r="F344" s="41" t="s">
        <v>88</v>
      </c>
      <c r="G344" s="41" t="s">
        <v>88</v>
      </c>
      <c r="H344" s="37">
        <v>3693</v>
      </c>
      <c r="I344" s="37">
        <v>53875</v>
      </c>
      <c r="J344" s="37">
        <v>23</v>
      </c>
      <c r="K344" s="37">
        <v>511</v>
      </c>
    </row>
    <row r="345" spans="1:11" ht="15.75">
      <c r="A345" s="5"/>
      <c r="B345" s="5" t="s">
        <v>24</v>
      </c>
      <c r="C345" s="39">
        <v>18124</v>
      </c>
      <c r="D345" s="40">
        <v>18481</v>
      </c>
      <c r="E345" s="35">
        <v>627011</v>
      </c>
      <c r="F345" s="41" t="s">
        <v>88</v>
      </c>
      <c r="G345" s="41" t="s">
        <v>88</v>
      </c>
      <c r="H345" s="37">
        <v>3214</v>
      </c>
      <c r="I345" s="37">
        <v>49243</v>
      </c>
      <c r="J345" s="37">
        <v>30</v>
      </c>
      <c r="K345" s="37">
        <v>492</v>
      </c>
    </row>
    <row r="346" spans="1:11" ht="15.75">
      <c r="A346" s="5"/>
      <c r="B346" s="5" t="s">
        <v>25</v>
      </c>
      <c r="C346" s="39">
        <v>19555</v>
      </c>
      <c r="D346" s="40">
        <v>19340</v>
      </c>
      <c r="E346" s="35">
        <v>626754</v>
      </c>
      <c r="F346" s="36">
        <v>755896.21</v>
      </c>
      <c r="G346" s="36">
        <v>9557795.0700000003</v>
      </c>
      <c r="H346" s="37">
        <v>2960</v>
      </c>
      <c r="I346" s="37">
        <v>49939</v>
      </c>
      <c r="J346" s="37">
        <v>41</v>
      </c>
      <c r="K346" s="37">
        <v>521</v>
      </c>
    </row>
    <row r="347" spans="1:11" ht="15.75">
      <c r="A347" s="5"/>
      <c r="B347" s="5"/>
      <c r="C347" s="39"/>
      <c r="D347" s="40"/>
      <c r="E347" s="35"/>
      <c r="F347" s="36"/>
      <c r="G347" s="36"/>
      <c r="H347" s="37"/>
      <c r="I347" s="37"/>
      <c r="J347" s="37"/>
      <c r="K347" s="37"/>
    </row>
    <row r="348" spans="1:11" ht="15.75">
      <c r="A348" s="43" t="s">
        <v>90</v>
      </c>
      <c r="B348" s="5"/>
      <c r="C348" s="39"/>
      <c r="D348" s="40" t="s">
        <v>27</v>
      </c>
      <c r="E348" s="35"/>
      <c r="F348" s="36"/>
      <c r="G348" s="36"/>
      <c r="H348" s="37"/>
      <c r="I348" s="37"/>
      <c r="J348" s="37"/>
      <c r="K348" s="37"/>
    </row>
    <row r="349" spans="1:11" ht="15.75">
      <c r="A349" s="5"/>
      <c r="B349" s="5" t="s">
        <v>27</v>
      </c>
      <c r="C349" s="44" t="s">
        <v>27</v>
      </c>
      <c r="D349" s="37"/>
      <c r="E349" s="6"/>
      <c r="F349" s="6"/>
      <c r="G349" s="6"/>
      <c r="H349" s="6"/>
      <c r="I349" s="6"/>
      <c r="J349" s="6"/>
      <c r="K349" s="6"/>
    </row>
    <row r="350" spans="1:11" ht="15.75">
      <c r="A350" s="12" t="s">
        <v>27</v>
      </c>
      <c r="B350" s="9" t="s">
        <v>50</v>
      </c>
      <c r="C350" s="39"/>
      <c r="D350" s="40"/>
      <c r="E350" s="35"/>
      <c r="F350" s="41"/>
      <c r="G350" s="41"/>
      <c r="H350" s="37"/>
      <c r="I350" s="37"/>
      <c r="J350" s="37"/>
      <c r="K350" s="37"/>
    </row>
    <row r="351" spans="1:11" ht="15.75">
      <c r="A351" s="5"/>
      <c r="B351" s="5" t="s">
        <v>28</v>
      </c>
      <c r="C351" s="39">
        <v>20895</v>
      </c>
      <c r="D351" s="40">
        <v>20818</v>
      </c>
      <c r="E351" s="35">
        <v>626181</v>
      </c>
      <c r="F351" s="41" t="s">
        <v>88</v>
      </c>
      <c r="G351" s="41" t="s">
        <v>88</v>
      </c>
      <c r="H351" s="37">
        <v>3167</v>
      </c>
      <c r="I351" s="37">
        <v>45745</v>
      </c>
      <c r="J351" s="37">
        <v>59</v>
      </c>
      <c r="K351" s="37">
        <v>681</v>
      </c>
    </row>
    <row r="352" spans="1:11" ht="15.75">
      <c r="A352" s="5"/>
      <c r="B352" s="5" t="s">
        <v>29</v>
      </c>
      <c r="C352" s="39">
        <v>21513</v>
      </c>
      <c r="D352" s="40">
        <v>20870</v>
      </c>
      <c r="E352" s="35">
        <v>626904</v>
      </c>
      <c r="F352" s="41" t="s">
        <v>88</v>
      </c>
      <c r="G352" s="41" t="s">
        <v>88</v>
      </c>
      <c r="H352" s="37">
        <v>3204</v>
      </c>
      <c r="I352" s="37">
        <v>47599</v>
      </c>
      <c r="J352" s="37">
        <v>74</v>
      </c>
      <c r="K352" s="37">
        <v>735</v>
      </c>
    </row>
    <row r="353" spans="1:14" ht="18" customHeight="1">
      <c r="A353" s="5"/>
      <c r="B353" s="5" t="s">
        <v>30</v>
      </c>
      <c r="C353" s="39">
        <v>21185</v>
      </c>
      <c r="D353" s="40">
        <v>20305</v>
      </c>
      <c r="E353" s="35">
        <v>627186</v>
      </c>
      <c r="F353" s="36">
        <v>852623</v>
      </c>
      <c r="G353" s="36">
        <v>8921062</v>
      </c>
      <c r="H353" s="37">
        <v>3274</v>
      </c>
      <c r="I353" s="37">
        <v>48367</v>
      </c>
      <c r="J353" s="37">
        <v>77</v>
      </c>
      <c r="K353" s="37">
        <v>755</v>
      </c>
    </row>
    <row r="354" spans="1:14" ht="15.75">
      <c r="A354" s="4" t="s">
        <v>79</v>
      </c>
      <c r="B354" s="9"/>
      <c r="C354" s="6"/>
      <c r="D354" s="6"/>
      <c r="E354" s="6"/>
      <c r="F354" s="6"/>
      <c r="G354" s="6"/>
      <c r="H354" s="6"/>
      <c r="I354" s="6"/>
      <c r="J354" s="6"/>
      <c r="K354" s="6"/>
    </row>
    <row r="355" spans="1:14" ht="22.5">
      <c r="A355" s="4"/>
      <c r="B355" s="9"/>
      <c r="C355" s="6"/>
      <c r="D355" s="6"/>
      <c r="E355" s="6"/>
      <c r="F355" s="6"/>
      <c r="G355" s="6"/>
      <c r="H355" s="60" t="s">
        <v>80</v>
      </c>
      <c r="I355" s="60"/>
      <c r="J355" s="60"/>
      <c r="K355" s="60"/>
    </row>
    <row r="356" spans="1:14" ht="22.5">
      <c r="A356" s="4"/>
      <c r="B356" s="9"/>
      <c r="C356" s="6"/>
      <c r="D356" s="60" t="s">
        <v>81</v>
      </c>
      <c r="E356" s="60"/>
      <c r="F356" s="60" t="s">
        <v>82</v>
      </c>
      <c r="G356" s="60"/>
      <c r="H356" s="60" t="s">
        <v>83</v>
      </c>
      <c r="I356" s="60"/>
      <c r="J356" s="60" t="s">
        <v>84</v>
      </c>
      <c r="K356" s="60"/>
    </row>
    <row r="357" spans="1:14" ht="15.75">
      <c r="A357" s="9" t="s">
        <v>9</v>
      </c>
      <c r="B357" s="9" t="s">
        <v>10</v>
      </c>
      <c r="C357" s="33" t="s">
        <v>85</v>
      </c>
      <c r="D357" s="33" t="s">
        <v>86</v>
      </c>
      <c r="E357" s="33" t="s">
        <v>87</v>
      </c>
      <c r="F357" s="33" t="s">
        <v>86</v>
      </c>
      <c r="G357" s="33" t="s">
        <v>87</v>
      </c>
      <c r="H357" s="33" t="s">
        <v>86</v>
      </c>
      <c r="I357" s="33" t="s">
        <v>87</v>
      </c>
      <c r="J357" s="33" t="s">
        <v>86</v>
      </c>
      <c r="K357" s="33" t="s">
        <v>87</v>
      </c>
    </row>
    <row r="358" spans="1:14" ht="18" customHeight="1">
      <c r="A358" s="5"/>
      <c r="B358" s="5"/>
      <c r="C358" s="39"/>
      <c r="D358" s="40"/>
      <c r="E358" s="35"/>
      <c r="F358" s="36"/>
      <c r="G358" s="36"/>
      <c r="H358" s="37"/>
      <c r="I358" s="37"/>
      <c r="J358" s="37"/>
      <c r="K358" s="37"/>
    </row>
    <row r="359" spans="1:14" ht="15.75">
      <c r="A359" s="12" t="s">
        <v>27</v>
      </c>
      <c r="B359" s="9" t="s">
        <v>51</v>
      </c>
      <c r="C359" s="39"/>
      <c r="D359" s="40"/>
      <c r="E359" s="35"/>
      <c r="F359" s="41"/>
      <c r="G359" s="41"/>
      <c r="H359" s="37"/>
      <c r="I359" s="37"/>
      <c r="J359" s="37"/>
      <c r="K359" s="37"/>
    </row>
    <row r="360" spans="1:14" ht="15.75">
      <c r="A360" s="5"/>
      <c r="B360" s="5" t="s">
        <v>32</v>
      </c>
      <c r="C360" s="39">
        <v>20478</v>
      </c>
      <c r="D360" s="40">
        <v>19684</v>
      </c>
      <c r="E360" s="35">
        <v>630691</v>
      </c>
      <c r="F360" s="41" t="s">
        <v>88</v>
      </c>
      <c r="G360" s="41" t="s">
        <v>88</v>
      </c>
      <c r="H360" s="37">
        <v>3042</v>
      </c>
      <c r="I360" s="37">
        <v>47248</v>
      </c>
      <c r="J360" s="37">
        <v>66</v>
      </c>
      <c r="K360" s="37">
        <v>610</v>
      </c>
    </row>
    <row r="361" spans="1:14" ht="15.75">
      <c r="A361" s="5"/>
      <c r="B361" s="5" t="s">
        <v>33</v>
      </c>
      <c r="C361" s="39">
        <v>19953</v>
      </c>
      <c r="D361" s="40">
        <v>19090</v>
      </c>
      <c r="E361" s="35">
        <v>632714</v>
      </c>
      <c r="F361" s="41" t="s">
        <v>88</v>
      </c>
      <c r="G361" s="41" t="s">
        <v>88</v>
      </c>
      <c r="H361" s="37">
        <v>3824</v>
      </c>
      <c r="I361" s="37">
        <v>59643</v>
      </c>
      <c r="J361" s="37">
        <v>84</v>
      </c>
      <c r="K361" s="37">
        <v>854</v>
      </c>
    </row>
    <row r="362" spans="1:14" ht="15.75">
      <c r="A362" s="5"/>
      <c r="B362" s="5" t="s">
        <v>18</v>
      </c>
      <c r="C362" s="39">
        <v>19470</v>
      </c>
      <c r="D362" s="40">
        <v>18604</v>
      </c>
      <c r="E362" s="35">
        <v>632969</v>
      </c>
      <c r="F362" s="36">
        <v>994108</v>
      </c>
      <c r="G362" s="36">
        <f>13888782+242+390</f>
        <v>13889414</v>
      </c>
      <c r="H362" s="37">
        <v>3652</v>
      </c>
      <c r="I362" s="37">
        <v>61655</v>
      </c>
      <c r="J362" s="37">
        <v>53</v>
      </c>
      <c r="K362" s="37">
        <v>604</v>
      </c>
    </row>
    <row r="363" spans="1:14" ht="15.75">
      <c r="A363" s="5"/>
      <c r="B363" s="5"/>
      <c r="C363" s="39"/>
      <c r="D363" s="40"/>
      <c r="E363" s="35"/>
      <c r="F363" s="36"/>
      <c r="G363" s="36"/>
      <c r="H363" s="37"/>
      <c r="I363" s="37"/>
      <c r="J363" s="37"/>
      <c r="K363" s="37"/>
      <c r="N363" t="s">
        <v>27</v>
      </c>
    </row>
    <row r="364" spans="1:14" ht="15.75">
      <c r="A364" s="12" t="s">
        <v>27</v>
      </c>
      <c r="B364" s="9" t="s">
        <v>52</v>
      </c>
      <c r="C364" s="39"/>
      <c r="D364" s="40"/>
      <c r="E364" s="35"/>
      <c r="F364" s="41"/>
      <c r="G364" s="41"/>
      <c r="H364" s="37"/>
      <c r="I364" s="37"/>
      <c r="J364" s="37"/>
      <c r="K364" s="37"/>
    </row>
    <row r="365" spans="1:14" ht="15.75">
      <c r="A365" s="5"/>
      <c r="B365" s="5" t="s">
        <v>19</v>
      </c>
      <c r="C365" s="39">
        <v>18949</v>
      </c>
      <c r="D365" s="40">
        <v>17994</v>
      </c>
      <c r="E365" s="35">
        <v>634708</v>
      </c>
      <c r="F365" s="41" t="s">
        <v>88</v>
      </c>
      <c r="G365" s="41" t="s">
        <v>88</v>
      </c>
      <c r="H365" s="37">
        <v>3992</v>
      </c>
      <c r="I365" s="37">
        <v>58986</v>
      </c>
      <c r="J365" s="37">
        <v>64</v>
      </c>
      <c r="K365" s="37">
        <v>595</v>
      </c>
    </row>
    <row r="366" spans="1:14" ht="15.75">
      <c r="A366" s="5"/>
      <c r="B366" s="5" t="s">
        <v>20</v>
      </c>
      <c r="C366" s="39">
        <v>18457</v>
      </c>
      <c r="D366" s="40">
        <v>18244</v>
      </c>
      <c r="E366" s="35">
        <v>638222</v>
      </c>
      <c r="F366" s="41" t="s">
        <v>88</v>
      </c>
      <c r="G366" s="41" t="s">
        <v>88</v>
      </c>
      <c r="H366" s="37">
        <v>3122</v>
      </c>
      <c r="I366" s="37">
        <v>42629</v>
      </c>
      <c r="J366" s="37">
        <v>33</v>
      </c>
      <c r="K366" s="37">
        <v>422</v>
      </c>
    </row>
    <row r="367" spans="1:14" ht="15.75">
      <c r="A367" s="5"/>
      <c r="B367" s="5" t="s">
        <v>21</v>
      </c>
      <c r="C367" s="39">
        <v>19195</v>
      </c>
      <c r="D367" s="40">
        <v>18990</v>
      </c>
      <c r="E367" s="35">
        <v>638737</v>
      </c>
      <c r="F367" s="36">
        <v>572411</v>
      </c>
      <c r="G367" s="36">
        <v>8559274</v>
      </c>
      <c r="H367" s="37">
        <v>3092</v>
      </c>
      <c r="I367" s="37">
        <v>43927</v>
      </c>
      <c r="J367" s="37">
        <v>21</v>
      </c>
      <c r="K367" s="37">
        <v>186</v>
      </c>
    </row>
    <row r="368" spans="1:14" ht="15.75">
      <c r="A368" s="5"/>
      <c r="B368" s="5"/>
      <c r="C368" s="39"/>
      <c r="D368" s="40"/>
      <c r="E368" s="35"/>
      <c r="F368" s="36"/>
      <c r="G368" s="36"/>
      <c r="H368" s="37"/>
      <c r="I368" s="37"/>
      <c r="J368" s="37"/>
      <c r="K368" s="37"/>
      <c r="N368" t="s">
        <v>27</v>
      </c>
    </row>
    <row r="369" spans="1:11" ht="15.75">
      <c r="A369" s="12" t="s">
        <v>27</v>
      </c>
      <c r="B369" s="9" t="s">
        <v>53</v>
      </c>
      <c r="C369" s="39"/>
      <c r="D369" s="40"/>
      <c r="E369" s="35"/>
      <c r="F369" s="41"/>
      <c r="G369" s="41"/>
      <c r="H369" s="37"/>
      <c r="I369" s="37"/>
      <c r="J369" s="37"/>
      <c r="K369" s="37"/>
    </row>
    <row r="370" spans="1:11" ht="15.75">
      <c r="A370" s="5">
        <v>2006</v>
      </c>
      <c r="B370" s="26" t="s">
        <v>23</v>
      </c>
      <c r="C370" s="45">
        <v>20768</v>
      </c>
      <c r="D370" s="46">
        <v>21462</v>
      </c>
      <c r="E370" s="47">
        <v>638705</v>
      </c>
      <c r="F370" s="48" t="s">
        <v>88</v>
      </c>
      <c r="G370" s="48" t="s">
        <v>88</v>
      </c>
      <c r="H370" s="49">
        <v>4590</v>
      </c>
      <c r="I370" s="49">
        <v>52811</v>
      </c>
      <c r="J370" s="49">
        <v>54</v>
      </c>
      <c r="K370" s="49">
        <v>585</v>
      </c>
    </row>
    <row r="371" spans="1:11" ht="15.75">
      <c r="A371" s="5"/>
      <c r="B371" s="26" t="s">
        <v>24</v>
      </c>
      <c r="C371" s="45">
        <v>22662</v>
      </c>
      <c r="D371" s="46">
        <v>23228</v>
      </c>
      <c r="E371" s="47">
        <v>639045</v>
      </c>
      <c r="F371" s="48" t="s">
        <v>88</v>
      </c>
      <c r="G371" s="48" t="s">
        <v>88</v>
      </c>
      <c r="H371" s="49">
        <v>3992</v>
      </c>
      <c r="I371" s="49">
        <v>51791</v>
      </c>
      <c r="J371" s="49">
        <v>26</v>
      </c>
      <c r="K371" s="49">
        <v>498</v>
      </c>
    </row>
    <row r="372" spans="1:11" ht="15.75">
      <c r="A372" s="5"/>
      <c r="B372" s="26" t="s">
        <v>25</v>
      </c>
      <c r="C372" s="45">
        <v>24654</v>
      </c>
      <c r="D372" s="46">
        <v>24867</v>
      </c>
      <c r="E372" s="47">
        <v>638184</v>
      </c>
      <c r="F372" s="50">
        <v>939008.58</v>
      </c>
      <c r="G372" s="50">
        <f>9558181.77+57.04+789.88</f>
        <v>9559028.6899999995</v>
      </c>
      <c r="H372" s="49">
        <v>3812</v>
      </c>
      <c r="I372" s="49">
        <v>52645</v>
      </c>
      <c r="J372" s="49">
        <v>48</v>
      </c>
      <c r="K372" s="49">
        <v>541</v>
      </c>
    </row>
    <row r="373" spans="1:11" ht="18" customHeight="1">
      <c r="A373" s="5"/>
      <c r="B373" s="5"/>
      <c r="C373" s="39"/>
      <c r="D373" s="40"/>
      <c r="E373" s="35"/>
      <c r="F373" s="36"/>
      <c r="G373" s="36"/>
      <c r="H373" s="37"/>
      <c r="I373" s="37"/>
      <c r="J373" s="37"/>
      <c r="K373" s="37"/>
    </row>
    <row r="374" spans="1:11" ht="15.75">
      <c r="A374" s="12" t="s">
        <v>27</v>
      </c>
      <c r="B374" s="9" t="s">
        <v>54</v>
      </c>
      <c r="C374" s="39"/>
      <c r="D374" s="40"/>
      <c r="E374" s="35"/>
      <c r="F374" s="41"/>
      <c r="G374" s="41"/>
      <c r="H374" s="37"/>
      <c r="I374" s="37"/>
      <c r="J374" s="37"/>
      <c r="K374" s="37"/>
    </row>
    <row r="375" spans="1:11" ht="15.75">
      <c r="A375" s="5"/>
      <c r="B375" s="5" t="s">
        <v>28</v>
      </c>
      <c r="C375" s="45">
        <v>25990</v>
      </c>
      <c r="D375" s="46">
        <v>25758</v>
      </c>
      <c r="E375" s="47">
        <v>637657</v>
      </c>
      <c r="F375" s="48" t="s">
        <v>88</v>
      </c>
      <c r="G375" s="48" t="s">
        <v>88</v>
      </c>
      <c r="H375" s="49">
        <v>4017</v>
      </c>
      <c r="I375" s="49">
        <v>47669</v>
      </c>
      <c r="J375" s="49">
        <v>86</v>
      </c>
      <c r="K375" s="49">
        <v>763</v>
      </c>
    </row>
    <row r="376" spans="1:11" ht="15.75">
      <c r="A376" s="5"/>
      <c r="B376" s="5" t="s">
        <v>29</v>
      </c>
      <c r="C376" s="45">
        <v>26722</v>
      </c>
      <c r="D376" s="46">
        <v>26134</v>
      </c>
      <c r="E376" s="47">
        <v>638924</v>
      </c>
      <c r="F376" s="48" t="s">
        <v>88</v>
      </c>
      <c r="G376" s="48" t="s">
        <v>88</v>
      </c>
      <c r="H376" s="49">
        <v>4547</v>
      </c>
      <c r="I376" s="49">
        <v>52078</v>
      </c>
      <c r="J376" s="49">
        <v>71</v>
      </c>
      <c r="K376" s="49">
        <v>623</v>
      </c>
    </row>
    <row r="377" spans="1:11" ht="15.75">
      <c r="A377" s="5"/>
      <c r="B377" s="5" t="s">
        <v>30</v>
      </c>
      <c r="C377" s="45">
        <v>26797</v>
      </c>
      <c r="D377" s="46">
        <v>25999</v>
      </c>
      <c r="E377" s="47">
        <v>639354</v>
      </c>
      <c r="F377" s="50">
        <v>1025471.05</v>
      </c>
      <c r="G377" s="50">
        <f>8667683.42+57.04+675.89</f>
        <v>8668416.3499999996</v>
      </c>
      <c r="H377" s="49">
        <v>4384</v>
      </c>
      <c r="I377" s="49">
        <v>48206</v>
      </c>
      <c r="J377" s="49">
        <v>96</v>
      </c>
      <c r="K377" s="49">
        <v>626</v>
      </c>
    </row>
    <row r="378" spans="1:11" ht="18" customHeight="1">
      <c r="A378" s="5"/>
      <c r="B378" s="5"/>
      <c r="C378" s="39"/>
      <c r="D378" s="40"/>
      <c r="E378" s="35"/>
      <c r="F378" s="36"/>
      <c r="G378" s="36"/>
      <c r="H378" s="37"/>
      <c r="I378" s="37"/>
      <c r="J378" s="37"/>
      <c r="K378" s="37"/>
    </row>
    <row r="379" spans="1:11" ht="15.75">
      <c r="A379" s="12" t="s">
        <v>27</v>
      </c>
      <c r="B379" s="9" t="s">
        <v>55</v>
      </c>
      <c r="C379" s="39"/>
      <c r="D379" s="40"/>
      <c r="E379" s="35"/>
      <c r="F379" s="41"/>
      <c r="G379" s="41"/>
      <c r="H379" s="37"/>
      <c r="I379" s="37"/>
      <c r="J379" s="37"/>
      <c r="K379" s="37"/>
    </row>
    <row r="380" spans="1:11" ht="15.75">
      <c r="A380" s="5"/>
      <c r="B380" s="5" t="s">
        <v>32</v>
      </c>
      <c r="C380" s="45">
        <v>26448</v>
      </c>
      <c r="D380" s="46">
        <v>25615</v>
      </c>
      <c r="E380" s="47">
        <v>643282</v>
      </c>
      <c r="F380" s="48">
        <v>1134359.33</v>
      </c>
      <c r="G380" s="48">
        <v>10403199.5</v>
      </c>
      <c r="H380" s="49">
        <v>3656</v>
      </c>
      <c r="I380" s="49">
        <v>48651</v>
      </c>
      <c r="J380" s="49">
        <v>83</v>
      </c>
      <c r="K380" s="49">
        <v>565</v>
      </c>
    </row>
    <row r="381" spans="1:11" ht="15.75">
      <c r="A381" s="5"/>
      <c r="B381" s="5" t="s">
        <v>33</v>
      </c>
      <c r="C381" s="45">
        <v>25489</v>
      </c>
      <c r="D381" s="46">
        <v>24005</v>
      </c>
      <c r="E381" s="47">
        <v>644406</v>
      </c>
      <c r="F381" s="48">
        <v>952816.26</v>
      </c>
      <c r="G381" s="48">
        <v>12294331.939999999</v>
      </c>
      <c r="H381" s="49">
        <v>3143</v>
      </c>
      <c r="I381" s="49">
        <v>65024</v>
      </c>
      <c r="J381" s="49">
        <v>70</v>
      </c>
      <c r="K381" s="49">
        <v>762</v>
      </c>
    </row>
    <row r="382" spans="1:11" ht="15.75">
      <c r="A382" s="5"/>
      <c r="B382" s="5" t="s">
        <v>18</v>
      </c>
      <c r="C382" s="45">
        <v>23798</v>
      </c>
      <c r="D382" s="46">
        <v>21779</v>
      </c>
      <c r="E382" s="47">
        <v>648384</v>
      </c>
      <c r="F382" s="50">
        <v>1085106.98</v>
      </c>
      <c r="G382" s="50">
        <v>16012899.939999999</v>
      </c>
      <c r="H382" s="49">
        <v>3409</v>
      </c>
      <c r="I382" s="49">
        <v>62740</v>
      </c>
      <c r="J382" s="49">
        <v>31</v>
      </c>
      <c r="K382" s="49">
        <v>635</v>
      </c>
    </row>
    <row r="383" spans="1:11" ht="18" customHeight="1">
      <c r="A383" s="5"/>
      <c r="B383" s="5"/>
      <c r="C383" s="39"/>
      <c r="D383" s="40"/>
      <c r="E383" s="35"/>
      <c r="F383" s="36"/>
      <c r="G383" s="36"/>
      <c r="H383" s="37"/>
      <c r="I383" s="37"/>
      <c r="J383" s="37"/>
      <c r="K383" s="37"/>
    </row>
    <row r="384" spans="1:11" ht="15.75">
      <c r="A384" s="12" t="s">
        <v>27</v>
      </c>
      <c r="B384" s="9" t="s">
        <v>56</v>
      </c>
      <c r="C384" s="39"/>
      <c r="D384" s="40"/>
      <c r="E384" s="35"/>
      <c r="F384" s="41"/>
      <c r="G384" s="41"/>
      <c r="H384" s="37"/>
      <c r="I384" s="37"/>
      <c r="J384" s="37"/>
      <c r="K384" s="37"/>
    </row>
    <row r="385" spans="1:11" ht="15.75">
      <c r="A385" s="5"/>
      <c r="B385" s="5" t="s">
        <v>19</v>
      </c>
      <c r="C385" s="45">
        <v>22392</v>
      </c>
      <c r="D385" s="46">
        <v>21613</v>
      </c>
      <c r="E385" s="47">
        <v>650513</v>
      </c>
      <c r="F385" s="48">
        <v>1037989.96</v>
      </c>
      <c r="G385" s="48">
        <f>15264741.04+57.04+382.6</f>
        <v>15265180.679999998</v>
      </c>
      <c r="H385" s="49">
        <v>4622</v>
      </c>
      <c r="I385" s="49">
        <v>61546</v>
      </c>
      <c r="J385" s="49">
        <v>61</v>
      </c>
      <c r="K385" s="49">
        <v>541</v>
      </c>
    </row>
    <row r="386" spans="1:11" ht="15.75">
      <c r="A386" s="5"/>
      <c r="B386" s="5" t="s">
        <v>20</v>
      </c>
      <c r="C386" s="45">
        <v>22153</v>
      </c>
      <c r="D386" s="46">
        <v>21733</v>
      </c>
      <c r="E386" s="47">
        <v>653794</v>
      </c>
      <c r="F386" s="48">
        <v>1001336.06</v>
      </c>
      <c r="G386" s="48">
        <f>13570937.05+57.04+382.6</f>
        <v>13571376.689999999</v>
      </c>
      <c r="H386" s="49">
        <v>3304</v>
      </c>
      <c r="I386" s="49">
        <v>42877</v>
      </c>
      <c r="J386" s="49">
        <v>29</v>
      </c>
      <c r="K386" s="49">
        <v>362</v>
      </c>
    </row>
    <row r="387" spans="1:11" ht="15.75">
      <c r="A387" s="5"/>
      <c r="B387" s="5" t="s">
        <v>21</v>
      </c>
      <c r="C387" s="45">
        <v>22788</v>
      </c>
      <c r="D387" s="46">
        <v>22938</v>
      </c>
      <c r="E387" s="47">
        <v>654608</v>
      </c>
      <c r="F387" s="50">
        <f>1017018.65</f>
        <v>1017018.65</v>
      </c>
      <c r="G387" s="50">
        <f>13092734.97+57.04+382.6</f>
        <v>13093174.609999999</v>
      </c>
      <c r="H387" s="49">
        <v>3160</v>
      </c>
      <c r="I387" s="49">
        <v>40979</v>
      </c>
      <c r="J387" s="49">
        <v>26</v>
      </c>
      <c r="K387" s="49">
        <v>175</v>
      </c>
    </row>
    <row r="388" spans="1:11" ht="18" customHeight="1">
      <c r="A388" s="5"/>
      <c r="B388" s="5"/>
      <c r="C388" s="39"/>
      <c r="D388" s="40"/>
      <c r="E388" s="35"/>
      <c r="F388" s="36"/>
      <c r="G388" s="36"/>
      <c r="H388" s="37"/>
      <c r="I388" s="37"/>
      <c r="J388" s="37"/>
      <c r="K388" s="37"/>
    </row>
    <row r="389" spans="1:11" ht="15.75">
      <c r="A389" s="12" t="s">
        <v>27</v>
      </c>
      <c r="B389" s="9" t="s">
        <v>57</v>
      </c>
      <c r="C389" s="39"/>
      <c r="D389" s="40"/>
      <c r="E389" s="35"/>
      <c r="F389" s="41"/>
      <c r="G389" s="41"/>
      <c r="H389" s="37"/>
      <c r="I389" s="37"/>
      <c r="J389" s="37"/>
      <c r="K389" s="37"/>
    </row>
    <row r="390" spans="1:11" ht="15.75">
      <c r="A390" s="5">
        <v>2007</v>
      </c>
      <c r="B390" s="26" t="s">
        <v>23</v>
      </c>
      <c r="C390" s="45">
        <v>24192</v>
      </c>
      <c r="D390" s="46">
        <v>24573</v>
      </c>
      <c r="E390" s="47">
        <v>654814</v>
      </c>
      <c r="F390" s="48">
        <v>1052828.6499999999</v>
      </c>
      <c r="G390" s="48">
        <f>11374226.35+57.04+382.6</f>
        <v>11374665.989999998</v>
      </c>
      <c r="H390" s="49">
        <v>5160</v>
      </c>
      <c r="I390" s="49">
        <v>54200</v>
      </c>
      <c r="J390" s="49">
        <v>27</v>
      </c>
      <c r="K390" s="49">
        <v>228</v>
      </c>
    </row>
    <row r="391" spans="1:11" ht="15.75">
      <c r="A391" s="5"/>
      <c r="B391" s="26" t="s">
        <v>24</v>
      </c>
      <c r="C391" s="45">
        <v>25691</v>
      </c>
      <c r="D391" s="46">
        <v>25750</v>
      </c>
      <c r="E391" s="47">
        <v>655741</v>
      </c>
      <c r="F391" s="48">
        <v>1056265.43</v>
      </c>
      <c r="G391" s="48">
        <f>11594931.33+57.04+382.6</f>
        <v>11595370.969999999</v>
      </c>
      <c r="H391" s="49">
        <v>4493</v>
      </c>
      <c r="I391" s="49">
        <v>52999</v>
      </c>
      <c r="J391" s="49">
        <v>47</v>
      </c>
      <c r="K391" s="49">
        <v>488</v>
      </c>
    </row>
    <row r="392" spans="1:11" ht="15.75">
      <c r="A392" s="5"/>
      <c r="B392" s="26" t="s">
        <v>25</v>
      </c>
      <c r="C392" s="45">
        <v>26962</v>
      </c>
      <c r="D392" s="46">
        <v>26747</v>
      </c>
      <c r="E392" s="47">
        <v>654998</v>
      </c>
      <c r="F392" s="50">
        <v>1119572.5</v>
      </c>
      <c r="G392" s="50">
        <f>10705676.33+57.04+382.6</f>
        <v>10706115.969999999</v>
      </c>
      <c r="H392" s="49">
        <v>4059</v>
      </c>
      <c r="I392" s="49">
        <v>52154</v>
      </c>
      <c r="J392" s="49">
        <v>61</v>
      </c>
      <c r="K392" s="49">
        <v>474</v>
      </c>
    </row>
    <row r="393" spans="1:11" ht="18" customHeight="1">
      <c r="A393" s="5"/>
      <c r="B393" s="5"/>
      <c r="C393" s="39"/>
      <c r="D393" s="40"/>
      <c r="E393" s="35"/>
      <c r="F393" s="36"/>
      <c r="G393" s="36"/>
      <c r="H393" s="37"/>
      <c r="I393" s="37"/>
      <c r="J393" s="37"/>
      <c r="K393" s="37"/>
    </row>
    <row r="394" spans="1:11" ht="15.75">
      <c r="A394" s="12" t="s">
        <v>27</v>
      </c>
      <c r="B394" s="9" t="s">
        <v>58</v>
      </c>
      <c r="C394" s="39"/>
      <c r="D394" s="40"/>
      <c r="E394" s="35"/>
      <c r="F394" s="41"/>
      <c r="G394" s="41"/>
      <c r="H394" s="37"/>
      <c r="I394" s="37"/>
      <c r="J394" s="37"/>
      <c r="K394" s="37"/>
    </row>
    <row r="395" spans="1:11" ht="15.75">
      <c r="A395" s="5"/>
      <c r="B395" s="5" t="s">
        <v>28</v>
      </c>
      <c r="C395" s="45">
        <v>27784</v>
      </c>
      <c r="D395" s="46">
        <v>27391</v>
      </c>
      <c r="E395" s="47">
        <v>656290</v>
      </c>
      <c r="F395" s="48">
        <v>1198940.71</v>
      </c>
      <c r="G395" s="48">
        <f>10679468.98+57.04+474.16</f>
        <v>10680000.18</v>
      </c>
      <c r="H395" s="49">
        <v>3693</v>
      </c>
      <c r="I395" s="49">
        <v>50794</v>
      </c>
      <c r="J395" s="49">
        <v>91</v>
      </c>
      <c r="K395" s="49">
        <v>681</v>
      </c>
    </row>
    <row r="396" spans="1:11" ht="15.75">
      <c r="A396" s="5"/>
      <c r="B396" s="5" t="s">
        <v>29</v>
      </c>
      <c r="C396" s="45">
        <v>27953</v>
      </c>
      <c r="D396" s="46">
        <v>27185</v>
      </c>
      <c r="E396" s="47">
        <v>656382</v>
      </c>
      <c r="F396" s="48">
        <v>1173250.1499999999</v>
      </c>
      <c r="G396" s="48">
        <f>9669493.61+57.04+556.38</f>
        <v>9670107.0299999993</v>
      </c>
      <c r="H396" s="49">
        <v>3727</v>
      </c>
      <c r="I396" s="49">
        <v>50367</v>
      </c>
      <c r="J396" s="49">
        <v>90</v>
      </c>
      <c r="K396" s="49">
        <v>649</v>
      </c>
    </row>
    <row r="397" spans="1:11" ht="15.75">
      <c r="A397" s="5"/>
      <c r="B397" s="5" t="s">
        <v>30</v>
      </c>
      <c r="C397" s="45">
        <v>24218</v>
      </c>
      <c r="D397" s="46">
        <v>21918</v>
      </c>
      <c r="E397" s="47">
        <v>661646</v>
      </c>
      <c r="F397" s="50">
        <v>1018335.63</v>
      </c>
      <c r="G397" s="50">
        <f>9060530.15+57.04+556.39</f>
        <v>9061143.5800000001</v>
      </c>
      <c r="H397" s="49">
        <v>3580</v>
      </c>
      <c r="I397" s="49">
        <v>48599</v>
      </c>
      <c r="J397" s="49">
        <v>81</v>
      </c>
      <c r="K397" s="49">
        <v>619</v>
      </c>
    </row>
    <row r="398" spans="1:11" ht="18" customHeight="1">
      <c r="A398" s="5"/>
      <c r="B398" s="5"/>
      <c r="C398" s="39"/>
      <c r="D398" s="40"/>
      <c r="E398" s="35"/>
      <c r="F398" s="36"/>
      <c r="G398" s="36"/>
      <c r="H398" s="37"/>
      <c r="I398" s="37"/>
      <c r="J398" s="37"/>
      <c r="K398" s="37"/>
    </row>
    <row r="399" spans="1:11" ht="15.75">
      <c r="A399" s="12" t="s">
        <v>27</v>
      </c>
      <c r="B399" s="9" t="s">
        <v>59</v>
      </c>
      <c r="C399" s="39"/>
      <c r="D399" s="40"/>
      <c r="E399" s="35"/>
      <c r="F399" s="41"/>
      <c r="G399" s="41"/>
      <c r="H399" s="37"/>
      <c r="I399" s="37"/>
      <c r="J399" s="37"/>
      <c r="K399" s="37"/>
    </row>
    <row r="400" spans="1:11" ht="15.75">
      <c r="A400" s="5"/>
      <c r="B400" s="5" t="s">
        <v>32</v>
      </c>
      <c r="C400" s="45">
        <v>22561</v>
      </c>
      <c r="D400" s="46">
        <v>21905</v>
      </c>
      <c r="E400" s="47">
        <v>664433</v>
      </c>
      <c r="F400" s="48">
        <v>1141511.3</v>
      </c>
      <c r="G400" s="48">
        <v>11136456.1</v>
      </c>
      <c r="H400" s="49">
        <v>3976</v>
      </c>
      <c r="I400" s="49">
        <v>51730</v>
      </c>
      <c r="J400" s="49">
        <v>52</v>
      </c>
      <c r="K400" s="49">
        <v>483</v>
      </c>
    </row>
    <row r="401" spans="1:11" ht="15.75">
      <c r="A401" s="5"/>
      <c r="B401" s="5" t="s">
        <v>33</v>
      </c>
      <c r="C401" s="45">
        <v>22269</v>
      </c>
      <c r="D401" s="46">
        <v>21460</v>
      </c>
      <c r="E401" s="47">
        <v>664423</v>
      </c>
      <c r="F401" s="48">
        <v>1211151.42</v>
      </c>
      <c r="G401" s="48">
        <v>13365261.300000001</v>
      </c>
      <c r="H401" s="49">
        <v>5012</v>
      </c>
      <c r="I401" s="49">
        <v>66463</v>
      </c>
      <c r="J401" s="49">
        <v>109</v>
      </c>
      <c r="K401" s="49">
        <v>719</v>
      </c>
    </row>
    <row r="402" spans="1:11" ht="15.75">
      <c r="A402" s="5"/>
      <c r="B402" s="5" t="s">
        <v>18</v>
      </c>
      <c r="C402" s="45">
        <v>22015</v>
      </c>
      <c r="D402" s="46">
        <v>21149</v>
      </c>
      <c r="E402" s="47">
        <v>665346</v>
      </c>
      <c r="F402" s="50">
        <v>1435177</v>
      </c>
      <c r="G402" s="50">
        <v>19749962</v>
      </c>
      <c r="H402" s="49">
        <v>4357</v>
      </c>
      <c r="I402" s="49">
        <v>61960</v>
      </c>
      <c r="J402" s="49">
        <v>76</v>
      </c>
      <c r="K402" s="49">
        <v>561</v>
      </c>
    </row>
    <row r="403" spans="1:11" ht="18" customHeight="1">
      <c r="A403" s="5"/>
      <c r="B403" s="5"/>
      <c r="C403" s="39"/>
      <c r="D403" s="40"/>
      <c r="E403" s="35"/>
      <c r="F403" s="36"/>
      <c r="G403" s="36"/>
      <c r="H403" s="37"/>
      <c r="I403" s="37"/>
      <c r="J403" s="37"/>
      <c r="K403" s="37"/>
    </row>
    <row r="404" spans="1:11" ht="15.75">
      <c r="A404" s="12" t="s">
        <v>27</v>
      </c>
      <c r="B404" s="9" t="s">
        <v>60</v>
      </c>
      <c r="C404" s="39"/>
      <c r="D404" s="40"/>
      <c r="E404" s="35"/>
      <c r="F404" s="41"/>
      <c r="G404" s="41"/>
      <c r="H404" s="37"/>
      <c r="I404" s="37"/>
      <c r="J404" s="37"/>
      <c r="K404" s="37"/>
    </row>
    <row r="405" spans="1:11" ht="15.75">
      <c r="A405" s="5"/>
      <c r="B405" s="5" t="s">
        <v>19</v>
      </c>
      <c r="C405" s="45">
        <v>21684</v>
      </c>
      <c r="D405" s="46">
        <v>21008</v>
      </c>
      <c r="E405" s="47">
        <v>665914</v>
      </c>
      <c r="F405" s="48">
        <v>1502463</v>
      </c>
      <c r="G405" s="48">
        <v>21459745</v>
      </c>
      <c r="H405" s="49">
        <v>5395</v>
      </c>
      <c r="I405" s="49">
        <v>70386</v>
      </c>
      <c r="J405" s="49">
        <v>12</v>
      </c>
      <c r="K405" s="49">
        <v>106</v>
      </c>
    </row>
    <row r="406" spans="1:11" ht="15.75">
      <c r="A406" s="5"/>
      <c r="B406" s="5" t="s">
        <v>20</v>
      </c>
      <c r="C406" s="45">
        <v>21467</v>
      </c>
      <c r="D406" s="46">
        <v>20917</v>
      </c>
      <c r="E406" s="47">
        <v>668178</v>
      </c>
      <c r="F406" s="48">
        <v>1360562</v>
      </c>
      <c r="G406" s="48">
        <v>17936134</v>
      </c>
      <c r="H406" s="49">
        <v>3560</v>
      </c>
      <c r="I406" s="49">
        <v>48373</v>
      </c>
      <c r="J406" s="49">
        <v>41</v>
      </c>
      <c r="K406" s="49">
        <v>271</v>
      </c>
    </row>
    <row r="407" spans="1:11" ht="15.75">
      <c r="A407" s="5"/>
      <c r="B407" s="5" t="s">
        <v>21</v>
      </c>
      <c r="C407" s="45">
        <v>22025</v>
      </c>
      <c r="D407" s="46">
        <v>21877</v>
      </c>
      <c r="E407" s="47">
        <v>668265</v>
      </c>
      <c r="F407" s="50">
        <v>1333604</v>
      </c>
      <c r="G407" s="50">
        <v>16066333</v>
      </c>
      <c r="H407" s="49">
        <v>3600</v>
      </c>
      <c r="I407" s="49">
        <v>49121</v>
      </c>
      <c r="J407" s="49">
        <v>15</v>
      </c>
      <c r="K407" s="49">
        <v>119</v>
      </c>
    </row>
    <row r="408" spans="1:11" ht="15.75">
      <c r="A408" s="4" t="s">
        <v>79</v>
      </c>
      <c r="B408" s="9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22.5">
      <c r="A409" s="4"/>
      <c r="B409" s="9"/>
      <c r="C409" s="6"/>
      <c r="D409" s="6"/>
      <c r="E409" s="6"/>
      <c r="F409" s="6"/>
      <c r="G409" s="6"/>
      <c r="H409" s="60" t="s">
        <v>80</v>
      </c>
      <c r="I409" s="60"/>
      <c r="J409" s="60"/>
      <c r="K409" s="60"/>
    </row>
    <row r="410" spans="1:11" ht="22.5">
      <c r="A410" s="4"/>
      <c r="B410" s="9"/>
      <c r="C410" s="6"/>
      <c r="D410" s="60" t="s">
        <v>81</v>
      </c>
      <c r="E410" s="60"/>
      <c r="F410" s="60" t="s">
        <v>82</v>
      </c>
      <c r="G410" s="60"/>
      <c r="H410" s="60" t="s">
        <v>83</v>
      </c>
      <c r="I410" s="60"/>
      <c r="J410" s="60" t="s">
        <v>84</v>
      </c>
      <c r="K410" s="60"/>
    </row>
    <row r="411" spans="1:11" ht="15.75">
      <c r="A411" s="9" t="s">
        <v>9</v>
      </c>
      <c r="B411" s="9" t="s">
        <v>10</v>
      </c>
      <c r="C411" s="33" t="s">
        <v>85</v>
      </c>
      <c r="D411" s="33" t="s">
        <v>86</v>
      </c>
      <c r="E411" s="33" t="s">
        <v>87</v>
      </c>
      <c r="F411" s="33" t="s">
        <v>86</v>
      </c>
      <c r="G411" s="33" t="s">
        <v>87</v>
      </c>
      <c r="H411" s="33" t="s">
        <v>86</v>
      </c>
      <c r="I411" s="33" t="s">
        <v>87</v>
      </c>
      <c r="J411" s="33" t="s">
        <v>86</v>
      </c>
      <c r="K411" s="33" t="s">
        <v>87</v>
      </c>
    </row>
    <row r="412" spans="1:11" ht="18" customHeight="1">
      <c r="A412" s="5"/>
      <c r="B412" s="5"/>
      <c r="C412" s="39"/>
      <c r="D412" s="40"/>
      <c r="E412" s="35"/>
      <c r="F412" s="36"/>
      <c r="G412" s="36"/>
      <c r="H412" s="37"/>
      <c r="I412" s="37"/>
      <c r="J412" s="37"/>
      <c r="K412" s="37"/>
    </row>
    <row r="413" spans="1:11" ht="15.75">
      <c r="A413" s="12" t="s">
        <v>27</v>
      </c>
      <c r="B413" s="9" t="s">
        <v>62</v>
      </c>
      <c r="C413" s="39"/>
      <c r="D413" s="40"/>
      <c r="E413" s="35"/>
      <c r="F413" s="41"/>
      <c r="G413" s="41"/>
      <c r="H413" s="37"/>
      <c r="I413" s="37"/>
      <c r="J413" s="37"/>
      <c r="K413" s="37"/>
    </row>
    <row r="414" spans="1:11" ht="15.75">
      <c r="A414" s="5">
        <v>2008</v>
      </c>
      <c r="B414" s="26" t="s">
        <v>23</v>
      </c>
      <c r="C414" s="45">
        <v>22855</v>
      </c>
      <c r="D414" s="46">
        <v>22797</v>
      </c>
      <c r="E414" s="47">
        <v>668544</v>
      </c>
      <c r="F414" s="48">
        <v>1327956.71</v>
      </c>
      <c r="G414" s="48">
        <f>15562735.51+57.04+600.19</f>
        <v>15563392.739999998</v>
      </c>
      <c r="H414" s="49">
        <v>5847</v>
      </c>
      <c r="I414" s="49">
        <v>60068</v>
      </c>
      <c r="J414" s="49">
        <v>20</v>
      </c>
      <c r="K414" s="49">
        <v>197</v>
      </c>
    </row>
    <row r="415" spans="1:11" ht="15.75">
      <c r="A415" s="5"/>
      <c r="B415" s="26" t="s">
        <v>24</v>
      </c>
      <c r="C415" s="45">
        <v>24072</v>
      </c>
      <c r="D415" s="46">
        <v>24152</v>
      </c>
      <c r="E415" s="47">
        <v>668009</v>
      </c>
      <c r="F415" s="48">
        <v>1330734</v>
      </c>
      <c r="G415" s="48">
        <f>14489532+57+383</f>
        <v>14489972</v>
      </c>
      <c r="H415" s="49">
        <v>4883</v>
      </c>
      <c r="I415" s="49">
        <v>58680</v>
      </c>
      <c r="J415" s="49">
        <v>34</v>
      </c>
      <c r="K415" s="49">
        <v>496</v>
      </c>
    </row>
    <row r="416" spans="1:11" ht="15.75">
      <c r="A416" s="5"/>
      <c r="B416" s="26" t="s">
        <v>25</v>
      </c>
      <c r="C416" s="45">
        <v>25735</v>
      </c>
      <c r="D416" s="46">
        <v>25814</v>
      </c>
      <c r="E416" s="47">
        <v>666940</v>
      </c>
      <c r="F416" s="50">
        <v>1370824.22</v>
      </c>
      <c r="G416" s="50">
        <f>13980741.77+57.04+382.6</f>
        <v>13981181.409999998</v>
      </c>
      <c r="H416" s="49">
        <v>3992</v>
      </c>
      <c r="I416" s="49">
        <v>53922</v>
      </c>
      <c r="J416" s="49">
        <v>54</v>
      </c>
      <c r="K416" s="49">
        <v>627</v>
      </c>
    </row>
    <row r="417" spans="1:11" ht="15.75">
      <c r="A417" s="5"/>
      <c r="B417" s="26"/>
      <c r="C417" s="45"/>
      <c r="D417" s="46"/>
      <c r="E417" s="47"/>
      <c r="F417" s="50"/>
      <c r="G417" s="50"/>
      <c r="H417" s="49"/>
      <c r="I417" s="49"/>
      <c r="J417" s="49"/>
      <c r="K417" s="49"/>
    </row>
    <row r="418" spans="1:11" ht="15.75">
      <c r="A418" s="12" t="s">
        <v>27</v>
      </c>
      <c r="B418" s="9" t="s">
        <v>63</v>
      </c>
      <c r="C418" s="39"/>
      <c r="D418" s="40"/>
      <c r="E418" s="35"/>
      <c r="F418" s="41"/>
      <c r="G418" s="41"/>
      <c r="H418" s="37"/>
      <c r="I418" s="37"/>
      <c r="J418" s="37"/>
      <c r="K418" s="37"/>
    </row>
    <row r="419" spans="1:11" ht="15.75">
      <c r="A419" s="5"/>
      <c r="B419" s="5" t="s">
        <v>28</v>
      </c>
      <c r="C419" s="45">
        <v>26784</v>
      </c>
      <c r="D419" s="46">
        <v>26730</v>
      </c>
      <c r="E419" s="47">
        <v>665938</v>
      </c>
      <c r="F419" s="48">
        <v>1346510</v>
      </c>
      <c r="G419" s="48">
        <f>12879656+57+383</f>
        <v>12880096</v>
      </c>
      <c r="H419" s="49">
        <v>3931</v>
      </c>
      <c r="I419" s="49">
        <v>56909</v>
      </c>
      <c r="J419" s="49">
        <v>106</v>
      </c>
      <c r="K419" s="49">
        <v>961</v>
      </c>
    </row>
    <row r="420" spans="1:11" ht="15.75">
      <c r="A420" s="5"/>
      <c r="B420" s="5" t="s">
        <v>29</v>
      </c>
      <c r="C420" s="45">
        <v>27584</v>
      </c>
      <c r="D420" s="46">
        <v>27187</v>
      </c>
      <c r="E420" s="47">
        <v>664785</v>
      </c>
      <c r="F420" s="48">
        <v>1313748</v>
      </c>
      <c r="G420" s="48">
        <f>11824732+57+383</f>
        <v>11825172</v>
      </c>
      <c r="H420" s="49">
        <v>2049</v>
      </c>
      <c r="I420" s="49">
        <v>52155</v>
      </c>
      <c r="J420" s="49">
        <v>42</v>
      </c>
      <c r="K420" s="49">
        <v>656</v>
      </c>
    </row>
    <row r="421" spans="1:11" ht="15.75">
      <c r="A421" s="5"/>
      <c r="B421" s="5" t="s">
        <v>30</v>
      </c>
      <c r="C421" s="45">
        <v>26882</v>
      </c>
      <c r="D421" s="46">
        <v>22489</v>
      </c>
      <c r="E421" s="47">
        <v>669399</v>
      </c>
      <c r="F421" s="50">
        <v>1135566</v>
      </c>
      <c r="G421" s="50">
        <f>10934489+57+383</f>
        <v>10934929</v>
      </c>
      <c r="H421" s="49">
        <v>3296</v>
      </c>
      <c r="I421" s="49">
        <v>50250</v>
      </c>
      <c r="J421" s="49">
        <v>51</v>
      </c>
      <c r="K421" s="49">
        <v>623</v>
      </c>
    </row>
    <row r="422" spans="1:11" ht="15.75">
      <c r="A422" s="5"/>
      <c r="B422" s="26"/>
      <c r="C422" s="45"/>
      <c r="D422" s="46"/>
      <c r="E422" s="47"/>
      <c r="F422" s="50"/>
      <c r="G422" s="50"/>
      <c r="H422" s="49"/>
      <c r="I422" s="49"/>
      <c r="J422" s="49"/>
      <c r="K422" s="49"/>
    </row>
    <row r="423" spans="1:11" s="31" customFormat="1" ht="15.75">
      <c r="A423" s="25" t="s">
        <v>27</v>
      </c>
      <c r="B423" s="51" t="s">
        <v>64</v>
      </c>
      <c r="C423" s="45"/>
      <c r="D423" s="46"/>
      <c r="E423" s="47"/>
      <c r="F423" s="48"/>
      <c r="G423" s="48"/>
      <c r="H423" s="49"/>
      <c r="I423" s="49"/>
      <c r="J423" s="49"/>
      <c r="K423" s="49"/>
    </row>
    <row r="424" spans="1:11" s="52" customFormat="1" ht="15.75">
      <c r="A424" s="26"/>
      <c r="B424" s="26" t="s">
        <v>32</v>
      </c>
      <c r="C424" s="45">
        <v>22988</v>
      </c>
      <c r="D424" s="46">
        <v>22183</v>
      </c>
      <c r="E424" s="47">
        <v>670873</v>
      </c>
      <c r="F424" s="48">
        <v>1153617</v>
      </c>
      <c r="G424" s="48">
        <f>11073454+57+1181</f>
        <v>11074692</v>
      </c>
      <c r="H424" s="49">
        <v>3706</v>
      </c>
      <c r="I424" s="49">
        <v>51892</v>
      </c>
      <c r="J424" s="49">
        <v>46</v>
      </c>
      <c r="K424" s="49">
        <v>410</v>
      </c>
    </row>
    <row r="425" spans="1:11" s="52" customFormat="1" ht="15.75">
      <c r="A425" s="26"/>
      <c r="B425" s="26" t="s">
        <v>33</v>
      </c>
      <c r="C425" s="45">
        <v>22662</v>
      </c>
      <c r="D425" s="46">
        <v>21899</v>
      </c>
      <c r="E425" s="47">
        <v>671736</v>
      </c>
      <c r="F425" s="48">
        <v>1288794</v>
      </c>
      <c r="G425" s="48">
        <f>13174104+57+1181</f>
        <v>13175342</v>
      </c>
      <c r="H425" s="49">
        <v>4410</v>
      </c>
      <c r="I425" s="49">
        <v>62498</v>
      </c>
      <c r="J425" s="49">
        <v>52</v>
      </c>
      <c r="K425" s="49">
        <v>528</v>
      </c>
    </row>
    <row r="426" spans="1:11" s="52" customFormat="1" ht="15.75">
      <c r="A426" s="26"/>
      <c r="B426" s="26" t="s">
        <v>18</v>
      </c>
      <c r="C426" s="45">
        <v>22472</v>
      </c>
      <c r="D426" s="46">
        <v>21632</v>
      </c>
      <c r="E426" s="47">
        <v>672749</v>
      </c>
      <c r="F426" s="50">
        <v>1532293</v>
      </c>
      <c r="G426" s="50">
        <f>19335355+57+383</f>
        <v>19335795</v>
      </c>
      <c r="H426" s="49">
        <v>4785</v>
      </c>
      <c r="I426" s="49">
        <v>68954</v>
      </c>
      <c r="J426" s="49">
        <v>43</v>
      </c>
      <c r="K426" s="49">
        <v>424</v>
      </c>
    </row>
    <row r="427" spans="1:11" ht="15.75">
      <c r="A427" s="5"/>
      <c r="B427" s="26"/>
      <c r="C427" s="45"/>
      <c r="D427" s="46"/>
      <c r="E427" s="47"/>
      <c r="F427" s="50"/>
      <c r="G427" s="50"/>
      <c r="H427" s="49"/>
      <c r="I427" s="49"/>
      <c r="J427" s="49"/>
      <c r="K427" s="49"/>
    </row>
    <row r="428" spans="1:11" s="31" customFormat="1" ht="15.75">
      <c r="A428" s="25" t="s">
        <v>27</v>
      </c>
      <c r="B428" s="51" t="s">
        <v>65</v>
      </c>
      <c r="C428" s="45"/>
      <c r="D428" s="46"/>
      <c r="E428" s="47"/>
      <c r="F428" s="48"/>
      <c r="G428" s="48"/>
      <c r="H428" s="49"/>
      <c r="I428" s="49"/>
      <c r="J428" s="49"/>
      <c r="K428" s="49"/>
    </row>
    <row r="429" spans="1:11" s="52" customFormat="1" ht="15.75">
      <c r="A429" s="26"/>
      <c r="B429" s="5" t="s">
        <v>19</v>
      </c>
      <c r="C429" s="45">
        <v>22192</v>
      </c>
      <c r="D429" s="46">
        <v>21333</v>
      </c>
      <c r="E429" s="47">
        <v>673024</v>
      </c>
      <c r="F429" s="48">
        <v>1504434</v>
      </c>
      <c r="G429" s="48">
        <f>18625365+57+383</f>
        <v>18625805</v>
      </c>
      <c r="H429" s="49">
        <v>5480</v>
      </c>
      <c r="I429" s="49">
        <v>72739</v>
      </c>
      <c r="J429" s="49">
        <v>61</v>
      </c>
      <c r="K429" s="49">
        <v>500</v>
      </c>
    </row>
    <row r="430" spans="1:11" s="52" customFormat="1" ht="15.75">
      <c r="A430" s="26"/>
      <c r="B430" s="5" t="s">
        <v>20</v>
      </c>
      <c r="C430" s="45">
        <v>21883</v>
      </c>
      <c r="D430" s="46">
        <v>21363</v>
      </c>
      <c r="E430" s="47">
        <v>673685</v>
      </c>
      <c r="F430" s="48">
        <v>1584095</v>
      </c>
      <c r="G430" s="48">
        <f>17528536+57+383</f>
        <v>17528976</v>
      </c>
      <c r="H430" s="49">
        <v>3681</v>
      </c>
      <c r="I430" s="49">
        <v>47931</v>
      </c>
      <c r="J430" s="49">
        <v>39</v>
      </c>
      <c r="K430" s="49">
        <v>317</v>
      </c>
    </row>
    <row r="431" spans="1:11" s="52" customFormat="1" ht="15.75">
      <c r="A431" s="26"/>
      <c r="B431" s="5" t="s">
        <v>21</v>
      </c>
      <c r="C431" s="45">
        <v>22684</v>
      </c>
      <c r="D431" s="46">
        <v>22715</v>
      </c>
      <c r="E431" s="47">
        <v>672157</v>
      </c>
      <c r="F431" s="50">
        <v>1473220</v>
      </c>
      <c r="G431" s="50">
        <f>16982776+57+383</f>
        <v>16983216</v>
      </c>
      <c r="H431" s="49">
        <v>3995</v>
      </c>
      <c r="I431" s="49">
        <v>56229</v>
      </c>
      <c r="J431" s="49">
        <v>16</v>
      </c>
      <c r="K431" s="49">
        <v>188</v>
      </c>
    </row>
    <row r="432" spans="1:11" ht="15.75">
      <c r="A432" s="5"/>
      <c r="B432" s="26"/>
      <c r="C432" s="45"/>
      <c r="D432" s="46"/>
      <c r="E432" s="47"/>
      <c r="F432" s="50"/>
      <c r="G432" s="50"/>
      <c r="H432" s="49"/>
      <c r="I432" s="49"/>
      <c r="J432" s="49"/>
      <c r="K432" s="49"/>
    </row>
    <row r="433" spans="1:11" s="31" customFormat="1" ht="15.75">
      <c r="A433" s="25" t="s">
        <v>27</v>
      </c>
      <c r="B433" s="51" t="s">
        <v>66</v>
      </c>
      <c r="C433" s="45"/>
      <c r="D433" s="46"/>
      <c r="E433" s="47"/>
      <c r="F433" s="48"/>
      <c r="G433" s="48"/>
      <c r="H433" s="49"/>
      <c r="I433" s="49"/>
      <c r="J433" s="49"/>
      <c r="K433" s="49"/>
    </row>
    <row r="434" spans="1:11" s="52" customFormat="1" ht="15.75">
      <c r="A434" s="26">
        <v>2009</v>
      </c>
      <c r="B434" s="26" t="s">
        <v>23</v>
      </c>
      <c r="C434" s="45">
        <v>23953</v>
      </c>
      <c r="D434" s="46">
        <v>24224</v>
      </c>
      <c r="E434" s="47">
        <v>671466</v>
      </c>
      <c r="F434" s="48">
        <v>1524877</v>
      </c>
      <c r="G434" s="48">
        <f>15013319+57+383</f>
        <v>15013759</v>
      </c>
      <c r="H434" s="49">
        <v>6013</v>
      </c>
      <c r="I434" s="49">
        <v>58405</v>
      </c>
      <c r="J434" s="49">
        <v>29</v>
      </c>
      <c r="K434" s="49">
        <v>283</v>
      </c>
    </row>
    <row r="435" spans="1:11" s="52" customFormat="1" ht="15.75">
      <c r="A435" s="26"/>
      <c r="B435" s="26" t="s">
        <v>24</v>
      </c>
      <c r="C435" s="45">
        <v>26497</v>
      </c>
      <c r="D435" s="46">
        <v>26797</v>
      </c>
      <c r="E435" s="47">
        <v>669585</v>
      </c>
      <c r="F435" s="48">
        <v>1524877</v>
      </c>
      <c r="G435" s="48">
        <v>15013759</v>
      </c>
      <c r="H435" s="49">
        <v>4349</v>
      </c>
      <c r="I435" s="49">
        <v>56875</v>
      </c>
      <c r="J435" s="49">
        <v>37</v>
      </c>
      <c r="K435" s="49">
        <v>515</v>
      </c>
    </row>
    <row r="436" spans="1:11" s="52" customFormat="1" ht="15.75">
      <c r="A436" s="26"/>
      <c r="B436" s="26" t="s">
        <v>25</v>
      </c>
      <c r="C436" s="45">
        <v>28611</v>
      </c>
      <c r="D436" s="46">
        <v>28682</v>
      </c>
      <c r="E436" s="47">
        <v>667902</v>
      </c>
      <c r="F436" s="50">
        <v>1472764</v>
      </c>
      <c r="G436" s="50">
        <f>13290665+57+383</f>
        <v>13291105</v>
      </c>
      <c r="H436" s="49">
        <v>3740</v>
      </c>
      <c r="I436" s="49">
        <v>54808</v>
      </c>
      <c r="J436" s="49">
        <v>42</v>
      </c>
      <c r="K436" s="49">
        <v>582</v>
      </c>
    </row>
    <row r="437" spans="1:11" ht="15.75">
      <c r="A437" s="5"/>
      <c r="B437" s="26"/>
      <c r="C437" s="45"/>
      <c r="D437" s="46"/>
      <c r="E437" s="47"/>
      <c r="F437" s="50"/>
      <c r="G437" s="50"/>
      <c r="H437" s="49"/>
      <c r="I437" s="49"/>
      <c r="J437" s="49"/>
      <c r="K437" s="49"/>
    </row>
    <row r="438" spans="1:11" s="31" customFormat="1" ht="15.75">
      <c r="A438" s="25" t="s">
        <v>27</v>
      </c>
      <c r="B438" s="51" t="s">
        <v>67</v>
      </c>
      <c r="C438" s="45"/>
      <c r="D438" s="46"/>
      <c r="E438" s="47"/>
      <c r="F438" s="48"/>
      <c r="G438" s="48"/>
      <c r="H438" s="49"/>
      <c r="I438" s="49"/>
      <c r="J438" s="49"/>
      <c r="K438" s="49"/>
    </row>
    <row r="439" spans="1:11" s="52" customFormat="1" ht="15.75">
      <c r="A439" s="26"/>
      <c r="B439" s="5" t="s">
        <v>28</v>
      </c>
      <c r="C439" s="45">
        <v>30165</v>
      </c>
      <c r="D439" s="46">
        <v>30427</v>
      </c>
      <c r="E439" s="47">
        <v>666044</v>
      </c>
      <c r="F439" s="48">
        <v>1506776.19</v>
      </c>
      <c r="G439" s="48">
        <f>11893688.79+57.04+382.6</f>
        <v>11894128.429999998</v>
      </c>
      <c r="H439" s="49">
        <v>4398</v>
      </c>
      <c r="I439" s="49">
        <v>53700</v>
      </c>
      <c r="J439" s="49">
        <v>36</v>
      </c>
      <c r="K439" s="49">
        <v>508</v>
      </c>
    </row>
    <row r="440" spans="1:11" s="52" customFormat="1" ht="15.75">
      <c r="A440" s="26"/>
      <c r="B440" s="5" t="s">
        <v>29</v>
      </c>
      <c r="C440" s="45">
        <v>30997</v>
      </c>
      <c r="D440" s="46">
        <v>30062</v>
      </c>
      <c r="E440" s="47">
        <v>665989</v>
      </c>
      <c r="F440" s="48">
        <v>1495456</v>
      </c>
      <c r="G440" s="48">
        <f>11759357+57+383</f>
        <v>11759797</v>
      </c>
      <c r="H440" s="49">
        <v>3877</v>
      </c>
      <c r="I440" s="49">
        <v>48693</v>
      </c>
      <c r="J440" s="49">
        <v>46</v>
      </c>
      <c r="K440" s="49">
        <v>425</v>
      </c>
    </row>
    <row r="441" spans="1:11" s="52" customFormat="1" ht="15.75">
      <c r="A441" s="26"/>
      <c r="B441" s="5" t="s">
        <v>30</v>
      </c>
      <c r="C441" s="45">
        <v>30681</v>
      </c>
      <c r="D441" s="46">
        <v>29677</v>
      </c>
      <c r="E441" s="47">
        <v>666805</v>
      </c>
      <c r="F441" s="50">
        <v>1509390</v>
      </c>
      <c r="G441" s="50">
        <f>11288190+57+383</f>
        <v>11288630</v>
      </c>
      <c r="H441" s="49">
        <v>5031</v>
      </c>
      <c r="I441" s="49">
        <v>53572</v>
      </c>
      <c r="J441" s="49">
        <v>47</v>
      </c>
      <c r="K441" s="49">
        <v>360</v>
      </c>
    </row>
    <row r="442" spans="1:11" ht="15.75">
      <c r="A442" s="5"/>
      <c r="B442" s="26"/>
      <c r="C442" s="45"/>
      <c r="D442" s="46"/>
      <c r="E442" s="47"/>
      <c r="F442" s="50"/>
      <c r="G442" s="50"/>
      <c r="H442" s="49"/>
      <c r="I442" s="49"/>
      <c r="J442" s="49"/>
      <c r="K442" s="49"/>
    </row>
    <row r="443" spans="1:11" s="31" customFormat="1" ht="15.75">
      <c r="A443" s="25" t="s">
        <v>27</v>
      </c>
      <c r="B443" s="51" t="s">
        <v>68</v>
      </c>
      <c r="C443" s="45"/>
      <c r="D443" s="46"/>
      <c r="E443" s="47"/>
      <c r="F443" s="48"/>
      <c r="G443" s="48"/>
      <c r="H443" s="49"/>
      <c r="I443" s="49"/>
      <c r="J443" s="49"/>
      <c r="K443" s="49"/>
    </row>
    <row r="444" spans="1:11" s="52" customFormat="1" ht="15.75">
      <c r="A444" s="26"/>
      <c r="B444" s="26" t="s">
        <v>32</v>
      </c>
      <c r="C444" s="45">
        <v>28657</v>
      </c>
      <c r="D444" s="46">
        <v>25334</v>
      </c>
      <c r="E444" s="47">
        <v>671650</v>
      </c>
      <c r="F444" s="48">
        <v>1410280</v>
      </c>
      <c r="G444" s="48">
        <f>11701390+57+383</f>
        <v>11701830</v>
      </c>
      <c r="H444" s="49">
        <v>4554</v>
      </c>
      <c r="I444" s="49">
        <v>56632</v>
      </c>
      <c r="J444" s="49">
        <v>52</v>
      </c>
      <c r="K444" s="49">
        <v>370</v>
      </c>
    </row>
    <row r="445" spans="1:11" s="52" customFormat="1" ht="15.75">
      <c r="A445" s="26"/>
      <c r="B445" s="26" t="s">
        <v>33</v>
      </c>
      <c r="C445" s="45">
        <v>25965</v>
      </c>
      <c r="D445" s="46">
        <v>24936</v>
      </c>
      <c r="E445" s="47">
        <v>671719</v>
      </c>
      <c r="F445" s="48">
        <v>1479885</v>
      </c>
      <c r="G445" s="48">
        <f>13106661+57+508</f>
        <v>13107226</v>
      </c>
      <c r="H445" s="49">
        <v>5062</v>
      </c>
      <c r="I445" s="49">
        <v>62227</v>
      </c>
      <c r="J445" s="49">
        <v>62</v>
      </c>
      <c r="K445" s="49">
        <v>444</v>
      </c>
    </row>
    <row r="446" spans="1:11" s="52" customFormat="1" ht="15.75">
      <c r="A446" s="26"/>
      <c r="B446" s="26" t="s">
        <v>18</v>
      </c>
      <c r="C446" s="45">
        <v>25581</v>
      </c>
      <c r="D446" s="46">
        <v>24617</v>
      </c>
      <c r="E446" s="47">
        <v>673133</v>
      </c>
      <c r="F446" s="50">
        <v>1767618.83</v>
      </c>
      <c r="G446" s="50">
        <f>18625019.67+57.04+543.33</f>
        <v>18625620.039999999</v>
      </c>
      <c r="H446" s="49">
        <v>5694</v>
      </c>
      <c r="I446" s="49">
        <v>70913</v>
      </c>
      <c r="J446" s="49">
        <v>83</v>
      </c>
      <c r="K446" s="49">
        <v>474</v>
      </c>
    </row>
    <row r="447" spans="1:11" ht="15.75">
      <c r="A447" s="5"/>
      <c r="B447" s="26"/>
      <c r="C447" s="45"/>
      <c r="D447" s="46"/>
      <c r="E447" s="47"/>
      <c r="F447" s="50"/>
      <c r="G447" s="50"/>
      <c r="H447" s="49"/>
      <c r="I447" s="49"/>
      <c r="J447" s="49"/>
      <c r="K447" s="49"/>
    </row>
    <row r="448" spans="1:11" s="31" customFormat="1" ht="15.75">
      <c r="A448" s="25" t="s">
        <v>27</v>
      </c>
      <c r="B448" s="51" t="s">
        <v>69</v>
      </c>
      <c r="C448" s="45"/>
      <c r="D448" s="46"/>
      <c r="E448" s="47"/>
      <c r="F448" s="48"/>
      <c r="G448" s="48"/>
      <c r="H448" s="49"/>
      <c r="I448" s="49"/>
      <c r="J448" s="49"/>
      <c r="K448" s="49"/>
    </row>
    <row r="449" spans="1:11" s="52" customFormat="1" ht="15.75">
      <c r="A449" s="26"/>
      <c r="B449" s="5" t="s">
        <v>19</v>
      </c>
      <c r="C449" s="45">
        <v>25196</v>
      </c>
      <c r="D449" s="46">
        <v>24299</v>
      </c>
      <c r="E449" s="47">
        <v>673825</v>
      </c>
      <c r="F449" s="48">
        <v>1786761</v>
      </c>
      <c r="G449" s="48">
        <f>18958355+57+403</f>
        <v>18958815</v>
      </c>
      <c r="H449" s="49">
        <v>6325</v>
      </c>
      <c r="I449" s="49">
        <v>68788</v>
      </c>
      <c r="J449" s="49">
        <v>57</v>
      </c>
      <c r="K449" s="49">
        <v>609</v>
      </c>
    </row>
    <row r="450" spans="1:11" s="52" customFormat="1" ht="15.75">
      <c r="A450" s="26"/>
      <c r="B450" s="5" t="s">
        <v>20</v>
      </c>
      <c r="C450" s="45">
        <v>24941</v>
      </c>
      <c r="D450" s="46">
        <v>24595</v>
      </c>
      <c r="E450" s="47">
        <v>675701</v>
      </c>
      <c r="F450" s="48">
        <v>1841031</v>
      </c>
      <c r="G450" s="48">
        <f>18357654+57+1091</f>
        <v>18358802</v>
      </c>
      <c r="H450" s="49">
        <v>4671</v>
      </c>
      <c r="I450" s="49">
        <v>50269</v>
      </c>
      <c r="J450" s="49">
        <v>50</v>
      </c>
      <c r="K450" s="49">
        <v>439</v>
      </c>
    </row>
    <row r="451" spans="1:11" s="52" customFormat="1" ht="15.75">
      <c r="A451" s="26"/>
      <c r="B451" s="5" t="s">
        <v>21</v>
      </c>
      <c r="C451" s="45">
        <v>25937</v>
      </c>
      <c r="D451" s="46">
        <v>25960</v>
      </c>
      <c r="E451" s="47">
        <v>674319</v>
      </c>
      <c r="F451" s="50">
        <v>1756324</v>
      </c>
      <c r="G451" s="50">
        <f>16173443+57+1095</f>
        <v>16174595</v>
      </c>
      <c r="H451" s="49">
        <v>4783</v>
      </c>
      <c r="I451" s="49">
        <v>56609</v>
      </c>
      <c r="J451" s="49">
        <v>13</v>
      </c>
      <c r="K451" s="49">
        <v>185</v>
      </c>
    </row>
    <row r="452" spans="1:11" ht="15.75">
      <c r="A452" s="5"/>
      <c r="B452" s="26"/>
      <c r="C452" s="45"/>
      <c r="D452" s="46"/>
      <c r="E452" s="47"/>
      <c r="F452" s="50"/>
      <c r="G452" s="50"/>
      <c r="H452" s="49"/>
      <c r="I452" s="49"/>
      <c r="J452" s="49"/>
      <c r="K452" s="49"/>
    </row>
    <row r="453" spans="1:11" s="31" customFormat="1" ht="15.75">
      <c r="A453" s="25" t="s">
        <v>27</v>
      </c>
      <c r="B453" s="51" t="s">
        <v>70</v>
      </c>
      <c r="C453" s="45"/>
      <c r="D453" s="46"/>
      <c r="E453" s="47"/>
      <c r="F453" s="48"/>
      <c r="G453" s="48"/>
      <c r="H453" s="49"/>
      <c r="I453" s="49"/>
      <c r="J453" s="49"/>
      <c r="K453" s="49"/>
    </row>
    <row r="454" spans="1:11" s="52" customFormat="1" ht="15.75">
      <c r="A454" s="26">
        <v>2010</v>
      </c>
      <c r="B454" s="26" t="s">
        <v>23</v>
      </c>
      <c r="C454" s="45">
        <v>27268</v>
      </c>
      <c r="D454" s="46">
        <v>27235</v>
      </c>
      <c r="E454" s="47">
        <v>674141</v>
      </c>
      <c r="F454" s="48">
        <v>1780744</v>
      </c>
      <c r="G454" s="48">
        <f>17035407+57+1099</f>
        <v>17036563</v>
      </c>
      <c r="H454" s="49">
        <v>6492</v>
      </c>
      <c r="I454" s="49">
        <v>57987</v>
      </c>
      <c r="J454" s="49">
        <v>37</v>
      </c>
      <c r="K454" s="49">
        <v>416</v>
      </c>
    </row>
    <row r="455" spans="1:11" s="52" customFormat="1" ht="15.75">
      <c r="A455" s="26"/>
      <c r="B455" s="26" t="s">
        <v>24</v>
      </c>
      <c r="C455" s="45">
        <v>29218</v>
      </c>
      <c r="D455" s="46">
        <v>29838</v>
      </c>
      <c r="E455" s="47">
        <v>671340</v>
      </c>
      <c r="F455" s="48">
        <v>1899503</v>
      </c>
      <c r="G455" s="48">
        <f>16508797+57+1104</f>
        <v>16509958</v>
      </c>
      <c r="H455" s="49">
        <v>5385</v>
      </c>
      <c r="I455" s="49">
        <v>57109</v>
      </c>
      <c r="J455" s="49">
        <v>44</v>
      </c>
      <c r="K455" s="49">
        <v>515</v>
      </c>
    </row>
    <row r="456" spans="1:11" s="52" customFormat="1" ht="15.75">
      <c r="A456" s="26"/>
      <c r="B456" s="26" t="s">
        <v>25</v>
      </c>
      <c r="C456" s="45">
        <v>31588</v>
      </c>
      <c r="D456" s="46">
        <v>32118</v>
      </c>
      <c r="E456" s="47">
        <v>668171</v>
      </c>
      <c r="F456" s="50">
        <v>1728690</v>
      </c>
      <c r="G456" s="50">
        <f>14702037+57+818</f>
        <v>14702912</v>
      </c>
      <c r="H456" s="49">
        <v>4903</v>
      </c>
      <c r="I456" s="49">
        <v>58351</v>
      </c>
      <c r="J456" s="49">
        <v>54</v>
      </c>
      <c r="K456" s="49">
        <v>614</v>
      </c>
    </row>
    <row r="457" spans="1:11" ht="15.75">
      <c r="A457" s="5"/>
      <c r="B457" s="26"/>
      <c r="C457" s="45"/>
      <c r="D457" s="46"/>
      <c r="E457" s="47"/>
      <c r="F457" s="50"/>
      <c r="G457" s="50"/>
      <c r="H457" s="49"/>
      <c r="I457" s="49"/>
      <c r="J457" s="49"/>
      <c r="K457" s="49"/>
    </row>
    <row r="458" spans="1:11" s="31" customFormat="1" ht="15.75">
      <c r="A458" s="25" t="s">
        <v>27</v>
      </c>
      <c r="B458" s="51" t="s">
        <v>71</v>
      </c>
      <c r="C458" s="45"/>
      <c r="D458" s="46"/>
      <c r="E458" s="47"/>
      <c r="F458" s="48"/>
      <c r="G458" s="48"/>
      <c r="H458" s="49"/>
      <c r="I458" s="49"/>
      <c r="J458" s="49"/>
      <c r="K458" s="49"/>
    </row>
    <row r="459" spans="1:11" s="52" customFormat="1" ht="15.75">
      <c r="A459" s="26"/>
      <c r="B459" s="5" t="s">
        <v>28</v>
      </c>
      <c r="C459" s="45">
        <v>33960</v>
      </c>
      <c r="D459" s="46">
        <v>34076</v>
      </c>
      <c r="E459" s="47">
        <v>666711</v>
      </c>
      <c r="F459" s="48">
        <v>1795004.69</v>
      </c>
      <c r="G459" s="48">
        <f>13689167.54+57.04+822.51</f>
        <v>13690047.089999998</v>
      </c>
      <c r="H459" s="49">
        <v>6222</v>
      </c>
      <c r="I459" s="49">
        <v>55208</v>
      </c>
      <c r="J459" s="49">
        <v>75</v>
      </c>
      <c r="K459" s="49">
        <v>518</v>
      </c>
    </row>
    <row r="460" spans="1:11" s="52" customFormat="1" ht="15.75">
      <c r="A460" s="26"/>
      <c r="B460" s="5" t="s">
        <v>29</v>
      </c>
      <c r="C460" s="45">
        <v>35732</v>
      </c>
      <c r="D460" s="46">
        <v>35404</v>
      </c>
      <c r="E460" s="47">
        <v>664993</v>
      </c>
      <c r="F460" s="48">
        <v>1850436</v>
      </c>
      <c r="G460" s="48">
        <f>12342263+57+823</f>
        <v>12343143</v>
      </c>
      <c r="H460" s="49">
        <v>5243</v>
      </c>
      <c r="I460" s="49">
        <v>49405</v>
      </c>
      <c r="J460" s="49">
        <v>72</v>
      </c>
      <c r="K460" s="49">
        <v>462</v>
      </c>
    </row>
    <row r="461" spans="1:11" s="52" customFormat="1" ht="15.75">
      <c r="A461" s="26"/>
      <c r="B461" s="5" t="s">
        <v>30</v>
      </c>
      <c r="C461" s="45">
        <v>36494</v>
      </c>
      <c r="D461" s="46">
        <v>35252</v>
      </c>
      <c r="E461" s="47">
        <v>665825</v>
      </c>
      <c r="F461" s="50">
        <v>1863495</v>
      </c>
      <c r="G461" s="50">
        <f>11938402+57+383</f>
        <v>11938842</v>
      </c>
      <c r="H461" s="49">
        <v>6005</v>
      </c>
      <c r="I461" s="49">
        <v>52587</v>
      </c>
      <c r="J461" s="49">
        <v>108</v>
      </c>
      <c r="K461" s="49">
        <v>514</v>
      </c>
    </row>
    <row r="462" spans="1:11" ht="15.75">
      <c r="A462" s="5"/>
      <c r="B462" s="26"/>
      <c r="C462" s="45"/>
      <c r="D462" s="46"/>
      <c r="E462" s="47"/>
      <c r="F462" s="50"/>
      <c r="G462" s="50"/>
      <c r="H462" s="49"/>
      <c r="I462" s="49"/>
      <c r="J462" s="49"/>
      <c r="K462" s="49"/>
    </row>
    <row r="463" spans="1:11" s="31" customFormat="1" ht="15.75">
      <c r="A463" s="25" t="s">
        <v>27</v>
      </c>
      <c r="B463" s="51" t="s">
        <v>72</v>
      </c>
      <c r="C463" s="45"/>
      <c r="D463" s="46"/>
      <c r="E463" s="47"/>
      <c r="F463" s="48"/>
      <c r="G463" s="48"/>
      <c r="H463" s="49"/>
      <c r="I463" s="49"/>
      <c r="J463" s="49"/>
      <c r="K463" s="49"/>
    </row>
    <row r="464" spans="1:11" s="52" customFormat="1" ht="15.75">
      <c r="A464" s="26"/>
      <c r="B464" s="26" t="s">
        <v>32</v>
      </c>
      <c r="C464" s="45">
        <v>33960</v>
      </c>
      <c r="D464" s="46">
        <v>34894</v>
      </c>
      <c r="E464" s="47">
        <v>666696</v>
      </c>
      <c r="F464" s="48">
        <v>1880340</v>
      </c>
      <c r="G464" s="48">
        <f>11719704+57+383</f>
        <v>11720144</v>
      </c>
      <c r="H464" s="49">
        <v>5418</v>
      </c>
      <c r="I464" s="49">
        <v>49379</v>
      </c>
      <c r="J464" s="49">
        <v>84</v>
      </c>
      <c r="K464" s="49">
        <v>365</v>
      </c>
    </row>
    <row r="465" spans="1:11" s="52" customFormat="1" ht="15.75">
      <c r="A465" s="26"/>
      <c r="B465" s="26" t="s">
        <v>33</v>
      </c>
      <c r="C465" s="45">
        <v>35732</v>
      </c>
      <c r="D465" s="46">
        <v>30755</v>
      </c>
      <c r="E465" s="47">
        <v>670980</v>
      </c>
      <c r="F465" s="48">
        <v>1945834</v>
      </c>
      <c r="G465" s="48">
        <f>15673689+57+512</f>
        <v>15674258</v>
      </c>
      <c r="H465" s="49">
        <v>6717</v>
      </c>
      <c r="I465" s="49">
        <v>62164</v>
      </c>
      <c r="J465" s="49">
        <v>126</v>
      </c>
      <c r="K465" s="49">
        <v>616</v>
      </c>
    </row>
    <row r="466" spans="1:11" s="52" customFormat="1" ht="15.75">
      <c r="A466" s="26"/>
      <c r="B466" s="26" t="s">
        <v>18</v>
      </c>
      <c r="C466" s="45">
        <v>36494</v>
      </c>
      <c r="D466" s="46">
        <v>30708</v>
      </c>
      <c r="E466" s="47">
        <v>671173</v>
      </c>
      <c r="F466" s="50">
        <v>2323449</v>
      </c>
      <c r="G466" s="50">
        <f>20419184+57+512</f>
        <v>20419753</v>
      </c>
      <c r="H466" s="49">
        <v>7125</v>
      </c>
      <c r="I466" s="49">
        <v>69069</v>
      </c>
      <c r="J466" s="49">
        <v>62</v>
      </c>
      <c r="K466" s="49">
        <v>333</v>
      </c>
    </row>
    <row r="467" spans="1:11" ht="18" customHeight="1">
      <c r="A467" s="5"/>
      <c r="B467" s="5"/>
      <c r="C467" s="39"/>
      <c r="D467" s="40"/>
      <c r="E467" s="35"/>
      <c r="F467" s="36"/>
      <c r="G467" s="36"/>
      <c r="H467" s="37"/>
      <c r="I467" s="37"/>
      <c r="J467" s="37"/>
      <c r="K467" s="37"/>
    </row>
    <row r="468" spans="1:11" ht="15.75">
      <c r="A468" s="4" t="s">
        <v>91</v>
      </c>
      <c r="B468" s="5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22.5">
      <c r="A469" s="4"/>
      <c r="B469" s="9"/>
      <c r="C469" s="6"/>
      <c r="D469" s="60" t="s">
        <v>81</v>
      </c>
      <c r="E469" s="60"/>
      <c r="F469" s="60" t="s">
        <v>82</v>
      </c>
      <c r="G469" s="60"/>
      <c r="H469" s="60" t="s">
        <v>83</v>
      </c>
      <c r="I469" s="60"/>
      <c r="J469" s="60" t="s">
        <v>84</v>
      </c>
      <c r="K469" s="60"/>
    </row>
    <row r="470" spans="1:11" ht="15.75">
      <c r="A470" s="9" t="s">
        <v>9</v>
      </c>
      <c r="B470" s="9" t="s">
        <v>10</v>
      </c>
      <c r="C470" s="33" t="s">
        <v>85</v>
      </c>
      <c r="D470" s="33" t="s">
        <v>86</v>
      </c>
      <c r="E470" s="33" t="s">
        <v>87</v>
      </c>
      <c r="F470" s="33" t="s">
        <v>86</v>
      </c>
      <c r="G470" s="33" t="s">
        <v>87</v>
      </c>
      <c r="H470" s="33" t="s">
        <v>86</v>
      </c>
      <c r="I470" s="33" t="s">
        <v>87</v>
      </c>
      <c r="J470" s="33" t="s">
        <v>86</v>
      </c>
      <c r="K470" s="33" t="s">
        <v>87</v>
      </c>
    </row>
    <row r="471" spans="1:11" s="31" customFormat="1" ht="15.75">
      <c r="A471" s="25" t="s">
        <v>27</v>
      </c>
      <c r="B471" s="51" t="s">
        <v>73</v>
      </c>
      <c r="C471" s="45"/>
      <c r="D471" s="46"/>
      <c r="E471" s="47"/>
      <c r="F471" s="48"/>
      <c r="G471" s="48"/>
      <c r="H471" s="49"/>
      <c r="I471" s="49"/>
      <c r="J471" s="49"/>
      <c r="K471" s="49"/>
    </row>
    <row r="472" spans="1:11" s="52" customFormat="1" ht="15.75">
      <c r="A472" s="26">
        <v>2010</v>
      </c>
      <c r="B472" s="5" t="s">
        <v>19</v>
      </c>
      <c r="C472" s="45">
        <v>31404</v>
      </c>
      <c r="D472" s="46">
        <v>30218</v>
      </c>
      <c r="E472" s="47">
        <v>671824</v>
      </c>
      <c r="F472" s="48">
        <v>2290070</v>
      </c>
      <c r="G472" s="48">
        <f>20890482+57+512</f>
        <v>20891051</v>
      </c>
      <c r="H472" s="49">
        <v>6325</v>
      </c>
      <c r="I472" s="49">
        <v>64412</v>
      </c>
      <c r="J472" s="49">
        <v>132</v>
      </c>
      <c r="K472" s="49">
        <v>560</v>
      </c>
    </row>
    <row r="473" spans="1:11" s="52" customFormat="1" ht="15.75">
      <c r="A473" s="26"/>
      <c r="B473" s="5" t="s">
        <v>20</v>
      </c>
      <c r="C473" s="45">
        <v>30918</v>
      </c>
      <c r="D473" s="46">
        <v>29682</v>
      </c>
      <c r="E473" s="47">
        <v>673899</v>
      </c>
      <c r="F473" s="48">
        <v>2255131</v>
      </c>
      <c r="G473" s="48">
        <f>19250256+57+817</f>
        <v>19251130</v>
      </c>
      <c r="H473" s="49">
        <v>5162</v>
      </c>
      <c r="I473" s="49">
        <v>50807</v>
      </c>
      <c r="J473" s="49">
        <v>59</v>
      </c>
      <c r="K473" s="49">
        <v>432</v>
      </c>
    </row>
    <row r="474" spans="1:11" s="52" customFormat="1" ht="15.75">
      <c r="A474" s="26"/>
      <c r="B474" s="5" t="s">
        <v>21</v>
      </c>
      <c r="C474" s="45">
        <v>30313</v>
      </c>
      <c r="D474" s="46">
        <v>29287</v>
      </c>
      <c r="E474" s="47">
        <v>674840</v>
      </c>
      <c r="F474" s="50">
        <v>2155162</v>
      </c>
      <c r="G474" s="50">
        <f>18250703+57+512</f>
        <v>18251272</v>
      </c>
      <c r="H474" s="49">
        <v>5210</v>
      </c>
      <c r="I474" s="49">
        <v>51909</v>
      </c>
      <c r="J474" s="49">
        <v>27</v>
      </c>
      <c r="K474" s="49">
        <v>209</v>
      </c>
    </row>
    <row r="475" spans="1:11" ht="15.75">
      <c r="A475" s="5"/>
      <c r="B475" s="5"/>
      <c r="C475" s="36"/>
      <c r="D475" s="36"/>
      <c r="E475" s="37"/>
      <c r="F475" s="37"/>
      <c r="G475" s="36"/>
      <c r="H475" s="36"/>
      <c r="I475" s="36"/>
      <c r="J475" s="36"/>
      <c r="K475" s="6"/>
    </row>
    <row r="476" spans="1:11" s="31" customFormat="1" ht="15.75">
      <c r="A476" s="25" t="s">
        <v>27</v>
      </c>
      <c r="B476" s="51" t="s">
        <v>74</v>
      </c>
      <c r="C476" s="45"/>
      <c r="D476" s="46"/>
      <c r="E476" s="47"/>
      <c r="F476" s="48"/>
      <c r="G476" s="48"/>
      <c r="H476" s="49"/>
      <c r="I476" s="49"/>
      <c r="J476" s="49"/>
      <c r="K476" s="49"/>
    </row>
    <row r="477" spans="1:11" s="52" customFormat="1" ht="15.75">
      <c r="A477" s="26">
        <v>2011</v>
      </c>
      <c r="B477" s="26" t="s">
        <v>23</v>
      </c>
      <c r="C477" s="45">
        <v>29860</v>
      </c>
      <c r="D477" s="46">
        <v>28856</v>
      </c>
      <c r="E477" s="47">
        <v>676105</v>
      </c>
      <c r="F477" s="48">
        <v>1953360.1</v>
      </c>
      <c r="G477" s="48">
        <f>16421418+57+383</f>
        <v>16421858</v>
      </c>
      <c r="H477" s="49">
        <v>5767</v>
      </c>
      <c r="I477" s="49">
        <v>60903</v>
      </c>
      <c r="J477" s="49">
        <v>44</v>
      </c>
      <c r="K477" s="49">
        <v>533</v>
      </c>
    </row>
    <row r="478" spans="1:11" s="52" customFormat="1" ht="15.75">
      <c r="A478" s="26"/>
      <c r="B478" s="26" t="s">
        <v>24</v>
      </c>
      <c r="C478" s="45">
        <v>29629</v>
      </c>
      <c r="D478" s="46">
        <v>28484</v>
      </c>
      <c r="E478" s="47">
        <v>676882</v>
      </c>
      <c r="F478" s="48">
        <v>1720089</v>
      </c>
      <c r="G478" s="48">
        <f>15664933+57+383</f>
        <v>15665373</v>
      </c>
      <c r="H478" s="49">
        <v>4756</v>
      </c>
      <c r="I478" s="49">
        <v>55737</v>
      </c>
      <c r="J478" s="49">
        <v>47</v>
      </c>
      <c r="K478" s="49">
        <v>463</v>
      </c>
    </row>
    <row r="479" spans="1:11" s="52" customFormat="1" ht="15.75">
      <c r="A479" s="26"/>
      <c r="B479" s="26" t="s">
        <v>25</v>
      </c>
      <c r="C479" s="45">
        <v>29138</v>
      </c>
      <c r="D479" s="46">
        <v>28084</v>
      </c>
      <c r="E479" s="47">
        <v>677837</v>
      </c>
      <c r="F479" s="50">
        <v>1524369</v>
      </c>
      <c r="G479" s="50">
        <f>14483235+57+383</f>
        <v>14483675</v>
      </c>
      <c r="H479" s="49">
        <v>4643</v>
      </c>
      <c r="I479" s="49">
        <v>58834</v>
      </c>
      <c r="J479" s="49">
        <v>68</v>
      </c>
      <c r="K479" s="49">
        <v>602</v>
      </c>
    </row>
    <row r="480" spans="1:11" ht="15.75">
      <c r="A480" s="5"/>
      <c r="B480" s="5"/>
      <c r="C480" s="36"/>
      <c r="D480" s="36"/>
      <c r="E480" s="37"/>
      <c r="F480" s="37"/>
      <c r="G480" s="36"/>
      <c r="H480" s="36"/>
      <c r="I480" s="36"/>
      <c r="J480" s="36"/>
      <c r="K480" s="6"/>
    </row>
    <row r="481" spans="1:11" s="31" customFormat="1" ht="15.75">
      <c r="A481" s="25" t="s">
        <v>27</v>
      </c>
      <c r="B481" s="51" t="s">
        <v>75</v>
      </c>
      <c r="C481" s="45"/>
      <c r="D481" s="46"/>
      <c r="E481" s="47"/>
      <c r="F481" s="48"/>
      <c r="G481" s="48"/>
      <c r="H481" s="49"/>
      <c r="I481" s="49"/>
      <c r="J481" s="49"/>
      <c r="K481" s="49"/>
    </row>
    <row r="482" spans="1:11" s="52" customFormat="1" ht="15.75">
      <c r="A482" s="26"/>
      <c r="B482" s="5" t="s">
        <v>28</v>
      </c>
      <c r="C482" s="45">
        <v>37135</v>
      </c>
      <c r="D482" s="46">
        <v>39270</v>
      </c>
      <c r="E482" s="47">
        <v>666512</v>
      </c>
      <c r="F482" s="48">
        <v>1857774</v>
      </c>
      <c r="G482" s="48">
        <v>10654710</v>
      </c>
      <c r="H482" s="49">
        <v>6328</v>
      </c>
      <c r="I482" s="49">
        <v>52388</v>
      </c>
      <c r="J482" s="49">
        <v>71</v>
      </c>
      <c r="K482" s="49">
        <v>379</v>
      </c>
    </row>
    <row r="483" spans="1:11" s="52" customFormat="1" ht="15.75">
      <c r="A483" s="26"/>
      <c r="B483" s="5" t="s">
        <v>29</v>
      </c>
      <c r="C483" s="45">
        <v>40319</v>
      </c>
      <c r="D483" s="46">
        <v>38842</v>
      </c>
      <c r="E483" s="47">
        <v>667316</v>
      </c>
      <c r="F483" s="48">
        <v>2081224</v>
      </c>
      <c r="G483" s="48">
        <f>12003020+57+383</f>
        <v>12003460</v>
      </c>
      <c r="H483" s="49">
        <v>6505</v>
      </c>
      <c r="I483" s="49">
        <v>51537</v>
      </c>
      <c r="J483" s="49">
        <v>117</v>
      </c>
      <c r="K483" s="49">
        <v>478</v>
      </c>
    </row>
    <row r="484" spans="1:11" s="52" customFormat="1" ht="15.75">
      <c r="A484" s="26"/>
      <c r="B484" s="5" t="s">
        <v>30</v>
      </c>
      <c r="C484" s="45">
        <v>39514</v>
      </c>
      <c r="D484" s="46">
        <v>38228</v>
      </c>
      <c r="E484" s="47">
        <v>666817</v>
      </c>
      <c r="F484" s="50">
        <v>2000083</v>
      </c>
      <c r="G484" s="50">
        <f>10857152+57+383</f>
        <v>10857592</v>
      </c>
      <c r="H484" s="49">
        <v>7439</v>
      </c>
      <c r="I484" s="49">
        <v>53156</v>
      </c>
      <c r="J484" s="49">
        <v>138</v>
      </c>
      <c r="K484" s="49">
        <v>470</v>
      </c>
    </row>
    <row r="485" spans="1:11" ht="15.75">
      <c r="A485" s="5"/>
      <c r="B485" s="5"/>
      <c r="C485" s="36"/>
      <c r="D485" s="36"/>
      <c r="E485" s="37"/>
      <c r="F485" s="37"/>
      <c r="G485" s="36"/>
      <c r="H485" s="36"/>
      <c r="I485" s="36"/>
      <c r="J485" s="36"/>
      <c r="K485" s="6"/>
    </row>
    <row r="486" spans="1:11" s="31" customFormat="1" ht="15.75">
      <c r="A486" s="25" t="s">
        <v>27</v>
      </c>
      <c r="B486" s="51" t="s">
        <v>76</v>
      </c>
      <c r="C486" s="45"/>
      <c r="D486" s="46"/>
      <c r="E486" s="47"/>
      <c r="F486" s="48"/>
      <c r="G486" s="48"/>
      <c r="H486" s="49"/>
      <c r="I486" s="49"/>
      <c r="J486" s="49"/>
      <c r="K486" s="49"/>
    </row>
    <row r="487" spans="1:11" s="52" customFormat="1" ht="15.75">
      <c r="A487" s="26"/>
      <c r="B487" s="26" t="s">
        <v>32</v>
      </c>
      <c r="C487" s="45">
        <v>34697</v>
      </c>
      <c r="D487" s="46">
        <v>30240</v>
      </c>
      <c r="E487" s="47">
        <v>675214</v>
      </c>
      <c r="F487" s="48">
        <v>1779402</v>
      </c>
      <c r="G487" s="48">
        <f>11960964+57+383</f>
        <v>11961404</v>
      </c>
      <c r="H487" s="49">
        <v>5078</v>
      </c>
      <c r="I487" s="49">
        <v>49177</v>
      </c>
      <c r="J487" s="49">
        <v>106</v>
      </c>
      <c r="K487" s="49">
        <v>353</v>
      </c>
    </row>
    <row r="488" spans="1:11" s="52" customFormat="1" ht="15.75">
      <c r="A488" s="26"/>
      <c r="B488" s="26" t="s">
        <v>33</v>
      </c>
      <c r="C488" s="45">
        <v>30969</v>
      </c>
      <c r="D488" s="46">
        <v>29946</v>
      </c>
      <c r="E488" s="47">
        <v>675803</v>
      </c>
      <c r="F488" s="48">
        <v>1884672</v>
      </c>
      <c r="G488" s="48">
        <f>13594631+57+383</f>
        <v>13595071</v>
      </c>
      <c r="H488" s="49">
        <v>7191</v>
      </c>
      <c r="I488" s="49">
        <v>65334</v>
      </c>
      <c r="J488" s="49">
        <v>147</v>
      </c>
      <c r="K488" s="49">
        <v>697</v>
      </c>
    </row>
    <row r="489" spans="1:11" s="52" customFormat="1" ht="15.75">
      <c r="A489" s="26"/>
      <c r="B489" s="26" t="s">
        <v>18</v>
      </c>
      <c r="C489" s="45">
        <v>30706</v>
      </c>
      <c r="D489" s="46">
        <v>29543</v>
      </c>
      <c r="E489" s="47">
        <v>676747</v>
      </c>
      <c r="F489" s="50">
        <v>2201151</v>
      </c>
      <c r="G489" s="50">
        <f>18450078+57+383</f>
        <v>18450518</v>
      </c>
      <c r="H489" s="49">
        <v>7049</v>
      </c>
      <c r="I489" s="49">
        <v>66480</v>
      </c>
      <c r="J489" s="49">
        <v>127</v>
      </c>
      <c r="K489" s="49">
        <v>481</v>
      </c>
    </row>
    <row r="490" spans="1:11" ht="15.75">
      <c r="A490" s="5"/>
      <c r="B490" s="5"/>
      <c r="C490" s="36"/>
      <c r="D490" s="36"/>
      <c r="E490" s="37"/>
      <c r="F490" s="37"/>
      <c r="G490" s="36"/>
      <c r="H490" s="36"/>
      <c r="I490" s="36"/>
      <c r="J490" s="36"/>
      <c r="K490" s="6"/>
    </row>
    <row r="491" spans="1:11" s="31" customFormat="1" ht="15.75">
      <c r="A491" s="25" t="s">
        <v>27</v>
      </c>
      <c r="B491" s="51" t="s">
        <v>77</v>
      </c>
      <c r="C491" s="45"/>
      <c r="D491" s="46"/>
      <c r="E491" s="47"/>
      <c r="F491" s="48"/>
      <c r="G491" s="48"/>
      <c r="H491" s="49"/>
      <c r="I491" s="49"/>
      <c r="J491" s="49"/>
      <c r="K491" s="49"/>
    </row>
    <row r="492" spans="1:11" s="52" customFormat="1" ht="15.75">
      <c r="A492" s="26"/>
      <c r="B492" s="5" t="s">
        <v>19</v>
      </c>
      <c r="C492" s="45">
        <v>30233</v>
      </c>
      <c r="D492" s="46">
        <v>29046</v>
      </c>
      <c r="E492" s="47">
        <v>677400</v>
      </c>
      <c r="F492" s="48">
        <v>2353044</v>
      </c>
      <c r="G492" s="48">
        <f>20971346+57+383</f>
        <v>20971786</v>
      </c>
      <c r="H492" s="49">
        <v>7793</v>
      </c>
      <c r="I492" s="49">
        <v>66747</v>
      </c>
      <c r="J492" s="49">
        <v>108</v>
      </c>
      <c r="K492" s="49">
        <v>523</v>
      </c>
    </row>
    <row r="493" spans="1:11" s="52" customFormat="1" ht="15.75">
      <c r="A493" s="26"/>
      <c r="B493" s="5" t="s">
        <v>20</v>
      </c>
      <c r="C493" s="45">
        <v>30296</v>
      </c>
      <c r="D493" s="46">
        <v>29649</v>
      </c>
      <c r="E493" s="47">
        <v>678247</v>
      </c>
      <c r="F493" s="48">
        <v>2353044</v>
      </c>
      <c r="G493" s="48">
        <f>20971346+57+383</f>
        <v>20971786</v>
      </c>
      <c r="H493" s="49">
        <v>6060</v>
      </c>
      <c r="I493" s="49">
        <v>51629</v>
      </c>
      <c r="J493" s="49">
        <v>61</v>
      </c>
      <c r="K493" s="49">
        <v>393</v>
      </c>
    </row>
    <row r="494" spans="1:11" s="52" customFormat="1" ht="15.75">
      <c r="A494" s="26"/>
      <c r="B494" s="5" t="s">
        <v>21</v>
      </c>
      <c r="C494" s="45">
        <v>31132</v>
      </c>
      <c r="D494" s="46">
        <v>30698</v>
      </c>
      <c r="E494" s="47">
        <v>677989</v>
      </c>
      <c r="F494" s="50">
        <v>2124897</v>
      </c>
      <c r="G494" s="50">
        <f>18050407+57+405</f>
        <v>18050869</v>
      </c>
      <c r="H494" s="49">
        <v>5894</v>
      </c>
      <c r="I494" s="49">
        <v>53756</v>
      </c>
      <c r="J494" s="49">
        <v>32</v>
      </c>
      <c r="K494" s="49">
        <v>182</v>
      </c>
    </row>
    <row r="495" spans="1:11" ht="15.75">
      <c r="A495" s="5"/>
      <c r="B495" s="26"/>
      <c r="C495" s="45"/>
      <c r="D495" s="46"/>
      <c r="E495" s="47"/>
      <c r="F495" s="50"/>
      <c r="G495" s="50"/>
      <c r="H495" s="49"/>
      <c r="I495" s="49"/>
      <c r="J495" s="49"/>
      <c r="K495" s="49"/>
    </row>
    <row r="496" spans="1:11" ht="22.5">
      <c r="A496" s="4"/>
      <c r="B496" s="5"/>
      <c r="C496" s="60" t="s">
        <v>92</v>
      </c>
      <c r="D496" s="60"/>
      <c r="E496" s="60"/>
      <c r="F496" s="60"/>
      <c r="G496" s="6"/>
      <c r="H496" s="6"/>
      <c r="I496" s="6"/>
      <c r="J496" s="6"/>
      <c r="K496" s="6"/>
    </row>
    <row r="497" spans="1:11" ht="22.5">
      <c r="A497" s="4"/>
      <c r="B497" s="9"/>
      <c r="C497" s="61" t="s">
        <v>93</v>
      </c>
      <c r="D497" s="60"/>
      <c r="E497" s="61" t="s">
        <v>94</v>
      </c>
      <c r="F497" s="60"/>
      <c r="G497" s="60" t="s">
        <v>95</v>
      </c>
      <c r="H497" s="60"/>
      <c r="I497" s="60" t="s">
        <v>96</v>
      </c>
      <c r="J497" s="60"/>
      <c r="K497" s="6"/>
    </row>
    <row r="498" spans="1:11" ht="15.75">
      <c r="A498" s="9" t="s">
        <v>9</v>
      </c>
      <c r="B498" s="9" t="s">
        <v>10</v>
      </c>
      <c r="C498" s="33" t="s">
        <v>86</v>
      </c>
      <c r="D498" s="33" t="s">
        <v>87</v>
      </c>
      <c r="E498" s="33" t="s">
        <v>86</v>
      </c>
      <c r="F498" s="33" t="s">
        <v>87</v>
      </c>
      <c r="G498" s="33" t="s">
        <v>86</v>
      </c>
      <c r="H498" s="33" t="s">
        <v>97</v>
      </c>
      <c r="I498" s="33" t="s">
        <v>86</v>
      </c>
      <c r="J498" s="33" t="s">
        <v>97</v>
      </c>
      <c r="K498" s="6"/>
    </row>
    <row r="499" spans="1:11" ht="15.75">
      <c r="A499" s="9"/>
      <c r="B499" s="9" t="s">
        <v>22</v>
      </c>
      <c r="C499" s="33"/>
      <c r="D499" s="33"/>
      <c r="E499" s="33"/>
      <c r="F499" s="33"/>
      <c r="G499" s="33"/>
      <c r="H499" s="33"/>
      <c r="I499" s="33"/>
      <c r="J499" s="33"/>
      <c r="K499" s="6"/>
    </row>
    <row r="500" spans="1:11" ht="15.75">
      <c r="A500" s="12">
        <v>2000</v>
      </c>
      <c r="B500" s="5" t="s">
        <v>18</v>
      </c>
      <c r="C500" s="36">
        <v>0</v>
      </c>
      <c r="D500" s="36">
        <v>420137</v>
      </c>
      <c r="E500" s="6">
        <v>0</v>
      </c>
      <c r="F500" s="37">
        <v>4545</v>
      </c>
      <c r="G500" s="36">
        <v>0</v>
      </c>
      <c r="H500" s="36">
        <f>329562.77+11385.31</f>
        <v>340948.08</v>
      </c>
      <c r="I500" s="36">
        <v>0</v>
      </c>
      <c r="J500" s="36">
        <f>153155.78+426.42+17941.08</f>
        <v>171523.28000000003</v>
      </c>
      <c r="K500" s="6"/>
    </row>
    <row r="501" spans="1:11" ht="15.75">
      <c r="A501" s="5"/>
      <c r="B501" s="5" t="s">
        <v>19</v>
      </c>
      <c r="C501" s="38">
        <v>0</v>
      </c>
      <c r="D501" s="38">
        <v>477340</v>
      </c>
      <c r="E501" s="6">
        <v>0</v>
      </c>
      <c r="F501" s="37">
        <v>4851</v>
      </c>
      <c r="G501" s="38">
        <v>0</v>
      </c>
      <c r="H501" s="38">
        <f>324832.59+12781.56</f>
        <v>337614.15</v>
      </c>
      <c r="I501" s="38">
        <v>0</v>
      </c>
      <c r="J501" s="38">
        <f>162072.4+21388.72</f>
        <v>183461.12</v>
      </c>
      <c r="K501" s="6"/>
    </row>
    <row r="502" spans="1:11" ht="15.75">
      <c r="A502" s="5"/>
      <c r="B502" s="5" t="s">
        <v>20</v>
      </c>
      <c r="C502" s="38">
        <v>0</v>
      </c>
      <c r="D502" s="38">
        <v>284461</v>
      </c>
      <c r="E502" s="6">
        <v>0</v>
      </c>
      <c r="F502" s="37">
        <v>2789</v>
      </c>
      <c r="G502" s="38">
        <v>0</v>
      </c>
      <c r="H502" s="38">
        <f>294273.9+106.82+7788.04</f>
        <v>302168.76</v>
      </c>
      <c r="I502" s="38">
        <v>0</v>
      </c>
      <c r="J502" s="38">
        <f>173295.52+17606.3</f>
        <v>190901.81999999998</v>
      </c>
      <c r="K502" s="6"/>
    </row>
    <row r="503" spans="1:11" ht="15.75">
      <c r="A503" s="5"/>
      <c r="B503" s="5" t="s">
        <v>21</v>
      </c>
      <c r="C503" s="38">
        <v>0</v>
      </c>
      <c r="D503" s="41">
        <v>326163</v>
      </c>
      <c r="E503" s="6">
        <v>0</v>
      </c>
      <c r="F503" s="37">
        <v>4933</v>
      </c>
      <c r="G503" s="38">
        <f>29.72</f>
        <v>29.72</v>
      </c>
      <c r="H503" s="38">
        <f>318699.72+9043.51</f>
        <v>327743.23</v>
      </c>
      <c r="I503" s="38">
        <f>18.62</f>
        <v>18.62</v>
      </c>
      <c r="J503" s="38">
        <f>140518.44+475.68+16338.36</f>
        <v>157332.47999999998</v>
      </c>
      <c r="K503" s="6"/>
    </row>
    <row r="504" spans="1:11" ht="15.75">
      <c r="A504" s="5"/>
      <c r="B504" s="5"/>
      <c r="C504" s="6"/>
      <c r="D504" s="41"/>
      <c r="E504" s="6"/>
      <c r="F504" s="37"/>
      <c r="G504" s="53"/>
      <c r="H504" s="38"/>
      <c r="I504" s="53"/>
      <c r="J504" s="38"/>
      <c r="K504" s="6"/>
    </row>
    <row r="505" spans="1:11" ht="15.75">
      <c r="A505" s="5"/>
      <c r="B505" s="9" t="s">
        <v>26</v>
      </c>
      <c r="C505" s="6"/>
      <c r="D505" s="41"/>
      <c r="E505" s="6"/>
      <c r="F505" s="37"/>
      <c r="G505" s="53"/>
      <c r="H505" s="38"/>
      <c r="I505" s="53"/>
      <c r="J505" s="38"/>
      <c r="K505" s="6"/>
    </row>
    <row r="506" spans="1:11" ht="15.75">
      <c r="A506" s="12">
        <v>2001</v>
      </c>
      <c r="B506" s="5" t="s">
        <v>23</v>
      </c>
      <c r="C506" s="38">
        <v>0</v>
      </c>
      <c r="D506" s="41">
        <v>279514</v>
      </c>
      <c r="E506" s="13">
        <v>0</v>
      </c>
      <c r="F506" s="37">
        <v>5161</v>
      </c>
      <c r="G506" s="38">
        <f>113.37</f>
        <v>113.37</v>
      </c>
      <c r="H506" s="38">
        <f>291738.93+7669.67</f>
        <v>299408.59999999998</v>
      </c>
      <c r="I506" s="38">
        <f>11.2</f>
        <v>11.2</v>
      </c>
      <c r="J506" s="38">
        <f>145582.6+212.14+13073.15</f>
        <v>158867.89000000001</v>
      </c>
      <c r="K506" s="6"/>
    </row>
    <row r="507" spans="1:11" ht="15.75">
      <c r="A507" s="5"/>
      <c r="B507" s="5" t="s">
        <v>24</v>
      </c>
      <c r="C507" s="38">
        <v>283</v>
      </c>
      <c r="D507" s="41">
        <v>267968</v>
      </c>
      <c r="E507" s="37">
        <v>2</v>
      </c>
      <c r="F507" s="37">
        <v>3938</v>
      </c>
      <c r="G507" s="38">
        <f>255.54</f>
        <v>255.54</v>
      </c>
      <c r="H507" s="38">
        <f>348963.27+11228.45</f>
        <v>360191.72000000003</v>
      </c>
      <c r="I507" s="38">
        <f>68.72</f>
        <v>68.72</v>
      </c>
      <c r="J507" s="38">
        <f>182274.2+168.68+14164.28</f>
        <v>196607.16</v>
      </c>
      <c r="K507" s="6"/>
    </row>
    <row r="508" spans="1:11" ht="15.75">
      <c r="A508" s="5"/>
      <c r="B508" s="5" t="s">
        <v>25</v>
      </c>
      <c r="C508" s="38">
        <v>3764</v>
      </c>
      <c r="D508" s="41">
        <v>283648</v>
      </c>
      <c r="E508" s="37">
        <v>35</v>
      </c>
      <c r="F508" s="37">
        <v>4681</v>
      </c>
      <c r="G508" s="38">
        <f>748.86</f>
        <v>748.86</v>
      </c>
      <c r="H508" s="38">
        <f>374269.23+101.94+11640.38</f>
        <v>386011.55</v>
      </c>
      <c r="I508" s="38">
        <f>159.67</f>
        <v>159.66999999999999</v>
      </c>
      <c r="J508" s="38">
        <f>168408.16+14854.65</f>
        <v>183262.81</v>
      </c>
      <c r="K508" s="6"/>
    </row>
    <row r="509" spans="1:11" ht="15.75">
      <c r="A509" s="5"/>
      <c r="B509" s="5"/>
      <c r="C509" s="38"/>
      <c r="D509" s="41"/>
      <c r="E509" s="37"/>
      <c r="F509" s="37"/>
      <c r="G509" s="38"/>
      <c r="H509" s="38"/>
      <c r="I509" s="38"/>
      <c r="J509" s="38"/>
      <c r="K509" s="6"/>
    </row>
    <row r="510" spans="1:11" ht="15.75">
      <c r="A510" s="5"/>
      <c r="B510" s="9" t="s">
        <v>31</v>
      </c>
      <c r="C510" s="6"/>
      <c r="D510" s="41"/>
      <c r="E510" s="6"/>
      <c r="F510" s="37"/>
      <c r="G510" s="53"/>
      <c r="H510" s="38"/>
      <c r="I510" s="53"/>
      <c r="J510" s="38"/>
      <c r="K510" s="6"/>
    </row>
    <row r="511" spans="1:11" ht="15.75">
      <c r="A511" s="12" t="s">
        <v>27</v>
      </c>
      <c r="B511" s="5" t="s">
        <v>28</v>
      </c>
      <c r="C511" s="38">
        <v>10561.77</v>
      </c>
      <c r="D511" s="41">
        <v>330316.06</v>
      </c>
      <c r="E511" s="37">
        <v>65</v>
      </c>
      <c r="F511" s="37">
        <v>2611</v>
      </c>
      <c r="G511" s="38">
        <f>1162.61</f>
        <v>1162.6099999999999</v>
      </c>
      <c r="H511" s="38">
        <f>324781.71+9610.45</f>
        <v>334392.16000000003</v>
      </c>
      <c r="I511" s="38">
        <f>158.73</f>
        <v>158.72999999999999</v>
      </c>
      <c r="J511" s="38">
        <f>165872.09+21+13642.65</f>
        <v>179535.74</v>
      </c>
      <c r="K511" s="6"/>
    </row>
    <row r="512" spans="1:11" ht="15.75">
      <c r="A512" s="5"/>
      <c r="B512" s="5" t="s">
        <v>29</v>
      </c>
      <c r="C512" s="38">
        <v>33116.42</v>
      </c>
      <c r="D512" s="41">
        <v>1091388.43</v>
      </c>
      <c r="E512" s="37">
        <v>173</v>
      </c>
      <c r="F512" s="37">
        <v>16265</v>
      </c>
      <c r="G512" s="38">
        <f>2090.31</f>
        <v>2090.31</v>
      </c>
      <c r="H512" s="38">
        <f>289575.03+7665.58</f>
        <v>297240.61000000004</v>
      </c>
      <c r="I512" s="38">
        <f>101.55</f>
        <v>101.55</v>
      </c>
      <c r="J512" s="38">
        <f>148741.3+532.04+12054.29</f>
        <v>161327.63</v>
      </c>
      <c r="K512" s="6"/>
    </row>
    <row r="513" spans="1:11" ht="15.75">
      <c r="A513" s="5"/>
      <c r="B513" s="5" t="s">
        <v>30</v>
      </c>
      <c r="C513" s="36">
        <v>30062.99</v>
      </c>
      <c r="D513" s="36">
        <v>347208.28</v>
      </c>
      <c r="E513" s="37">
        <v>158</v>
      </c>
      <c r="F513" s="37">
        <v>2805</v>
      </c>
      <c r="G513" s="36">
        <f>1985.48</f>
        <v>1985.48</v>
      </c>
      <c r="H513" s="36">
        <f>278017.59+11008.63</f>
        <v>289026.22000000003</v>
      </c>
      <c r="I513" s="36">
        <f>733.08</f>
        <v>733.08</v>
      </c>
      <c r="J513" s="36">
        <f>140715.36+89.58+16639.3</f>
        <v>157444.23999999996</v>
      </c>
      <c r="K513" s="6"/>
    </row>
    <row r="514" spans="1:11" ht="15.75">
      <c r="A514" s="5"/>
      <c r="B514" s="5"/>
      <c r="C514" s="36"/>
      <c r="D514" s="36"/>
      <c r="E514" s="37"/>
      <c r="F514" s="37"/>
      <c r="G514" s="36"/>
      <c r="H514" s="36"/>
      <c r="I514" s="36"/>
      <c r="J514" s="36"/>
      <c r="K514" s="6"/>
    </row>
    <row r="515" spans="1:11" ht="15.75">
      <c r="A515" s="5"/>
      <c r="B515" s="9" t="s">
        <v>34</v>
      </c>
      <c r="C515" s="6"/>
      <c r="D515" s="41"/>
      <c r="E515" s="6"/>
      <c r="F515" s="37"/>
      <c r="G515" s="53"/>
      <c r="H515" s="38"/>
      <c r="I515" s="53"/>
      <c r="J515" s="38"/>
      <c r="K515" s="6"/>
    </row>
    <row r="516" spans="1:11" ht="15.75">
      <c r="A516" s="12" t="s">
        <v>27</v>
      </c>
      <c r="B516" s="5" t="s">
        <v>32</v>
      </c>
      <c r="C516" s="38">
        <v>17553.45</v>
      </c>
      <c r="D516" s="41">
        <v>266740.64</v>
      </c>
      <c r="E516" s="37">
        <v>95</v>
      </c>
      <c r="F516" s="37">
        <v>2203</v>
      </c>
      <c r="G516" s="38">
        <v>3389.09</v>
      </c>
      <c r="H516" s="38">
        <f>274341.38+7048.04</f>
        <v>281389.42</v>
      </c>
      <c r="I516" s="38">
        <v>1489.55</v>
      </c>
      <c r="J516" s="38">
        <f>154406.08+13215.11</f>
        <v>167621.19</v>
      </c>
      <c r="K516" s="6"/>
    </row>
    <row r="517" spans="1:11" ht="15.75">
      <c r="A517" s="5"/>
      <c r="B517" s="5" t="s">
        <v>33</v>
      </c>
      <c r="C517" s="38">
        <v>24650.6</v>
      </c>
      <c r="D517" s="41">
        <v>333407.84000000003</v>
      </c>
      <c r="E517" s="37">
        <v>146</v>
      </c>
      <c r="F517" s="37">
        <v>2933</v>
      </c>
      <c r="G517" s="38">
        <v>5384.25</v>
      </c>
      <c r="H517" s="38">
        <f>326094.22+3522.05</f>
        <v>329616.26999999996</v>
      </c>
      <c r="I517" s="38">
        <v>1034.92</v>
      </c>
      <c r="J517" s="38">
        <f>141069.78+9764.23</f>
        <v>150834.01</v>
      </c>
      <c r="K517" s="6"/>
    </row>
    <row r="518" spans="1:11" ht="15.75">
      <c r="A518" s="5"/>
      <c r="B518" s="5" t="s">
        <v>18</v>
      </c>
      <c r="C518" s="36">
        <v>37241.93</v>
      </c>
      <c r="D518" s="36">
        <v>324517.52</v>
      </c>
      <c r="E518" s="37">
        <v>260</v>
      </c>
      <c r="F518" s="37">
        <v>2813</v>
      </c>
      <c r="G518" s="36">
        <v>10446.26</v>
      </c>
      <c r="H518" s="36">
        <f>348081.91+38.02+6068.48</f>
        <v>354188.41</v>
      </c>
      <c r="I518" s="36">
        <v>1505.9</v>
      </c>
      <c r="J518" s="36">
        <f>135254.84+38.02+9023.88</f>
        <v>144316.74</v>
      </c>
      <c r="K518" s="6"/>
    </row>
    <row r="519" spans="1:11" ht="15.75">
      <c r="A519" s="5"/>
      <c r="B519" s="5"/>
      <c r="C519" s="36"/>
      <c r="D519" s="36"/>
      <c r="E519" s="37"/>
      <c r="F519" s="37"/>
      <c r="G519" s="36"/>
      <c r="H519" s="36"/>
      <c r="I519" s="36"/>
      <c r="J519" s="36"/>
      <c r="K519" s="6"/>
    </row>
    <row r="520" spans="1:11" ht="15.75">
      <c r="A520" s="5"/>
      <c r="B520" s="9" t="s">
        <v>35</v>
      </c>
      <c r="C520" s="6"/>
      <c r="D520" s="41"/>
      <c r="E520" s="6"/>
      <c r="F520" s="37"/>
      <c r="G520" s="53"/>
      <c r="H520" s="38"/>
      <c r="I520" s="53"/>
      <c r="J520" s="38"/>
      <c r="K520" s="6"/>
    </row>
    <row r="521" spans="1:11" ht="15.75">
      <c r="A521" s="12" t="s">
        <v>27</v>
      </c>
      <c r="B521" s="5" t="s">
        <v>19</v>
      </c>
      <c r="C521" s="38">
        <v>39131.08</v>
      </c>
      <c r="D521" s="41">
        <f>479072.8+2742.07</f>
        <v>481814.87</v>
      </c>
      <c r="E521" s="37">
        <v>227</v>
      </c>
      <c r="F521" s="37">
        <f>3370+17</f>
        <v>3387</v>
      </c>
      <c r="G521" s="38">
        <v>17877.48</v>
      </c>
      <c r="H521" s="38">
        <f>357370.76+8172.68</f>
        <v>365543.44</v>
      </c>
      <c r="I521" s="38">
        <v>2921.62</v>
      </c>
      <c r="J521" s="38">
        <f>142491.57+9222.87</f>
        <v>151714.44</v>
      </c>
      <c r="K521" s="6"/>
    </row>
    <row r="522" spans="1:11" ht="15.75">
      <c r="A522" s="5"/>
      <c r="B522" s="5" t="s">
        <v>20</v>
      </c>
      <c r="C522" s="38">
        <v>23344.9</v>
      </c>
      <c r="D522" s="41">
        <f>2440943.83+559.83+475066.57</f>
        <v>2916570.23</v>
      </c>
      <c r="E522" s="37">
        <v>165</v>
      </c>
      <c r="F522" s="37">
        <f>15159+4+1909</f>
        <v>17072</v>
      </c>
      <c r="G522" s="38">
        <v>23505.94</v>
      </c>
      <c r="H522" s="38">
        <f>390328.34+8084.55</f>
        <v>398412.89</v>
      </c>
      <c r="I522" s="38">
        <v>4188.37</v>
      </c>
      <c r="J522" s="38">
        <f>183771.9+10.62+13162.09</f>
        <v>196944.61</v>
      </c>
      <c r="K522" s="6"/>
    </row>
    <row r="523" spans="1:11" ht="15.75">
      <c r="A523" s="5"/>
      <c r="B523" s="5" t="s">
        <v>21</v>
      </c>
      <c r="C523" s="36">
        <v>21091.94</v>
      </c>
      <c r="D523" s="36">
        <f>321854.39+1149.61</f>
        <v>323004</v>
      </c>
      <c r="E523" s="37">
        <v>138</v>
      </c>
      <c r="F523" s="37">
        <f>2582+8</f>
        <v>2590</v>
      </c>
      <c r="G523" s="36">
        <v>30908.74</v>
      </c>
      <c r="H523" s="36">
        <f>339330.65+6438.65</f>
        <v>345769.30000000005</v>
      </c>
      <c r="I523" s="36">
        <v>5359.54</v>
      </c>
      <c r="J523" s="36">
        <f>162314.3+13654.19</f>
        <v>175968.49</v>
      </c>
      <c r="K523" s="6"/>
    </row>
    <row r="524" spans="1:11" ht="15.75">
      <c r="A524" s="5"/>
      <c r="B524" s="5"/>
      <c r="C524" s="36"/>
      <c r="D524" s="36"/>
      <c r="E524" s="37"/>
      <c r="F524" s="37"/>
      <c r="G524" s="36"/>
      <c r="H524" s="36"/>
      <c r="I524" s="36"/>
      <c r="J524" s="36"/>
      <c r="K524" s="6"/>
    </row>
    <row r="525" spans="1:11" ht="15.75">
      <c r="A525" s="5"/>
      <c r="B525" s="9" t="s">
        <v>36</v>
      </c>
      <c r="C525" s="6"/>
      <c r="D525" s="41"/>
      <c r="E525" s="6"/>
      <c r="F525" s="37"/>
      <c r="G525" s="53"/>
      <c r="H525" s="38"/>
      <c r="I525" s="53"/>
      <c r="J525" s="38"/>
      <c r="K525" s="6"/>
    </row>
    <row r="526" spans="1:11" ht="15.75">
      <c r="A526" s="12">
        <v>2002</v>
      </c>
      <c r="B526" s="5" t="s">
        <v>23</v>
      </c>
      <c r="C526" s="38">
        <v>21698.74</v>
      </c>
      <c r="D526" s="41">
        <f>349139.19+848.85</f>
        <v>349988.04</v>
      </c>
      <c r="E526" s="37">
        <v>153</v>
      </c>
      <c r="F526" s="37">
        <f>2927+8</f>
        <v>2935</v>
      </c>
      <c r="G526" s="38">
        <v>25354.27</v>
      </c>
      <c r="H526" s="38">
        <f>341406.68+6717.63</f>
        <v>348124.31</v>
      </c>
      <c r="I526" s="38">
        <v>4845.2</v>
      </c>
      <c r="J526" s="38">
        <f>156424.46+8797.57</f>
        <v>165222.03</v>
      </c>
      <c r="K526" s="6"/>
    </row>
    <row r="527" spans="1:11" ht="15.75">
      <c r="A527" s="5"/>
      <c r="B527" s="5" t="s">
        <v>24</v>
      </c>
      <c r="C527" s="38">
        <v>14676.9</v>
      </c>
      <c r="D527" s="41">
        <f>305296.62+1676.18</f>
        <v>306972.79999999999</v>
      </c>
      <c r="E527" s="37">
        <v>101</v>
      </c>
      <c r="F527" s="37">
        <f>2369+5</f>
        <v>2374</v>
      </c>
      <c r="G527" s="38">
        <v>28571.99</v>
      </c>
      <c r="H527" s="38">
        <f>385584.57+10.25+5905.78</f>
        <v>391500.60000000003</v>
      </c>
      <c r="I527" s="38">
        <v>7304.43</v>
      </c>
      <c r="J527" s="38">
        <f>187351.75+0.19+13593.47</f>
        <v>200945.41</v>
      </c>
      <c r="K527" s="6"/>
    </row>
    <row r="528" spans="1:11" ht="15.75">
      <c r="A528" s="5"/>
      <c r="B528" s="5" t="s">
        <v>25</v>
      </c>
      <c r="C528" s="36">
        <v>20668.86</v>
      </c>
      <c r="D528" s="36">
        <f>286552.68+2185.48</f>
        <v>288738.15999999997</v>
      </c>
      <c r="E528" s="37">
        <v>151</v>
      </c>
      <c r="F528" s="37">
        <f>2278+8</f>
        <v>2286</v>
      </c>
      <c r="G528" s="36">
        <v>36564.230000000003</v>
      </c>
      <c r="H528" s="36">
        <f>396862.98+9747.07</f>
        <v>406610.05</v>
      </c>
      <c r="I528" s="36">
        <v>8364.6299999999992</v>
      </c>
      <c r="J528" s="36">
        <f>192640.31+13435.29</f>
        <v>206075.6</v>
      </c>
      <c r="K528" s="6"/>
    </row>
    <row r="529" spans="1:11" ht="15.75">
      <c r="A529" s="5"/>
      <c r="B529" s="5"/>
      <c r="C529" s="36"/>
      <c r="D529" s="36"/>
      <c r="E529" s="37"/>
      <c r="F529" s="37"/>
      <c r="G529" s="36"/>
      <c r="H529" s="36"/>
      <c r="I529" s="36"/>
      <c r="J529" s="36"/>
      <c r="K529" s="6"/>
    </row>
    <row r="530" spans="1:11" ht="15.75">
      <c r="A530" s="5" t="s">
        <v>27</v>
      </c>
      <c r="B530" s="9" t="s">
        <v>37</v>
      </c>
      <c r="C530" s="6"/>
      <c r="D530" s="41"/>
      <c r="E530" s="6"/>
      <c r="F530" s="37"/>
      <c r="G530" s="53"/>
      <c r="H530" s="38"/>
      <c r="I530" s="53"/>
      <c r="J530" s="38"/>
      <c r="K530" s="6"/>
    </row>
    <row r="531" spans="1:11" ht="15.75">
      <c r="A531" s="5"/>
      <c r="B531" s="5" t="s">
        <v>28</v>
      </c>
      <c r="C531" s="38">
        <v>25785.87</v>
      </c>
      <c r="D531" s="41">
        <v>327935.67</v>
      </c>
      <c r="E531" s="37">
        <v>143</v>
      </c>
      <c r="F531" s="37">
        <v>2418</v>
      </c>
      <c r="G531" s="38">
        <v>26156.66</v>
      </c>
      <c r="H531" s="38">
        <v>363008.49</v>
      </c>
      <c r="I531" s="38">
        <v>6558.55</v>
      </c>
      <c r="J531" s="38">
        <v>130631.13</v>
      </c>
      <c r="K531" s="6"/>
    </row>
    <row r="532" spans="1:11" ht="15.75">
      <c r="A532" s="5"/>
      <c r="B532" s="5" t="s">
        <v>29</v>
      </c>
      <c r="C532" s="38">
        <v>36267.919999999998</v>
      </c>
      <c r="D532" s="41">
        <v>327403.7</v>
      </c>
      <c r="E532" s="37">
        <v>221</v>
      </c>
      <c r="F532" s="37">
        <v>2414</v>
      </c>
      <c r="G532" s="38">
        <v>28853.13</v>
      </c>
      <c r="H532" s="38">
        <v>376856.36</v>
      </c>
      <c r="I532" s="38">
        <v>11650.72</v>
      </c>
      <c r="J532" s="38">
        <v>232801.95</v>
      </c>
      <c r="K532" s="6"/>
    </row>
    <row r="533" spans="1:11" ht="15.75">
      <c r="A533" s="5"/>
      <c r="B533" s="5" t="s">
        <v>30</v>
      </c>
      <c r="C533" s="36">
        <v>42529.52</v>
      </c>
      <c r="D533" s="36">
        <v>314760.81</v>
      </c>
      <c r="E533" s="37">
        <v>231</v>
      </c>
      <c r="F533" s="37">
        <v>2316</v>
      </c>
      <c r="G533" s="36">
        <v>22193.81</v>
      </c>
      <c r="H533" s="36">
        <v>313063.44</v>
      </c>
      <c r="I533" s="36">
        <v>5789.84</v>
      </c>
      <c r="J533" s="36">
        <v>190267.94</v>
      </c>
      <c r="K533" s="6"/>
    </row>
    <row r="534" spans="1:11" ht="15.75">
      <c r="A534" s="4" t="s">
        <v>91</v>
      </c>
      <c r="B534" s="5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22.5">
      <c r="A535" s="4"/>
      <c r="B535" s="5"/>
      <c r="C535" s="60" t="s">
        <v>92</v>
      </c>
      <c r="D535" s="60"/>
      <c r="E535" s="60"/>
      <c r="F535" s="60"/>
      <c r="G535" s="6"/>
      <c r="H535" s="6"/>
      <c r="I535" s="6"/>
      <c r="J535" s="6"/>
      <c r="K535" s="6"/>
    </row>
    <row r="536" spans="1:11" ht="22.5">
      <c r="A536" s="4"/>
      <c r="B536" s="9"/>
      <c r="C536" s="61" t="s">
        <v>93</v>
      </c>
      <c r="D536" s="60"/>
      <c r="E536" s="61" t="s">
        <v>94</v>
      </c>
      <c r="F536" s="60"/>
      <c r="G536" s="60" t="s">
        <v>95</v>
      </c>
      <c r="H536" s="60"/>
      <c r="I536" s="60" t="s">
        <v>96</v>
      </c>
      <c r="J536" s="60"/>
      <c r="K536" s="6"/>
    </row>
    <row r="537" spans="1:11" ht="15.75">
      <c r="A537" s="9" t="s">
        <v>9</v>
      </c>
      <c r="B537" s="9" t="s">
        <v>10</v>
      </c>
      <c r="C537" s="33" t="s">
        <v>86</v>
      </c>
      <c r="D537" s="33" t="s">
        <v>87</v>
      </c>
      <c r="E537" s="33" t="s">
        <v>86</v>
      </c>
      <c r="F537" s="33" t="s">
        <v>87</v>
      </c>
      <c r="G537" s="33" t="s">
        <v>86</v>
      </c>
      <c r="H537" s="33" t="s">
        <v>97</v>
      </c>
      <c r="I537" s="33" t="s">
        <v>86</v>
      </c>
      <c r="J537" s="33" t="s">
        <v>97</v>
      </c>
      <c r="K537" s="6"/>
    </row>
    <row r="538" spans="1:11" ht="15.75">
      <c r="A538" s="5"/>
      <c r="B538" s="5"/>
      <c r="C538" s="6"/>
      <c r="D538" s="41"/>
      <c r="E538" s="6"/>
      <c r="F538" s="37"/>
      <c r="G538" s="53"/>
      <c r="H538" s="53"/>
      <c r="I538" s="53"/>
      <c r="J538" s="53"/>
      <c r="K538" s="6"/>
    </row>
    <row r="539" spans="1:11" ht="15.75">
      <c r="A539" s="5" t="s">
        <v>27</v>
      </c>
      <c r="B539" s="9" t="s">
        <v>38</v>
      </c>
      <c r="C539" s="6"/>
      <c r="D539" s="41"/>
      <c r="E539" s="6"/>
      <c r="F539" s="37"/>
      <c r="G539" s="53"/>
      <c r="H539" s="38"/>
      <c r="I539" s="53"/>
      <c r="J539" s="38"/>
      <c r="K539" s="6"/>
    </row>
    <row r="540" spans="1:11" ht="15.75">
      <c r="A540" s="5"/>
      <c r="B540" s="5" t="s">
        <v>32</v>
      </c>
      <c r="C540" s="38">
        <v>63003.82</v>
      </c>
      <c r="D540" s="41">
        <v>335631.06</v>
      </c>
      <c r="E540" s="37">
        <v>341</v>
      </c>
      <c r="F540" s="37">
        <v>2614</v>
      </c>
      <c r="G540" s="38">
        <v>26491.33</v>
      </c>
      <c r="H540" s="38">
        <f>293325.77+1303.32</f>
        <v>294629.09000000003</v>
      </c>
      <c r="I540" s="38">
        <v>7360.92</v>
      </c>
      <c r="J540" s="38">
        <f>155833.41+5205.94</f>
        <v>161039.35</v>
      </c>
      <c r="K540" s="6"/>
    </row>
    <row r="541" spans="1:11" ht="15.75">
      <c r="A541" s="5"/>
      <c r="B541" s="5" t="s">
        <v>33</v>
      </c>
      <c r="C541" s="38">
        <v>53162.76</v>
      </c>
      <c r="D541" s="41">
        <v>370227.26</v>
      </c>
      <c r="E541" s="37">
        <v>321</v>
      </c>
      <c r="F541" s="37">
        <v>2915</v>
      </c>
      <c r="G541" s="38">
        <v>26583.95</v>
      </c>
      <c r="H541" s="38">
        <f>362402.54+8194.41</f>
        <v>370596.94999999995</v>
      </c>
      <c r="I541" s="38">
        <v>7001.26</v>
      </c>
      <c r="J541" s="38">
        <f>164676.66+62.54+13313.52</f>
        <v>178052.72</v>
      </c>
      <c r="K541" s="6"/>
    </row>
    <row r="542" spans="1:11" ht="15.75">
      <c r="A542" s="5"/>
      <c r="B542" s="5" t="s">
        <v>18</v>
      </c>
      <c r="C542" s="36">
        <v>50676.26</v>
      </c>
      <c r="D542" s="36">
        <v>357593.03</v>
      </c>
      <c r="E542" s="37">
        <f>280</f>
        <v>280</v>
      </c>
      <c r="F542" s="37">
        <v>2620</v>
      </c>
      <c r="G542" s="36">
        <f>38129.79</f>
        <v>38129.79</v>
      </c>
      <c r="H542" s="36">
        <f>363033.72+4835.45</f>
        <v>367869.17</v>
      </c>
      <c r="I542" s="36">
        <v>10233.01</v>
      </c>
      <c r="J542" s="36">
        <f>144012.42+6788.99</f>
        <v>150801.41</v>
      </c>
      <c r="K542" s="6"/>
    </row>
    <row r="543" spans="1:11" ht="15.75">
      <c r="A543" s="5"/>
      <c r="B543" s="5"/>
      <c r="C543" s="36"/>
      <c r="D543" s="36"/>
      <c r="E543" s="37"/>
      <c r="F543" s="37"/>
      <c r="G543" s="36"/>
      <c r="H543" s="36"/>
      <c r="I543" s="36"/>
      <c r="J543" s="36"/>
      <c r="K543" s="6"/>
    </row>
    <row r="544" spans="1:11" ht="15.75">
      <c r="A544" s="5"/>
      <c r="B544" s="9" t="s">
        <v>39</v>
      </c>
      <c r="C544" s="6"/>
      <c r="D544" s="41"/>
      <c r="E544" s="6"/>
      <c r="F544" s="37"/>
      <c r="G544" s="53"/>
      <c r="H544" s="38"/>
      <c r="I544" s="53"/>
      <c r="J544" s="38"/>
      <c r="K544" s="6"/>
    </row>
    <row r="545" spans="1:11" ht="15.75">
      <c r="A545" s="12">
        <v>2002</v>
      </c>
      <c r="B545" s="5" t="s">
        <v>19</v>
      </c>
      <c r="C545" s="38">
        <v>92011.65</v>
      </c>
      <c r="D545" s="41">
        <v>731204.34</v>
      </c>
      <c r="E545" s="37">
        <v>476</v>
      </c>
      <c r="F545" s="37">
        <v>4969</v>
      </c>
      <c r="G545" s="38">
        <v>47188.76</v>
      </c>
      <c r="H545" s="38">
        <f>396293.01+3498.9</f>
        <v>399791.91000000003</v>
      </c>
      <c r="I545" s="38">
        <v>14221.7</v>
      </c>
      <c r="J545" s="38">
        <f>181448.01+31.28+8037.52</f>
        <v>189516.81</v>
      </c>
      <c r="K545" s="6"/>
    </row>
    <row r="546" spans="1:11" ht="15.75">
      <c r="A546" s="5"/>
      <c r="B546" s="5" t="s">
        <v>20</v>
      </c>
      <c r="C546" s="38">
        <v>45778.18</v>
      </c>
      <c r="D546" s="41">
        <v>438589.15</v>
      </c>
      <c r="E546" s="37">
        <v>275</v>
      </c>
      <c r="F546" s="37">
        <v>3136</v>
      </c>
      <c r="G546" s="38">
        <v>47347.38</v>
      </c>
      <c r="H546" s="38">
        <f>383797.72+4318.6</f>
        <v>388116.31999999995</v>
      </c>
      <c r="I546" s="38">
        <v>12157.16</v>
      </c>
      <c r="J546" s="38">
        <f>163053.51+7196.46</f>
        <v>170249.97</v>
      </c>
      <c r="K546" s="6"/>
    </row>
    <row r="547" spans="1:11" ht="15.75">
      <c r="A547" s="5"/>
      <c r="B547" s="5" t="s">
        <v>21</v>
      </c>
      <c r="C547" s="36">
        <v>30079.55</v>
      </c>
      <c r="D547" s="36">
        <v>369713.77</v>
      </c>
      <c r="E547" s="37">
        <v>196</v>
      </c>
      <c r="F547" s="37">
        <v>2781</v>
      </c>
      <c r="G547" s="36">
        <v>62435.57</v>
      </c>
      <c r="H547" s="36">
        <f>603086.51+4312.36</f>
        <v>607398.87</v>
      </c>
      <c r="I547" s="36">
        <v>13480.18</v>
      </c>
      <c r="J547" s="36">
        <f>352677.35+6708.63</f>
        <v>359385.98</v>
      </c>
      <c r="K547" s="6"/>
    </row>
    <row r="548" spans="1:11" ht="15.75">
      <c r="A548" s="5"/>
      <c r="B548" s="5"/>
      <c r="C548" s="36"/>
      <c r="D548" s="36"/>
      <c r="E548" s="37"/>
      <c r="F548" s="37"/>
      <c r="G548" s="36"/>
      <c r="H548" s="36"/>
      <c r="I548" s="36"/>
      <c r="J548" s="36"/>
      <c r="K548" s="6"/>
    </row>
    <row r="549" spans="1:11" ht="15.75">
      <c r="A549" s="12">
        <v>2003</v>
      </c>
      <c r="B549" s="9" t="s">
        <v>41</v>
      </c>
      <c r="C549" s="6"/>
      <c r="D549" s="41"/>
      <c r="E549" s="6"/>
      <c r="F549" s="37"/>
      <c r="G549" s="53"/>
      <c r="H549" s="38"/>
      <c r="I549" s="53"/>
      <c r="J549" s="38"/>
      <c r="K549" s="6"/>
    </row>
    <row r="550" spans="1:11" ht="15.75">
      <c r="A550" s="5"/>
      <c r="B550" s="5" t="s">
        <v>23</v>
      </c>
      <c r="C550" s="38">
        <v>31286.12</v>
      </c>
      <c r="D550" s="41">
        <v>380217.56</v>
      </c>
      <c r="E550" s="37">
        <v>183</v>
      </c>
      <c r="F550" s="37">
        <v>2994</v>
      </c>
      <c r="G550" s="38">
        <v>40508.15</v>
      </c>
      <c r="H550" s="38">
        <f>337220.8+38.02+4959.41</f>
        <v>342218.23</v>
      </c>
      <c r="I550" s="38">
        <v>9831.0400000000009</v>
      </c>
      <c r="J550" s="38">
        <f>130810.47+5626.78</f>
        <v>136437.25</v>
      </c>
      <c r="K550" s="6"/>
    </row>
    <row r="551" spans="1:11" ht="15.75">
      <c r="A551" s="5"/>
      <c r="B551" s="5" t="s">
        <v>24</v>
      </c>
      <c r="C551" s="38">
        <v>16619.099999999999</v>
      </c>
      <c r="D551" s="41">
        <v>332851.37</v>
      </c>
      <c r="E551" s="37">
        <v>119</v>
      </c>
      <c r="F551" s="37">
        <v>2474</v>
      </c>
      <c r="G551" s="38">
        <v>48104.72</v>
      </c>
      <c r="H551" s="38">
        <f>338775.97+2989.93</f>
        <v>341765.89999999997</v>
      </c>
      <c r="I551" s="38">
        <v>14193.14</v>
      </c>
      <c r="J551" s="38">
        <f>141166.92+1.12+2434.08</f>
        <v>143602.12</v>
      </c>
      <c r="K551" s="6"/>
    </row>
    <row r="552" spans="1:11" ht="15.75">
      <c r="A552" s="5"/>
      <c r="B552" s="5" t="s">
        <v>25</v>
      </c>
      <c r="C552" s="36">
        <v>36593.620000000003</v>
      </c>
      <c r="D552" s="36">
        <v>395962.82</v>
      </c>
      <c r="E552" s="37">
        <v>188</v>
      </c>
      <c r="F552" s="37">
        <v>2758</v>
      </c>
      <c r="G552" s="36">
        <v>56287.86</v>
      </c>
      <c r="H552" s="36">
        <f>443519.8+1616.27</f>
        <v>445136.07</v>
      </c>
      <c r="I552" s="36">
        <v>14767.99</v>
      </c>
      <c r="J552" s="36">
        <f>158587.65+3879.18</f>
        <v>162466.82999999999</v>
      </c>
      <c r="K552" s="6"/>
    </row>
    <row r="553" spans="1:11" ht="15.75">
      <c r="A553" s="5"/>
      <c r="B553" s="5"/>
      <c r="C553" s="36"/>
      <c r="D553" s="36"/>
      <c r="E553" s="37"/>
      <c r="F553" s="37"/>
      <c r="G553" s="36"/>
      <c r="H553" s="36"/>
      <c r="I553" s="36"/>
      <c r="J553" s="36"/>
      <c r="K553" s="6"/>
    </row>
    <row r="554" spans="1:11" ht="15.75">
      <c r="A554" s="12" t="s">
        <v>27</v>
      </c>
      <c r="B554" s="9" t="s">
        <v>42</v>
      </c>
      <c r="C554" s="6"/>
      <c r="D554" s="41"/>
      <c r="E554" s="6"/>
      <c r="F554" s="37"/>
      <c r="G554" s="53"/>
      <c r="H554" s="38"/>
      <c r="I554" s="53"/>
      <c r="J554" s="38"/>
      <c r="K554" s="6"/>
    </row>
    <row r="555" spans="1:11" ht="15.75">
      <c r="A555" s="5"/>
      <c r="B555" s="5" t="s">
        <v>28</v>
      </c>
      <c r="C555" s="38">
        <v>35343</v>
      </c>
      <c r="D555" s="41">
        <f>364823.98+1002.32</f>
        <v>365826.3</v>
      </c>
      <c r="E555" s="37">
        <v>236</v>
      </c>
      <c r="F555" s="37">
        <v>2679</v>
      </c>
      <c r="G555" s="38">
        <v>47940.81</v>
      </c>
      <c r="H555" s="38">
        <f>381073.77+3641.46+3334.07</f>
        <v>388049.30000000005</v>
      </c>
      <c r="I555" s="38">
        <v>12562.72</v>
      </c>
      <c r="J555" s="38">
        <f>193691.12+3641.46+6213.04</f>
        <v>203545.62</v>
      </c>
      <c r="K555" s="6"/>
    </row>
    <row r="556" spans="1:11" ht="15.75">
      <c r="A556" s="5"/>
      <c r="B556" s="5" t="s">
        <v>29</v>
      </c>
      <c r="C556" s="38">
        <v>46613.87</v>
      </c>
      <c r="D556" s="41">
        <f>355154.15+204.63</f>
        <v>355358.78</v>
      </c>
      <c r="E556" s="37">
        <v>294</v>
      </c>
      <c r="F556" s="37">
        <v>2763</v>
      </c>
      <c r="G556" s="38">
        <v>38294.870000000003</v>
      </c>
      <c r="H556" s="38">
        <f>349863.49+1505.05</f>
        <v>351368.54</v>
      </c>
      <c r="I556" s="38">
        <v>11244.45</v>
      </c>
      <c r="J556" s="38">
        <f>143219.83+3258.31</f>
        <v>146478.13999999998</v>
      </c>
      <c r="K556" s="6"/>
    </row>
    <row r="557" spans="1:11" ht="15.75">
      <c r="A557" s="5"/>
      <c r="B557" s="5" t="s">
        <v>30</v>
      </c>
      <c r="C557" s="36">
        <v>27103.7</v>
      </c>
      <c r="D557" s="36">
        <f>224750.04+74.55</f>
        <v>224824.59</v>
      </c>
      <c r="E557" s="37">
        <v>162</v>
      </c>
      <c r="F557" s="37">
        <v>1741</v>
      </c>
      <c r="G557" s="36">
        <v>28885.77</v>
      </c>
      <c r="H557" s="36">
        <f>314154.62+1394.54</f>
        <v>315549.15999999997</v>
      </c>
      <c r="I557" s="36">
        <v>11155.59</v>
      </c>
      <c r="J557" s="36">
        <f>143978.73+3354.7</f>
        <v>147333.43000000002</v>
      </c>
      <c r="K557" s="6"/>
    </row>
    <row r="558" spans="1:11" ht="15.75">
      <c r="A558" s="5"/>
      <c r="B558" s="5"/>
      <c r="C558" s="36"/>
      <c r="D558" s="36"/>
      <c r="E558" s="37"/>
      <c r="F558" s="37"/>
      <c r="G558" s="36"/>
      <c r="H558" s="36"/>
      <c r="I558" s="36"/>
      <c r="J558" s="36"/>
      <c r="K558" s="6"/>
    </row>
    <row r="559" spans="1:11" ht="15.75">
      <c r="A559" s="12" t="s">
        <v>27</v>
      </c>
      <c r="B559" s="9" t="s">
        <v>43</v>
      </c>
      <c r="C559" s="6"/>
      <c r="D559" s="41"/>
      <c r="E559" s="6"/>
      <c r="F559" s="37"/>
      <c r="G559" s="53"/>
      <c r="H559" s="38"/>
      <c r="I559" s="53"/>
      <c r="J559" s="38"/>
      <c r="K559" s="6"/>
    </row>
    <row r="560" spans="1:11" ht="15.75">
      <c r="A560" s="5"/>
      <c r="B560" s="5" t="s">
        <v>32</v>
      </c>
      <c r="C560" s="38">
        <v>14828.84</v>
      </c>
      <c r="D560" s="41">
        <v>141422.73000000001</v>
      </c>
      <c r="E560" s="37">
        <v>134</v>
      </c>
      <c r="F560" s="37">
        <v>1615</v>
      </c>
      <c r="G560" s="38">
        <v>27397.06</v>
      </c>
      <c r="H560" s="38">
        <f>311238.21+2982.44</f>
        <v>314220.65000000002</v>
      </c>
      <c r="I560" s="38">
        <v>11134.35</v>
      </c>
      <c r="J560" s="38">
        <f>158064.81+4519.34</f>
        <v>162584.15</v>
      </c>
      <c r="K560" s="6"/>
    </row>
    <row r="561" spans="1:11" ht="15.75">
      <c r="A561" s="5"/>
      <c r="B561" s="5" t="s">
        <v>33</v>
      </c>
      <c r="C561" s="38">
        <v>29442.85</v>
      </c>
      <c r="D561" s="41">
        <v>148458.70000000001</v>
      </c>
      <c r="E561" s="37">
        <v>185</v>
      </c>
      <c r="F561" s="37">
        <v>1627</v>
      </c>
      <c r="G561" s="38">
        <v>37283.42</v>
      </c>
      <c r="H561" s="38">
        <f>373434.79+2450.61</f>
        <v>375885.39999999997</v>
      </c>
      <c r="I561" s="38">
        <v>12712.65</v>
      </c>
      <c r="J561" s="38">
        <f>169517.88+5667.47</f>
        <v>175185.35</v>
      </c>
      <c r="K561" s="6"/>
    </row>
    <row r="562" spans="1:11" ht="15.75">
      <c r="A562" s="5"/>
      <c r="B562" s="5" t="s">
        <v>18</v>
      </c>
      <c r="C562" s="36">
        <v>82813.31</v>
      </c>
      <c r="D562" s="36">
        <f>622677.06+504.87</f>
        <v>623181.93000000005</v>
      </c>
      <c r="E562" s="37">
        <v>563</v>
      </c>
      <c r="F562" s="37">
        <v>5988</v>
      </c>
      <c r="G562" s="36">
        <v>47148.33</v>
      </c>
      <c r="H562" s="36">
        <f>419129.17+3059.6</f>
        <v>422188.76999999996</v>
      </c>
      <c r="I562" s="36">
        <v>16994.61</v>
      </c>
      <c r="J562" s="36">
        <f>193851.69+4038.5</f>
        <v>197890.19</v>
      </c>
      <c r="K562" s="6"/>
    </row>
    <row r="563" spans="1:11" ht="15.75">
      <c r="A563" s="12" t="s">
        <v>27</v>
      </c>
      <c r="B563" s="9" t="s">
        <v>44</v>
      </c>
      <c r="C563" s="6"/>
      <c r="D563" s="41"/>
      <c r="E563" s="6"/>
      <c r="F563" s="37"/>
      <c r="G563" s="53"/>
      <c r="H563" s="38"/>
      <c r="I563" s="53"/>
      <c r="J563" s="38"/>
      <c r="K563" s="6"/>
    </row>
    <row r="564" spans="1:11" ht="15.75">
      <c r="A564" s="5"/>
      <c r="B564" s="5" t="s">
        <v>19</v>
      </c>
      <c r="C564" s="38">
        <v>27726.42</v>
      </c>
      <c r="D564" s="41">
        <v>309729.21000000002</v>
      </c>
      <c r="E564" s="37">
        <v>215</v>
      </c>
      <c r="F564" s="37">
        <f>2969</f>
        <v>2969</v>
      </c>
      <c r="G564" s="38">
        <v>44459.67</v>
      </c>
      <c r="H564" s="38">
        <f>342163.47+3430.79</f>
        <v>345594.25999999995</v>
      </c>
      <c r="I564" s="38">
        <v>10989.38</v>
      </c>
      <c r="J564" s="38">
        <f>149064.71+4817.27</f>
        <v>153881.97999999998</v>
      </c>
      <c r="K564" s="6"/>
    </row>
    <row r="565" spans="1:11" ht="15.75">
      <c r="A565" s="5"/>
      <c r="B565" s="5" t="s">
        <v>20</v>
      </c>
      <c r="C565" s="38">
        <v>24654.23</v>
      </c>
      <c r="D565" s="41">
        <v>219651.4</v>
      </c>
      <c r="E565" s="37">
        <v>178</v>
      </c>
      <c r="F565" s="37">
        <f>1858</f>
        <v>1858</v>
      </c>
      <c r="G565" s="38">
        <v>33207.86</v>
      </c>
      <c r="H565" s="38">
        <f>368470.26+1863.31</f>
        <v>370333.57</v>
      </c>
      <c r="I565" s="38">
        <v>12959.87</v>
      </c>
      <c r="J565" s="38">
        <f>162444.43+2981.22</f>
        <v>165425.65</v>
      </c>
      <c r="K565" s="6"/>
    </row>
    <row r="566" spans="1:11" ht="15.75">
      <c r="A566" s="5"/>
      <c r="B566" s="5" t="s">
        <v>21</v>
      </c>
      <c r="C566" s="36">
        <v>30346.42</v>
      </c>
      <c r="D566" s="36">
        <v>267841.08</v>
      </c>
      <c r="E566" s="37">
        <v>189</v>
      </c>
      <c r="F566" s="37">
        <f>2157</f>
        <v>2157</v>
      </c>
      <c r="G566" s="36">
        <v>42992.39</v>
      </c>
      <c r="H566" s="36">
        <f>343632.86+3439.6</f>
        <v>347072.45999999996</v>
      </c>
      <c r="I566" s="36">
        <v>12989.38</v>
      </c>
      <c r="J566" s="36">
        <f>141352.85+2082.91</f>
        <v>143435.76</v>
      </c>
      <c r="K566" s="6"/>
    </row>
    <row r="567" spans="1:11" ht="15.75">
      <c r="A567" s="5"/>
      <c r="B567" s="5"/>
      <c r="C567" s="36"/>
      <c r="D567" s="36"/>
      <c r="E567" s="37"/>
      <c r="F567" s="37"/>
      <c r="G567" s="36"/>
      <c r="H567" s="36"/>
      <c r="I567" s="36"/>
      <c r="J567" s="36"/>
      <c r="K567" s="6"/>
    </row>
    <row r="568" spans="1:11" ht="15.75">
      <c r="A568" s="12">
        <v>2004</v>
      </c>
      <c r="B568" s="9" t="s">
        <v>45</v>
      </c>
      <c r="C568" s="6"/>
      <c r="D568" s="41"/>
      <c r="E568" s="6"/>
      <c r="F568" s="37"/>
      <c r="G568" s="53"/>
      <c r="H568" s="38"/>
      <c r="I568" s="53"/>
      <c r="J568" s="38"/>
      <c r="K568" s="6"/>
    </row>
    <row r="569" spans="1:11" ht="15.75">
      <c r="A569" s="5"/>
      <c r="B569" s="5" t="s">
        <v>23</v>
      </c>
      <c r="C569" s="38">
        <v>32094.2</v>
      </c>
      <c r="D569" s="41">
        <v>233169.91</v>
      </c>
      <c r="E569" s="37">
        <v>243</v>
      </c>
      <c r="F569" s="37">
        <v>2945</v>
      </c>
      <c r="G569" s="38">
        <v>59149.82</v>
      </c>
      <c r="H569" s="38">
        <f>350099.03+919.02</f>
        <v>351018.05000000005</v>
      </c>
      <c r="I569" s="38">
        <v>12652.19</v>
      </c>
      <c r="J569" s="38">
        <f>136278.95+1638.8</f>
        <v>137917.75</v>
      </c>
      <c r="K569" s="6"/>
    </row>
    <row r="570" spans="1:11" ht="15.75">
      <c r="A570" s="5"/>
      <c r="B570" s="5" t="s">
        <v>24</v>
      </c>
      <c r="C570" s="38">
        <v>33932.06</v>
      </c>
      <c r="D570" s="41">
        <f>267715.76+112.11</f>
        <v>267827.87</v>
      </c>
      <c r="E570" s="37">
        <v>274</v>
      </c>
      <c r="F570" s="37">
        <v>4122</v>
      </c>
      <c r="G570" s="38">
        <v>41069.370000000003</v>
      </c>
      <c r="H570" s="38">
        <f>390710.18+408.41+2741.33</f>
        <v>393859.92</v>
      </c>
      <c r="I570" s="38">
        <v>19611.7</v>
      </c>
      <c r="J570" s="38">
        <f>216343.14+863.31+3825.62</f>
        <v>221032.07</v>
      </c>
      <c r="K570" s="6"/>
    </row>
    <row r="571" spans="1:11" ht="15.75">
      <c r="A571" s="5"/>
      <c r="B571" s="5" t="s">
        <v>25</v>
      </c>
      <c r="C571" s="36">
        <v>43402.15</v>
      </c>
      <c r="D571" s="36">
        <f>347570.74+206.57</f>
        <v>347777.31</v>
      </c>
      <c r="E571" s="37">
        <v>235</v>
      </c>
      <c r="F571" s="37">
        <v>3167</v>
      </c>
      <c r="G571" s="36">
        <v>46963.4</v>
      </c>
      <c r="H571" s="36">
        <f>385541.1+1341.06+1018.9</f>
        <v>387901.06</v>
      </c>
      <c r="I571" s="36">
        <v>16661.509999999998</v>
      </c>
      <c r="J571" s="36">
        <f>191629.73+1463.51+2817.45</f>
        <v>195910.69000000003</v>
      </c>
      <c r="K571" s="6"/>
    </row>
    <row r="572" spans="1:11" ht="15.75">
      <c r="A572" s="5"/>
      <c r="B572" s="5"/>
      <c r="C572" s="36"/>
      <c r="D572" s="36"/>
      <c r="E572" s="37"/>
      <c r="F572" s="37"/>
      <c r="G572" s="36"/>
      <c r="H572" s="36"/>
      <c r="I572" s="36"/>
      <c r="J572" s="36"/>
      <c r="K572" s="6"/>
    </row>
    <row r="573" spans="1:11" ht="15.75">
      <c r="A573" s="12" t="s">
        <v>27</v>
      </c>
      <c r="B573" s="9" t="s">
        <v>46</v>
      </c>
      <c r="C573" s="6"/>
      <c r="D573" s="41"/>
      <c r="E573" s="6"/>
      <c r="F573" s="37"/>
      <c r="G573" s="53"/>
      <c r="H573" s="38"/>
      <c r="I573" s="53"/>
      <c r="J573" s="38"/>
      <c r="K573" s="6"/>
    </row>
    <row r="574" spans="1:11" ht="15.75">
      <c r="A574" s="5"/>
      <c r="B574" s="5" t="s">
        <v>28</v>
      </c>
      <c r="C574" s="38">
        <v>38624.449999999997</v>
      </c>
      <c r="D574" s="41">
        <f>302683.16+580.66</f>
        <v>303263.81999999995</v>
      </c>
      <c r="E574" s="37">
        <v>243</v>
      </c>
      <c r="F574" s="37">
        <f>2943+5</f>
        <v>2948</v>
      </c>
      <c r="G574" s="38">
        <v>55929.86</v>
      </c>
      <c r="H574" s="38">
        <f>414896.63+1276.44</f>
        <v>416173.07</v>
      </c>
      <c r="I574" s="38">
        <v>19344.150000000001</v>
      </c>
      <c r="J574" s="38">
        <f>181388.59+1807.19</f>
        <v>183195.78</v>
      </c>
      <c r="K574" s="6"/>
    </row>
    <row r="575" spans="1:11" ht="15.75">
      <c r="A575" s="5"/>
      <c r="B575" s="5" t="s">
        <v>29</v>
      </c>
      <c r="C575" s="38">
        <v>44475.82</v>
      </c>
      <c r="D575" s="41">
        <f>278155.08+510.71</f>
        <v>278665.79000000004</v>
      </c>
      <c r="E575" s="37">
        <v>251</v>
      </c>
      <c r="F575" s="37">
        <f>2631+2</f>
        <v>2633</v>
      </c>
      <c r="G575" s="38">
        <v>49710.27</v>
      </c>
      <c r="H575" s="38">
        <f>341647.97+1516.94</f>
        <v>343164.91</v>
      </c>
      <c r="I575" s="38">
        <v>14569.84</v>
      </c>
      <c r="J575" s="38">
        <f>156801.46+1788.31</f>
        <v>158589.76999999999</v>
      </c>
      <c r="K575" s="6"/>
    </row>
    <row r="576" spans="1:11" ht="15.75">
      <c r="A576" s="5"/>
      <c r="B576" s="5" t="s">
        <v>30</v>
      </c>
      <c r="C576" s="36">
        <v>107301.42</v>
      </c>
      <c r="D576" s="36">
        <f>328296.65</f>
        <v>328296.65000000002</v>
      </c>
      <c r="E576" s="37">
        <v>447</v>
      </c>
      <c r="F576" s="37">
        <f>3410+1</f>
        <v>3411</v>
      </c>
      <c r="G576" s="36">
        <v>46085.120000000003</v>
      </c>
      <c r="H576" s="36">
        <f>297015.62+417.27+2247.5</f>
        <v>299680.39</v>
      </c>
      <c r="I576" s="36">
        <v>21562.720000000001</v>
      </c>
      <c r="J576" s="36">
        <f>149597.33+40.95+2573.36</f>
        <v>152211.63999999998</v>
      </c>
      <c r="K576" s="6"/>
    </row>
    <row r="577" spans="1:11" ht="15.75">
      <c r="A577" s="5"/>
      <c r="B577" s="5"/>
      <c r="C577" s="36"/>
      <c r="D577" s="36"/>
      <c r="E577" s="37"/>
      <c r="F577" s="37"/>
      <c r="G577" s="36"/>
      <c r="H577" s="36"/>
      <c r="I577" s="36"/>
      <c r="J577" s="36"/>
      <c r="K577" s="6"/>
    </row>
    <row r="578" spans="1:11" ht="15.75">
      <c r="A578" s="12" t="s">
        <v>27</v>
      </c>
      <c r="B578" s="9" t="s">
        <v>47</v>
      </c>
      <c r="C578" s="6"/>
      <c r="D578" s="41"/>
      <c r="E578" s="6"/>
      <c r="F578" s="37"/>
      <c r="G578" s="53"/>
      <c r="H578" s="38"/>
      <c r="I578" s="53"/>
      <c r="J578" s="38"/>
      <c r="K578" s="6"/>
    </row>
    <row r="579" spans="1:11" ht="15.75">
      <c r="A579" s="5"/>
      <c r="B579" s="5" t="s">
        <v>32</v>
      </c>
      <c r="C579" s="38">
        <v>66399.570000000007</v>
      </c>
      <c r="D579" s="41">
        <f>236036.75</f>
        <v>236036.75</v>
      </c>
      <c r="E579" s="37">
        <v>399</v>
      </c>
      <c r="F579" s="37">
        <v>3170</v>
      </c>
      <c r="G579" s="38">
        <v>34539.69</v>
      </c>
      <c r="H579" s="38">
        <f>264840.95+2216.99</f>
        <v>267057.94</v>
      </c>
      <c r="I579" s="38">
        <v>14244.09</v>
      </c>
      <c r="J579" s="38">
        <f>144244.28+3074.62</f>
        <v>147318.9</v>
      </c>
      <c r="K579" s="6"/>
    </row>
    <row r="580" spans="1:11" ht="15.75">
      <c r="A580" s="5"/>
      <c r="B580" s="5" t="s">
        <v>33</v>
      </c>
      <c r="C580" s="38">
        <v>50573.98</v>
      </c>
      <c r="D580" s="41">
        <f>298402.99</f>
        <v>298402.99</v>
      </c>
      <c r="E580" s="37">
        <v>287</v>
      </c>
      <c r="F580" s="37">
        <v>3354</v>
      </c>
      <c r="G580" s="38">
        <v>49601.89</v>
      </c>
      <c r="H580" s="38">
        <f>353145.33+3530.2</f>
        <v>356675.53</v>
      </c>
      <c r="I580" s="38">
        <v>20295.099999999999</v>
      </c>
      <c r="J580" s="38">
        <f>165743.23+372.37+4870.25</f>
        <v>170985.85</v>
      </c>
      <c r="K580" s="6"/>
    </row>
    <row r="581" spans="1:11" ht="15.75">
      <c r="A581" s="5"/>
      <c r="B581" s="5" t="s">
        <v>18</v>
      </c>
      <c r="C581" s="36">
        <v>51128.33</v>
      </c>
      <c r="D581" s="36">
        <f>440193.98+79.56</f>
        <v>440273.54</v>
      </c>
      <c r="E581" s="37">
        <v>288</v>
      </c>
      <c r="F581" s="37">
        <f>3886+2</f>
        <v>3888</v>
      </c>
      <c r="G581" s="36">
        <v>57097.279999999999</v>
      </c>
      <c r="H581" s="36">
        <f>368762.99+1825.95</f>
        <v>370588.94</v>
      </c>
      <c r="I581" s="36">
        <v>16026.52</v>
      </c>
      <c r="J581" s="36">
        <f>142221.65+1861.3</f>
        <v>144082.94999999998</v>
      </c>
      <c r="K581" s="6"/>
    </row>
    <row r="582" spans="1:11" ht="15.75">
      <c r="A582" s="5"/>
      <c r="B582" s="5"/>
      <c r="C582" s="36"/>
      <c r="D582" s="36"/>
      <c r="E582" s="37"/>
      <c r="F582" s="37"/>
      <c r="G582" s="36"/>
      <c r="H582" s="36"/>
      <c r="I582" s="36"/>
      <c r="J582" s="36"/>
      <c r="K582" s="6"/>
    </row>
    <row r="583" spans="1:11" ht="15.75">
      <c r="A583" s="12" t="s">
        <v>27</v>
      </c>
      <c r="B583" s="9" t="s">
        <v>48</v>
      </c>
      <c r="C583" s="6"/>
      <c r="D583" s="41"/>
      <c r="E583" s="6"/>
      <c r="F583" s="37"/>
      <c r="G583" s="53"/>
      <c r="H583" s="38"/>
      <c r="I583" s="53"/>
      <c r="J583" s="38"/>
      <c r="K583" s="6"/>
    </row>
    <row r="584" spans="1:11" ht="15.75">
      <c r="A584" s="5"/>
      <c r="B584" s="5" t="s">
        <v>19</v>
      </c>
      <c r="C584" s="38">
        <v>44076.31</v>
      </c>
      <c r="D584" s="41">
        <v>386703.35</v>
      </c>
      <c r="E584" s="37">
        <v>249</v>
      </c>
      <c r="F584" s="37">
        <v>3978</v>
      </c>
      <c r="G584" s="38">
        <v>54281.09</v>
      </c>
      <c r="H584" s="38">
        <f>350608.31+413.32+2679.15</f>
        <v>353700.78</v>
      </c>
      <c r="I584" s="38">
        <v>17851.73</v>
      </c>
      <c r="J584" s="38">
        <f>136959.47+408.1+3147.19</f>
        <v>140514.76</v>
      </c>
      <c r="K584" s="6"/>
    </row>
    <row r="585" spans="1:11" ht="15.75">
      <c r="A585" s="5"/>
      <c r="B585" s="5" t="s">
        <v>20</v>
      </c>
      <c r="C585" s="38">
        <v>26230.02</v>
      </c>
      <c r="D585" s="41">
        <v>334899.82</v>
      </c>
      <c r="E585" s="37">
        <v>186</v>
      </c>
      <c r="F585" s="37">
        <v>2888</v>
      </c>
      <c r="G585" s="38">
        <v>105638.23</v>
      </c>
      <c r="H585" s="38">
        <f>386064.08+2446.97</f>
        <v>388511.05</v>
      </c>
      <c r="I585" s="38">
        <v>27644.61</v>
      </c>
      <c r="J585" s="38">
        <f>204585.63+3435.71</f>
        <v>208021.34</v>
      </c>
      <c r="K585" s="6"/>
    </row>
    <row r="586" spans="1:11" ht="15.75">
      <c r="A586" s="5"/>
      <c r="B586" s="5" t="s">
        <v>21</v>
      </c>
      <c r="C586" s="36">
        <v>19743.59</v>
      </c>
      <c r="D586" s="36">
        <v>365377.53</v>
      </c>
      <c r="E586" s="37">
        <v>136</v>
      </c>
      <c r="F586" s="37">
        <v>3133</v>
      </c>
      <c r="G586" s="36">
        <v>71692.87</v>
      </c>
      <c r="H586" s="36">
        <f>339084.24+1835.05</f>
        <v>340919.29</v>
      </c>
      <c r="I586" s="36">
        <v>19492.330000000002</v>
      </c>
      <c r="J586" s="36">
        <f>153945.86+2872.21</f>
        <v>156818.06999999998</v>
      </c>
      <c r="K586" s="6"/>
    </row>
    <row r="587" spans="1:11" ht="15.75">
      <c r="A587" s="5"/>
      <c r="B587" s="5"/>
      <c r="C587" s="36"/>
      <c r="D587" s="36"/>
      <c r="E587" s="37"/>
      <c r="F587" s="37"/>
      <c r="G587" s="36"/>
      <c r="H587" s="36"/>
      <c r="I587" s="36"/>
      <c r="J587" s="36"/>
      <c r="K587" s="6"/>
    </row>
    <row r="588" spans="1:11" ht="15.75">
      <c r="A588" s="12">
        <v>2005</v>
      </c>
      <c r="B588" s="9" t="s">
        <v>49</v>
      </c>
      <c r="C588" s="6"/>
      <c r="D588" s="41"/>
      <c r="E588" s="6"/>
      <c r="F588" s="37"/>
      <c r="G588" s="53"/>
      <c r="H588" s="38"/>
      <c r="I588" s="53"/>
      <c r="J588" s="38"/>
      <c r="K588" s="6"/>
    </row>
    <row r="589" spans="1:11" ht="15.75">
      <c r="A589" s="5"/>
      <c r="B589" s="5" t="s">
        <v>23</v>
      </c>
      <c r="C589" s="38">
        <v>16997</v>
      </c>
      <c r="D589" s="41">
        <v>231944.86</v>
      </c>
      <c r="E589" s="37">
        <v>139</v>
      </c>
      <c r="F589" s="37">
        <v>2730</v>
      </c>
      <c r="G589" s="38">
        <v>60250.879999999997</v>
      </c>
      <c r="H589" s="38">
        <f>307150.09+2171.08</f>
        <v>309321.17000000004</v>
      </c>
      <c r="I589" s="38">
        <v>22132.71</v>
      </c>
      <c r="J589" s="38">
        <f>141820.32+3023.18</f>
        <v>144843.5</v>
      </c>
      <c r="K589" s="6"/>
    </row>
    <row r="590" spans="1:11" ht="15.75">
      <c r="A590" s="5"/>
      <c r="B590" s="5" t="s">
        <v>24</v>
      </c>
      <c r="C590" s="38">
        <v>12019.21</v>
      </c>
      <c r="D590" s="41">
        <v>210403.46</v>
      </c>
      <c r="E590" s="37">
        <v>93</v>
      </c>
      <c r="F590" s="37">
        <v>2364</v>
      </c>
      <c r="G590" s="38">
        <v>59181.56</v>
      </c>
      <c r="H590" s="38">
        <f>406726.99+2751.23</f>
        <v>409478.22</v>
      </c>
      <c r="I590" s="38">
        <v>31159.8</v>
      </c>
      <c r="J590" s="38">
        <f>202000.94+2683.91</f>
        <v>204684.85</v>
      </c>
      <c r="K590" s="6"/>
    </row>
    <row r="591" spans="1:11" ht="15.75">
      <c r="A591" s="5"/>
      <c r="B591" s="5" t="s">
        <v>25</v>
      </c>
      <c r="C591" s="36">
        <v>17894.810000000001</v>
      </c>
      <c r="D591" s="36">
        <v>356228.71</v>
      </c>
      <c r="E591" s="37">
        <v>139</v>
      </c>
      <c r="F591" s="37">
        <v>3134</v>
      </c>
      <c r="G591" s="36">
        <v>58461.91</v>
      </c>
      <c r="H591" s="36">
        <f>435546.28+1470.73</f>
        <v>437017.01</v>
      </c>
      <c r="I591" s="36">
        <v>23345.15</v>
      </c>
      <c r="J591" s="36">
        <f>205179.66+2543.73</f>
        <v>207723.39</v>
      </c>
      <c r="K591" s="6"/>
    </row>
    <row r="592" spans="1:11" ht="15.75">
      <c r="A592" s="5"/>
      <c r="B592" s="5"/>
      <c r="C592" s="36"/>
      <c r="D592" s="36"/>
      <c r="E592" s="37"/>
      <c r="F592" s="37"/>
      <c r="G592" s="36"/>
      <c r="H592" s="36"/>
      <c r="I592" s="36"/>
      <c r="J592" s="36"/>
      <c r="K592" s="6"/>
    </row>
    <row r="593" spans="1:11" ht="15.75">
      <c r="A593" s="12" t="s">
        <v>27</v>
      </c>
      <c r="B593" s="9" t="s">
        <v>50</v>
      </c>
      <c r="C593" s="6"/>
      <c r="D593" s="41"/>
      <c r="E593" s="6"/>
      <c r="F593" s="37"/>
      <c r="G593" s="53"/>
      <c r="H593" s="38"/>
      <c r="I593" s="53"/>
      <c r="J593" s="38"/>
      <c r="K593" s="6"/>
    </row>
    <row r="594" spans="1:11" ht="15.75">
      <c r="A594" s="5"/>
      <c r="B594" s="5" t="s">
        <v>28</v>
      </c>
      <c r="C594" s="38">
        <v>31549.59</v>
      </c>
      <c r="D594" s="41">
        <v>280050</v>
      </c>
      <c r="E594" s="37">
        <v>191</v>
      </c>
      <c r="F594" s="37">
        <v>2993</v>
      </c>
      <c r="G594" s="38">
        <v>38836.76</v>
      </c>
      <c r="H594" s="38">
        <f>374842.17+1697.2</f>
        <v>376539.37</v>
      </c>
      <c r="I594" s="38">
        <v>20298.68</v>
      </c>
      <c r="J594" s="38">
        <f>205482.88+2144.11</f>
        <v>207626.99</v>
      </c>
      <c r="K594" s="6"/>
    </row>
    <row r="595" spans="1:11" ht="15.75">
      <c r="A595" s="5"/>
      <c r="B595" s="5" t="s">
        <v>29</v>
      </c>
      <c r="C595" s="38">
        <v>30247.52</v>
      </c>
      <c r="D595" s="41">
        <v>264695.03000000003</v>
      </c>
      <c r="E595" s="37">
        <v>215</v>
      </c>
      <c r="F595" s="37">
        <v>2539</v>
      </c>
      <c r="G595" s="38">
        <v>29590.05</v>
      </c>
      <c r="H595" s="38">
        <f>314840.41+3043.96</f>
        <v>317884.37</v>
      </c>
      <c r="I595" s="38">
        <v>21047</v>
      </c>
      <c r="J595" s="38">
        <f>152627.65+3528.45</f>
        <v>156156.1</v>
      </c>
      <c r="K595" s="6"/>
    </row>
    <row r="596" spans="1:11" ht="15.75">
      <c r="A596" s="5"/>
      <c r="B596" s="5" t="s">
        <v>30</v>
      </c>
      <c r="C596" s="36">
        <v>30461.83</v>
      </c>
      <c r="D596" s="36">
        <v>339345.1</v>
      </c>
      <c r="E596" s="37">
        <v>217</v>
      </c>
      <c r="F596" s="37">
        <v>3172</v>
      </c>
      <c r="G596" s="36">
        <v>26584.16</v>
      </c>
      <c r="H596" s="36">
        <f>277051.15+6850.57</f>
        <v>283901.72000000003</v>
      </c>
      <c r="I596" s="36">
        <v>16066.77</v>
      </c>
      <c r="J596" s="36">
        <f>140822+6592.52</f>
        <v>147414.51999999999</v>
      </c>
      <c r="K596" s="6"/>
    </row>
    <row r="597" spans="1:11" ht="15.75">
      <c r="A597" s="5"/>
      <c r="B597" s="5"/>
      <c r="C597" s="36"/>
      <c r="D597" s="36"/>
      <c r="E597" s="37"/>
      <c r="F597" s="37"/>
      <c r="G597" s="36"/>
      <c r="H597" s="36"/>
      <c r="I597" s="36"/>
      <c r="J597" s="36"/>
      <c r="K597" s="6"/>
    </row>
    <row r="598" spans="1:11" ht="15.75">
      <c r="A598" s="4" t="s">
        <v>91</v>
      </c>
      <c r="B598" s="5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22.5">
      <c r="A599" s="4"/>
      <c r="B599" s="5"/>
      <c r="C599" s="60" t="s">
        <v>92</v>
      </c>
      <c r="D599" s="60"/>
      <c r="E599" s="60"/>
      <c r="F599" s="60"/>
      <c r="G599" s="6"/>
      <c r="H599" s="6"/>
      <c r="I599" s="6"/>
      <c r="J599" s="6"/>
      <c r="K599" s="6"/>
    </row>
    <row r="600" spans="1:11" ht="22.5">
      <c r="A600" s="4"/>
      <c r="B600" s="9"/>
      <c r="C600" s="61" t="s">
        <v>93</v>
      </c>
      <c r="D600" s="60"/>
      <c r="E600" s="61" t="s">
        <v>94</v>
      </c>
      <c r="F600" s="60"/>
      <c r="G600" s="60" t="s">
        <v>95</v>
      </c>
      <c r="H600" s="60"/>
      <c r="I600" s="60" t="s">
        <v>96</v>
      </c>
      <c r="J600" s="60"/>
      <c r="K600" s="6"/>
    </row>
    <row r="601" spans="1:11" ht="15.75">
      <c r="A601" s="9" t="s">
        <v>9</v>
      </c>
      <c r="B601" s="9" t="s">
        <v>10</v>
      </c>
      <c r="C601" s="33" t="s">
        <v>86</v>
      </c>
      <c r="D601" s="33" t="s">
        <v>87</v>
      </c>
      <c r="E601" s="33" t="s">
        <v>86</v>
      </c>
      <c r="F601" s="33" t="s">
        <v>87</v>
      </c>
      <c r="G601" s="33" t="s">
        <v>86</v>
      </c>
      <c r="H601" s="33" t="s">
        <v>97</v>
      </c>
      <c r="I601" s="33" t="s">
        <v>86</v>
      </c>
      <c r="J601" s="33" t="s">
        <v>97</v>
      </c>
      <c r="K601" s="6"/>
    </row>
    <row r="602" spans="1:11" ht="15.75">
      <c r="A602" s="12" t="s">
        <v>27</v>
      </c>
      <c r="B602" s="9" t="s">
        <v>51</v>
      </c>
      <c r="C602" s="6"/>
      <c r="D602" s="41"/>
      <c r="E602" s="6"/>
      <c r="F602" s="37"/>
      <c r="G602" s="53"/>
      <c r="H602" s="38"/>
      <c r="I602" s="53"/>
      <c r="J602" s="38"/>
      <c r="K602" s="6"/>
    </row>
    <row r="603" spans="1:11" ht="15.75">
      <c r="A603" s="12">
        <v>2005</v>
      </c>
      <c r="B603" s="5" t="s">
        <v>32</v>
      </c>
      <c r="C603" s="38">
        <v>34697.93</v>
      </c>
      <c r="D603" s="41">
        <v>258383.34</v>
      </c>
      <c r="E603" s="37">
        <v>254</v>
      </c>
      <c r="F603" s="37">
        <v>3099</v>
      </c>
      <c r="G603" s="38">
        <v>29508.3</v>
      </c>
      <c r="H603" s="38">
        <f>272412.66+1269.9</f>
        <v>273682.56</v>
      </c>
      <c r="I603" s="38">
        <v>19004.93</v>
      </c>
      <c r="J603" s="38">
        <f>148084.68+1122.23</f>
        <v>149206.91</v>
      </c>
      <c r="K603" s="6"/>
    </row>
    <row r="604" spans="1:11" ht="15.75">
      <c r="A604" s="5"/>
      <c r="B604" s="5" t="s">
        <v>33</v>
      </c>
      <c r="C604" s="38">
        <v>40758.910000000003</v>
      </c>
      <c r="D604" s="41">
        <v>309433.49</v>
      </c>
      <c r="E604" s="37">
        <v>310</v>
      </c>
      <c r="F604" s="37">
        <v>3507</v>
      </c>
      <c r="G604" s="38">
        <v>27717.71</v>
      </c>
      <c r="H604" s="38">
        <f>367231.04+1289.89</f>
        <v>368520.93</v>
      </c>
      <c r="I604" s="38">
        <v>19665.41</v>
      </c>
      <c r="J604" s="38">
        <f>171335.24+1465.01</f>
        <v>172800.25</v>
      </c>
      <c r="K604" s="6"/>
    </row>
    <row r="605" spans="1:11" ht="15.75">
      <c r="A605" s="5"/>
      <c r="B605" s="5" t="s">
        <v>18</v>
      </c>
      <c r="C605" s="36">
        <v>38152.639999999999</v>
      </c>
      <c r="D605" s="36">
        <v>373976.86</v>
      </c>
      <c r="E605" s="37">
        <v>256</v>
      </c>
      <c r="F605" s="37">
        <v>3240</v>
      </c>
      <c r="G605" s="36">
        <v>36908.050000000003</v>
      </c>
      <c r="H605" s="36">
        <f>365727.85+1571.01</f>
        <v>367298.86</v>
      </c>
      <c r="I605" s="36">
        <v>19394.669999999998</v>
      </c>
      <c r="J605" s="36">
        <f>186423.4+2158.27</f>
        <v>188581.66999999998</v>
      </c>
      <c r="K605" s="6"/>
    </row>
    <row r="606" spans="1:11" ht="15.75">
      <c r="A606" s="5"/>
      <c r="B606" s="5"/>
      <c r="C606" s="36"/>
      <c r="D606" s="36"/>
      <c r="E606" s="37"/>
      <c r="F606" s="37"/>
      <c r="G606" s="36"/>
      <c r="H606" s="36"/>
      <c r="I606" s="36"/>
      <c r="J606" s="36"/>
      <c r="K606" s="6"/>
    </row>
    <row r="607" spans="1:11" ht="15.75">
      <c r="A607" s="12" t="s">
        <v>27</v>
      </c>
      <c r="B607" s="9" t="s">
        <v>52</v>
      </c>
      <c r="C607" s="6"/>
      <c r="D607" s="41"/>
      <c r="E607" s="6"/>
      <c r="F607" s="37"/>
      <c r="G607" s="53"/>
      <c r="H607" s="38"/>
      <c r="I607" s="53"/>
      <c r="J607" s="38"/>
      <c r="K607" s="6"/>
    </row>
    <row r="608" spans="1:11" ht="15.75">
      <c r="A608" s="5"/>
      <c r="B608" s="5" t="s">
        <v>19</v>
      </c>
      <c r="C608" s="38">
        <v>25261.65</v>
      </c>
      <c r="D608" s="41">
        <v>340869.84</v>
      </c>
      <c r="E608" s="37">
        <v>259</v>
      </c>
      <c r="F608" s="37">
        <v>3703</v>
      </c>
      <c r="G608" s="38">
        <v>45975.9</v>
      </c>
      <c r="H608" s="38">
        <f>373847.45+357.97</f>
        <v>374205.42</v>
      </c>
      <c r="I608" s="38">
        <v>18537.59</v>
      </c>
      <c r="J608" s="38">
        <f>181649.6+658.51</f>
        <v>182308.11000000002</v>
      </c>
      <c r="K608" s="6"/>
    </row>
    <row r="609" spans="1:11" ht="18" customHeight="1">
      <c r="A609" s="5"/>
      <c r="B609" s="5" t="s">
        <v>20</v>
      </c>
      <c r="C609" s="38">
        <v>40505.99</v>
      </c>
      <c r="D609" s="41">
        <v>386814.63</v>
      </c>
      <c r="E609" s="37">
        <v>249</v>
      </c>
      <c r="F609" s="37">
        <v>3426</v>
      </c>
      <c r="G609" s="38">
        <v>48432.84</v>
      </c>
      <c r="H609" s="38">
        <f>439034.83+3604.92+4175.93</f>
        <v>446815.68</v>
      </c>
      <c r="I609" s="38">
        <v>26352.58</v>
      </c>
      <c r="J609" s="38">
        <f>220200.27+3604.92+4555.98</f>
        <v>228361.17</v>
      </c>
      <c r="K609" s="6"/>
    </row>
    <row r="610" spans="1:11" ht="15.75">
      <c r="A610" s="5"/>
      <c r="B610" s="5" t="s">
        <v>21</v>
      </c>
      <c r="C610" s="36">
        <f>32863.89+2.52</f>
        <v>32866.409999999996</v>
      </c>
      <c r="D610" s="36">
        <v>438258.21</v>
      </c>
      <c r="E610" s="37">
        <v>221</v>
      </c>
      <c r="F610" s="37">
        <v>3542</v>
      </c>
      <c r="G610" s="36">
        <v>40182.85</v>
      </c>
      <c r="H610" s="36">
        <f>321077.16+506.38</f>
        <v>321583.53999999998</v>
      </c>
      <c r="I610" s="36">
        <v>17004.990000000002</v>
      </c>
      <c r="J610" s="36">
        <f>135329.36+854.29</f>
        <v>136183.65</v>
      </c>
      <c r="K610" s="6"/>
    </row>
    <row r="611" spans="1:11" ht="15.75">
      <c r="A611" s="5"/>
      <c r="B611" s="5"/>
      <c r="C611" s="36"/>
      <c r="D611" s="36"/>
      <c r="E611" s="37"/>
      <c r="F611" s="37"/>
      <c r="G611" s="36"/>
      <c r="H611" s="36"/>
      <c r="I611" s="36"/>
      <c r="J611" s="36"/>
      <c r="K611" s="6"/>
    </row>
    <row r="612" spans="1:11" ht="15.75">
      <c r="A612" s="12" t="s">
        <v>27</v>
      </c>
      <c r="B612" s="9" t="s">
        <v>53</v>
      </c>
      <c r="C612" s="6"/>
      <c r="D612" s="41"/>
      <c r="E612" s="6"/>
      <c r="F612" s="37"/>
      <c r="G612" s="53"/>
      <c r="H612" s="38"/>
      <c r="I612" s="53"/>
      <c r="J612" s="38"/>
      <c r="K612" s="6"/>
    </row>
    <row r="613" spans="1:11" ht="15.75">
      <c r="A613" s="12">
        <v>2006</v>
      </c>
      <c r="B613" s="26" t="s">
        <v>23</v>
      </c>
      <c r="C613" s="54">
        <v>19900.79</v>
      </c>
      <c r="D613" s="48">
        <f>207114.92+113.99</f>
        <v>207228.91</v>
      </c>
      <c r="E613" s="49">
        <f>187</f>
        <v>187</v>
      </c>
      <c r="F613" s="49">
        <f>2625+1+4</f>
        <v>2630</v>
      </c>
      <c r="G613" s="54">
        <v>32459.52</v>
      </c>
      <c r="H613" s="54">
        <f>287185.63+229.74+819.67</f>
        <v>288235.03999999998</v>
      </c>
      <c r="I613" s="54">
        <f>13765.75</f>
        <v>13765.75</v>
      </c>
      <c r="J613" s="54">
        <f>131036.05+224.52+1125.18</f>
        <v>132385.75</v>
      </c>
      <c r="K613" s="6"/>
    </row>
    <row r="614" spans="1:11" ht="15.75">
      <c r="A614" s="5"/>
      <c r="B614" s="26" t="s">
        <v>24</v>
      </c>
      <c r="C614" s="54">
        <v>24598.39</v>
      </c>
      <c r="D614" s="48">
        <f>265471.62</f>
        <v>265471.62</v>
      </c>
      <c r="E614" s="49">
        <f>165</f>
        <v>165</v>
      </c>
      <c r="F614" s="49">
        <f>2547</f>
        <v>2547</v>
      </c>
      <c r="G614" s="54">
        <v>40037.67</v>
      </c>
      <c r="H614" s="54">
        <f>326409.83</f>
        <v>326409.83</v>
      </c>
      <c r="I614" s="54">
        <f>16444.72</f>
        <v>16444.72</v>
      </c>
      <c r="J614" s="54">
        <f>140382.31+467.9</f>
        <v>140850.21</v>
      </c>
      <c r="K614" s="6"/>
    </row>
    <row r="615" spans="1:11" ht="15.75">
      <c r="A615" s="5"/>
      <c r="B615" s="26" t="s">
        <v>25</v>
      </c>
      <c r="C615" s="50">
        <v>22787.33</v>
      </c>
      <c r="D615" s="50">
        <f>368132.56+293.29</f>
        <v>368425.85</v>
      </c>
      <c r="E615" s="49">
        <f>161</f>
        <v>161</v>
      </c>
      <c r="F615" s="49">
        <f>3318+1</f>
        <v>3319</v>
      </c>
      <c r="G615" s="50">
        <v>37254.21</v>
      </c>
      <c r="H615" s="50">
        <f>368138.09+503.26</f>
        <v>368641.35000000003</v>
      </c>
      <c r="I615" s="50">
        <f>14451.4</f>
        <v>14451.4</v>
      </c>
      <c r="J615" s="50">
        <f>153856.99+849.7</f>
        <v>154706.69</v>
      </c>
      <c r="K615" s="6"/>
    </row>
    <row r="616" spans="1:11" ht="15.75">
      <c r="A616" s="5"/>
      <c r="B616" s="5"/>
      <c r="C616" s="36"/>
      <c r="D616" s="36"/>
      <c r="E616" s="37"/>
      <c r="F616" s="37"/>
      <c r="G616" s="36"/>
      <c r="H616" s="36"/>
      <c r="I616" s="36"/>
      <c r="J616" s="36"/>
      <c r="K616" s="6"/>
    </row>
    <row r="617" spans="1:11" ht="15.75">
      <c r="A617" s="12" t="s">
        <v>27</v>
      </c>
      <c r="B617" s="9" t="s">
        <v>54</v>
      </c>
      <c r="C617" s="6"/>
      <c r="D617" s="41"/>
      <c r="E617" s="6"/>
      <c r="F617" s="37"/>
      <c r="G617" s="53"/>
      <c r="H617" s="38"/>
      <c r="I617" s="53"/>
      <c r="J617" s="38"/>
      <c r="K617" s="6"/>
    </row>
    <row r="618" spans="1:11" ht="15.75">
      <c r="A618" s="5"/>
      <c r="B618" s="5" t="s">
        <v>28</v>
      </c>
      <c r="C618" s="54">
        <v>31899.25</v>
      </c>
      <c r="D618" s="48">
        <v>280895.61</v>
      </c>
      <c r="E618" s="49">
        <v>210</v>
      </c>
      <c r="F618" s="49">
        <v>2877</v>
      </c>
      <c r="G618" s="54">
        <v>33022.86</v>
      </c>
      <c r="H618" s="54">
        <f>350015.82+467.1</f>
        <v>350482.92</v>
      </c>
      <c r="I618" s="54">
        <v>15191.32</v>
      </c>
      <c r="J618" s="54">
        <f>142062.39+1563.84</f>
        <v>143626.23000000001</v>
      </c>
      <c r="K618" s="6"/>
    </row>
    <row r="619" spans="1:11" ht="15.75">
      <c r="A619" s="5"/>
      <c r="B619" s="5" t="s">
        <v>29</v>
      </c>
      <c r="C619" s="54">
        <v>43836.1</v>
      </c>
      <c r="D619" s="48">
        <v>344029.88</v>
      </c>
      <c r="E619" s="49">
        <v>252</v>
      </c>
      <c r="F619" s="49">
        <v>3148</v>
      </c>
      <c r="G619" s="54">
        <v>31470.93</v>
      </c>
      <c r="H619" s="54">
        <f>307843.34+12.86</f>
        <v>307856.2</v>
      </c>
      <c r="I619" s="54">
        <v>12343.61</v>
      </c>
      <c r="J619" s="54">
        <f>125014.75+820.81</f>
        <v>125835.56</v>
      </c>
      <c r="K619" s="6"/>
    </row>
    <row r="620" spans="1:11" ht="15.75">
      <c r="A620" s="5"/>
      <c r="B620" s="5" t="s">
        <v>30</v>
      </c>
      <c r="C620" s="50">
        <v>45637.26</v>
      </c>
      <c r="D620" s="50">
        <v>326834.40999999997</v>
      </c>
      <c r="E620" s="49">
        <v>280</v>
      </c>
      <c r="F620" s="49">
        <v>3163</v>
      </c>
      <c r="G620" s="50">
        <v>24896.560000000001</v>
      </c>
      <c r="H620" s="50">
        <f>230635.41+415.03</f>
        <v>231050.44</v>
      </c>
      <c r="I620" s="50">
        <v>15336.73</v>
      </c>
      <c r="J620" s="50">
        <f>118128.07+428.42</f>
        <v>118556.49</v>
      </c>
      <c r="K620" s="6"/>
    </row>
    <row r="621" spans="1:11" ht="15.75">
      <c r="A621" s="5"/>
      <c r="B621" s="5"/>
      <c r="C621" s="36"/>
      <c r="D621" s="36"/>
      <c r="E621" s="37"/>
      <c r="F621" s="37"/>
      <c r="G621" s="36"/>
      <c r="H621" s="36"/>
      <c r="I621" s="36"/>
      <c r="J621" s="36"/>
      <c r="K621" s="6"/>
    </row>
    <row r="622" spans="1:11" ht="15.75">
      <c r="A622" s="12" t="s">
        <v>27</v>
      </c>
      <c r="B622" s="9" t="s">
        <v>55</v>
      </c>
      <c r="C622" s="6"/>
      <c r="D622" s="41"/>
      <c r="E622" s="6"/>
      <c r="F622" s="37"/>
      <c r="G622" s="53"/>
      <c r="H622" s="38"/>
      <c r="I622" s="53"/>
      <c r="J622" s="38"/>
      <c r="K622" s="6"/>
    </row>
    <row r="623" spans="1:11" ht="15.75">
      <c r="A623" s="5"/>
      <c r="B623" s="5" t="s">
        <v>32</v>
      </c>
      <c r="C623" s="54">
        <v>30021.47</v>
      </c>
      <c r="D623" s="48">
        <v>193487.98</v>
      </c>
      <c r="E623" s="49">
        <v>282</v>
      </c>
      <c r="F623" s="49">
        <v>2737</v>
      </c>
      <c r="G623" s="54">
        <v>24119.13</v>
      </c>
      <c r="H623" s="54">
        <v>239521.72</v>
      </c>
      <c r="I623" s="54">
        <v>16979.060000000001</v>
      </c>
      <c r="J623" s="54">
        <v>158575.70000000001</v>
      </c>
      <c r="K623" s="6"/>
    </row>
    <row r="624" spans="1:11" ht="15.75">
      <c r="A624" s="5"/>
      <c r="B624" s="5" t="s">
        <v>33</v>
      </c>
      <c r="C624" s="54">
        <v>39784.53</v>
      </c>
      <c r="D624" s="48">
        <v>331398.05</v>
      </c>
      <c r="E624" s="49">
        <v>333</v>
      </c>
      <c r="F624" s="49">
        <v>3588</v>
      </c>
      <c r="G624" s="54">
        <v>28478.799999999999</v>
      </c>
      <c r="H624" s="54">
        <v>310757.52</v>
      </c>
      <c r="I624" s="54">
        <v>14588.75</v>
      </c>
      <c r="J624" s="54">
        <v>128320.4</v>
      </c>
      <c r="K624" s="6"/>
    </row>
    <row r="625" spans="1:11" ht="15.75">
      <c r="A625" s="5"/>
      <c r="B625" s="5" t="s">
        <v>18</v>
      </c>
      <c r="C625" s="50">
        <v>32957.379999999997</v>
      </c>
      <c r="D625" s="50">
        <v>449208.65</v>
      </c>
      <c r="E625" s="49">
        <v>228</v>
      </c>
      <c r="F625" s="49">
        <v>3560</v>
      </c>
      <c r="G625" s="50">
        <v>24400.7</v>
      </c>
      <c r="H625" s="50">
        <v>275715.01</v>
      </c>
      <c r="I625" s="50">
        <v>15406.14</v>
      </c>
      <c r="J625" s="50">
        <v>134734.51</v>
      </c>
      <c r="K625" s="6"/>
    </row>
    <row r="626" spans="1:11" ht="15.75">
      <c r="A626" s="12" t="s">
        <v>27</v>
      </c>
      <c r="B626" s="9" t="s">
        <v>56</v>
      </c>
      <c r="C626" s="6"/>
      <c r="D626" s="41"/>
      <c r="E626" s="6"/>
      <c r="F626" s="37"/>
      <c r="G626" s="53"/>
      <c r="H626" s="38"/>
      <c r="I626" s="53"/>
      <c r="J626" s="38"/>
      <c r="K626" s="6"/>
    </row>
    <row r="627" spans="1:11" ht="15.75">
      <c r="A627" s="5"/>
      <c r="B627" s="5" t="s">
        <v>19</v>
      </c>
      <c r="C627" s="54">
        <v>48406.39</v>
      </c>
      <c r="D627" s="48">
        <v>384073.99</v>
      </c>
      <c r="E627" s="49">
        <v>325</v>
      </c>
      <c r="F627" s="49">
        <v>3931</v>
      </c>
      <c r="G627" s="54">
        <v>35893.839999999997</v>
      </c>
      <c r="H627" s="54">
        <f>342843.75+1104.77</f>
        <v>343948.52</v>
      </c>
      <c r="I627" s="54">
        <f>17894.03</f>
        <v>17894.03</v>
      </c>
      <c r="J627" s="54">
        <f>140970.92+1638.87</f>
        <v>142609.79</v>
      </c>
      <c r="K627" s="6"/>
    </row>
    <row r="628" spans="1:11" ht="15.75">
      <c r="A628" s="5"/>
      <c r="B628" s="5" t="s">
        <v>20</v>
      </c>
      <c r="C628" s="54">
        <v>30206.73</v>
      </c>
      <c r="D628" s="48">
        <v>308121.49</v>
      </c>
      <c r="E628" s="49">
        <v>220</v>
      </c>
      <c r="F628" s="49">
        <v>2765</v>
      </c>
      <c r="G628" s="54">
        <v>28883.46</v>
      </c>
      <c r="H628" s="54">
        <f>249375.66+653.59</f>
        <v>250029.25</v>
      </c>
      <c r="I628" s="54">
        <f>12585.27</f>
        <v>12585.27</v>
      </c>
      <c r="J628" s="54">
        <f>128885.05+697.5</f>
        <v>129582.55</v>
      </c>
      <c r="K628" s="6"/>
    </row>
    <row r="629" spans="1:11" ht="15.75">
      <c r="A629" s="5"/>
      <c r="B629" s="5" t="s">
        <v>21</v>
      </c>
      <c r="C629" s="50">
        <v>44527.12</v>
      </c>
      <c r="D629" s="50">
        <v>367803.53</v>
      </c>
      <c r="E629" s="49">
        <v>263</v>
      </c>
      <c r="F629" s="49">
        <v>3011</v>
      </c>
      <c r="G629" s="50">
        <v>36209.15</v>
      </c>
      <c r="H629" s="50">
        <f>248715.19+423.58</f>
        <v>249138.77</v>
      </c>
      <c r="I629" s="50">
        <v>13504.47</v>
      </c>
      <c r="J629" s="50">
        <f>136250.55+716.9</f>
        <v>136967.44999999998</v>
      </c>
      <c r="K629" s="6"/>
    </row>
    <row r="630" spans="1:11" ht="15.75">
      <c r="A630" s="5"/>
      <c r="B630" s="5"/>
      <c r="C630" s="36"/>
      <c r="D630" s="36"/>
      <c r="E630" s="37"/>
      <c r="F630" s="37"/>
      <c r="G630" s="36"/>
      <c r="H630" s="36"/>
      <c r="I630" s="36"/>
      <c r="J630" s="36"/>
      <c r="K630" s="6"/>
    </row>
    <row r="631" spans="1:11" ht="15.75">
      <c r="A631" s="12" t="s">
        <v>27</v>
      </c>
      <c r="B631" s="9" t="s">
        <v>57</v>
      </c>
      <c r="C631" s="6"/>
      <c r="D631" s="41"/>
      <c r="E631" s="6"/>
      <c r="F631" s="37"/>
      <c r="G631" s="53"/>
      <c r="H631" s="38"/>
      <c r="I631" s="53"/>
      <c r="J631" s="38"/>
      <c r="K631" s="6"/>
    </row>
    <row r="632" spans="1:11" ht="15.75">
      <c r="A632" s="12">
        <v>2007</v>
      </c>
      <c r="B632" s="26" t="s">
        <v>23</v>
      </c>
      <c r="C632" s="54">
        <v>21451.43</v>
      </c>
      <c r="D632" s="48">
        <v>223505.07</v>
      </c>
      <c r="E632" s="49">
        <v>181</v>
      </c>
      <c r="F632" s="49">
        <v>2509</v>
      </c>
      <c r="G632" s="54">
        <v>35298.769999999997</v>
      </c>
      <c r="H632" s="54">
        <v>275497</v>
      </c>
      <c r="I632" s="54">
        <v>14762.07</v>
      </c>
      <c r="J632" s="54">
        <f>116240.34+456.98</f>
        <v>116697.31999999999</v>
      </c>
      <c r="K632" s="6"/>
    </row>
    <row r="633" spans="1:11" ht="15.75">
      <c r="A633" s="5"/>
      <c r="B633" s="26" t="s">
        <v>98</v>
      </c>
      <c r="C633" s="54">
        <v>6779.02</v>
      </c>
      <c r="D633" s="48">
        <v>90557.27</v>
      </c>
      <c r="E633" s="49">
        <v>63</v>
      </c>
      <c r="F633" s="49">
        <v>1081</v>
      </c>
      <c r="G633" s="54">
        <v>47777.26</v>
      </c>
      <c r="H633" s="54">
        <f>321936.46+3604.92+1145.84</f>
        <v>326687.22000000003</v>
      </c>
      <c r="I633" s="54">
        <v>18590.580000000002</v>
      </c>
      <c r="J633" s="54">
        <f>126013.11+3604.92+1581.69</f>
        <v>131199.72</v>
      </c>
      <c r="K633" s="6"/>
    </row>
    <row r="634" spans="1:11" ht="15.75">
      <c r="A634" s="5"/>
      <c r="B634" s="26" t="s">
        <v>99</v>
      </c>
      <c r="C634" s="50">
        <v>0</v>
      </c>
      <c r="D634" s="50">
        <v>0</v>
      </c>
      <c r="E634" s="49">
        <v>0</v>
      </c>
      <c r="F634" s="49">
        <v>0</v>
      </c>
      <c r="G634" s="50">
        <v>44781.52</v>
      </c>
      <c r="H634" s="50">
        <f>342014.64+1271.61</f>
        <v>343286.25</v>
      </c>
      <c r="I634" s="50">
        <v>16598.91</v>
      </c>
      <c r="J634" s="50">
        <f>150189.98+1914.54</f>
        <v>152104.52000000002</v>
      </c>
      <c r="K634" s="6"/>
    </row>
    <row r="635" spans="1:11" ht="15.75">
      <c r="A635" s="12" t="s">
        <v>27</v>
      </c>
      <c r="B635" s="9" t="s">
        <v>58</v>
      </c>
      <c r="C635" s="6"/>
      <c r="D635" s="41"/>
      <c r="E635" s="6"/>
      <c r="F635" s="37"/>
      <c r="G635" s="53"/>
      <c r="H635" s="38"/>
      <c r="I635" s="53"/>
      <c r="J635" s="38"/>
      <c r="K635" s="6"/>
    </row>
    <row r="636" spans="1:11" ht="15.75">
      <c r="A636" s="5"/>
      <c r="B636" s="5" t="s">
        <v>28</v>
      </c>
      <c r="C636" s="54">
        <v>0</v>
      </c>
      <c r="D636" s="48">
        <v>376.59</v>
      </c>
      <c r="E636" s="49">
        <v>0</v>
      </c>
      <c r="F636" s="49">
        <v>23</v>
      </c>
      <c r="G636" s="54">
        <v>45138.97</v>
      </c>
      <c r="H636" s="54">
        <f>356618.61+101.33</f>
        <v>356719.94</v>
      </c>
      <c r="I636" s="54">
        <v>15253.54</v>
      </c>
      <c r="J636" s="54">
        <f>146846.79+357.36</f>
        <v>147204.15</v>
      </c>
      <c r="K636" s="6"/>
    </row>
    <row r="637" spans="1:11" ht="15.75">
      <c r="A637" s="5"/>
      <c r="B637" s="5" t="s">
        <v>29</v>
      </c>
      <c r="C637" s="54">
        <v>110498.52</v>
      </c>
      <c r="D637" s="48">
        <f>951060.76+121.38</f>
        <v>951182.14</v>
      </c>
      <c r="E637" s="49">
        <v>585</v>
      </c>
      <c r="F637" s="49">
        <v>6719</v>
      </c>
      <c r="G637" s="54">
        <v>43509.59</v>
      </c>
      <c r="H637" s="54">
        <f>275724.54+3604.92+534.65</f>
        <v>279864.11</v>
      </c>
      <c r="I637" s="54">
        <v>18437.900000000001</v>
      </c>
      <c r="J637" s="54">
        <f>130694.29+3604.92+774.16</f>
        <v>135073.37</v>
      </c>
      <c r="K637" s="6"/>
    </row>
    <row r="638" spans="1:11" ht="15.75">
      <c r="A638" s="5"/>
      <c r="B638" s="5" t="s">
        <v>30</v>
      </c>
      <c r="C638" s="50">
        <v>54810.31</v>
      </c>
      <c r="D638" s="50">
        <f>426099.25</f>
        <v>426099.25</v>
      </c>
      <c r="E638" s="49">
        <v>422</v>
      </c>
      <c r="F638" s="49">
        <v>5560</v>
      </c>
      <c r="G638" s="50">
        <v>28552.29</v>
      </c>
      <c r="H638" s="50">
        <f>248654.03+627.39</f>
        <v>249281.42</v>
      </c>
      <c r="I638" s="50">
        <v>16908.240000000002</v>
      </c>
      <c r="J638" s="50">
        <f>138109.49+1991.22</f>
        <v>140100.71</v>
      </c>
      <c r="K638" s="6"/>
    </row>
    <row r="639" spans="1:11" ht="15.75">
      <c r="A639" s="5"/>
      <c r="B639" s="5"/>
      <c r="C639" s="36"/>
      <c r="D639" s="36"/>
      <c r="E639" s="37"/>
      <c r="F639" s="37"/>
      <c r="G639" s="36"/>
      <c r="H639" s="36"/>
      <c r="I639" s="36"/>
      <c r="J639" s="36"/>
      <c r="K639" s="6"/>
    </row>
    <row r="640" spans="1:11" ht="15.75">
      <c r="A640" s="12" t="s">
        <v>27</v>
      </c>
      <c r="B640" s="9" t="s">
        <v>59</v>
      </c>
      <c r="C640" s="6"/>
      <c r="D640" s="41"/>
      <c r="E640" s="6"/>
      <c r="F640" s="37"/>
      <c r="G640" s="53"/>
      <c r="H640" s="38"/>
      <c r="I640" s="53"/>
      <c r="J640" s="38"/>
      <c r="K640" s="6"/>
    </row>
    <row r="641" spans="1:11" ht="15.75">
      <c r="A641" s="5"/>
      <c r="B641" s="5" t="s">
        <v>32</v>
      </c>
      <c r="C641" s="54">
        <v>40347.32</v>
      </c>
      <c r="D641" s="48">
        <f>220593.25</f>
        <v>220593.25</v>
      </c>
      <c r="E641" s="49">
        <v>296</v>
      </c>
      <c r="F641" s="49">
        <v>2719</v>
      </c>
      <c r="G641" s="54">
        <v>23114.54</v>
      </c>
      <c r="H641" s="54">
        <f>249625.33+1265.32</f>
        <v>250890.65</v>
      </c>
      <c r="I641" s="54">
        <v>14039.23</v>
      </c>
      <c r="J641" s="54">
        <f>121905.39+1297.53</f>
        <v>123202.92</v>
      </c>
      <c r="K641" s="6"/>
    </row>
    <row r="642" spans="1:11" ht="15.75">
      <c r="A642" s="5"/>
      <c r="B642" s="5" t="s">
        <v>33</v>
      </c>
      <c r="C642" s="54">
        <v>52324.22</v>
      </c>
      <c r="D642" s="48">
        <f>349834.2+42.49</f>
        <v>349876.69</v>
      </c>
      <c r="E642" s="49">
        <v>346</v>
      </c>
      <c r="F642" s="49">
        <v>3497</v>
      </c>
      <c r="G642" s="54">
        <v>33095.75</v>
      </c>
      <c r="H642" s="54">
        <f>340795.92+854.97</f>
        <v>341650.88999999996</v>
      </c>
      <c r="I642" s="54">
        <v>16035.26</v>
      </c>
      <c r="J642" s="54">
        <f>131992.6+971.49</f>
        <v>132964.09</v>
      </c>
      <c r="K642" s="6"/>
    </row>
    <row r="643" spans="1:11" ht="15.75">
      <c r="A643" s="5"/>
      <c r="B643" s="5" t="s">
        <v>18</v>
      </c>
      <c r="C643" s="50">
        <v>56145.69</v>
      </c>
      <c r="D643" s="50">
        <f>477420.54</f>
        <v>477420.54</v>
      </c>
      <c r="E643" s="49">
        <v>336</v>
      </c>
      <c r="F643" s="49">
        <v>3360</v>
      </c>
      <c r="G643" s="50">
        <v>43813.66</v>
      </c>
      <c r="H643" s="50">
        <f>327808.93+879.46</f>
        <v>328688.39</v>
      </c>
      <c r="I643" s="50">
        <v>15548.93</v>
      </c>
      <c r="J643" s="50">
        <f>130983.76+1472.24</f>
        <v>132456</v>
      </c>
      <c r="K643" s="6"/>
    </row>
    <row r="644" spans="1:11" ht="15.75">
      <c r="A644" s="5"/>
      <c r="B644" s="5"/>
      <c r="C644" s="36"/>
      <c r="D644" s="36"/>
      <c r="E644" s="37"/>
      <c r="F644" s="37"/>
      <c r="G644" s="36"/>
      <c r="H644" s="36"/>
      <c r="I644" s="36"/>
      <c r="J644" s="36"/>
      <c r="K644" s="6"/>
    </row>
    <row r="645" spans="1:11" ht="15.75">
      <c r="A645" s="12" t="s">
        <v>27</v>
      </c>
      <c r="B645" s="9" t="s">
        <v>60</v>
      </c>
      <c r="C645" s="6"/>
      <c r="D645" s="41"/>
      <c r="E645" s="6"/>
      <c r="F645" s="37"/>
      <c r="G645" s="53"/>
      <c r="H645" s="38"/>
      <c r="I645" s="53"/>
      <c r="J645" s="38"/>
      <c r="K645" s="6"/>
    </row>
    <row r="646" spans="1:11" ht="15.75">
      <c r="A646" s="5"/>
      <c r="B646" s="5" t="s">
        <v>19</v>
      </c>
      <c r="C646" s="54">
        <v>58726.7</v>
      </c>
      <c r="D646" s="48">
        <v>523621.95</v>
      </c>
      <c r="E646" s="49">
        <v>367</v>
      </c>
      <c r="F646" s="49">
        <v>4110</v>
      </c>
      <c r="G646" s="54">
        <v>33722.449999999997</v>
      </c>
      <c r="H646" s="54">
        <f>305657.9+1510.83</f>
        <v>307168.73000000004</v>
      </c>
      <c r="I646" s="54">
        <v>13949.67</v>
      </c>
      <c r="J646" s="54">
        <f>105131.39+1119.49</f>
        <v>106250.88</v>
      </c>
      <c r="K646" s="6"/>
    </row>
    <row r="647" spans="1:11" ht="15.75">
      <c r="A647" s="5"/>
      <c r="B647" s="5" t="s">
        <v>20</v>
      </c>
      <c r="C647" s="54">
        <v>42493.99</v>
      </c>
      <c r="D647" s="48">
        <f>387584.73+217.59</f>
        <v>387802.32</v>
      </c>
      <c r="E647" s="49">
        <v>227</v>
      </c>
      <c r="F647" s="49">
        <v>2823</v>
      </c>
      <c r="G647" s="54">
        <v>54726.37</v>
      </c>
      <c r="H647" s="54">
        <f>342649.77+247.57</f>
        <v>342897.34</v>
      </c>
      <c r="I647" s="54">
        <v>14979.46</v>
      </c>
      <c r="J647" s="54">
        <f>143801.51+665.7</f>
        <v>144467.21000000002</v>
      </c>
      <c r="K647" s="6"/>
    </row>
    <row r="648" spans="1:11" ht="15.75">
      <c r="A648" s="5"/>
      <c r="B648" s="5" t="s">
        <v>21</v>
      </c>
      <c r="C648" s="50">
        <v>52483.87</v>
      </c>
      <c r="D648" s="50">
        <v>429271.34</v>
      </c>
      <c r="E648" s="49">
        <v>272</v>
      </c>
      <c r="F648" s="49">
        <v>2944</v>
      </c>
      <c r="G648" s="50">
        <v>53093.22</v>
      </c>
      <c r="H648" s="50">
        <f>279956.8+28.34</f>
        <v>279985.14</v>
      </c>
      <c r="I648" s="50">
        <v>13654.18</v>
      </c>
      <c r="J648" s="50">
        <f>106764.92+0.2</f>
        <v>106765.12</v>
      </c>
      <c r="K648" s="6"/>
    </row>
    <row r="649" spans="1:11" ht="15.75">
      <c r="A649" s="5"/>
      <c r="B649" s="5"/>
      <c r="C649" s="50"/>
      <c r="D649" s="50"/>
      <c r="E649" s="49"/>
      <c r="F649" s="49"/>
      <c r="G649" s="50"/>
      <c r="H649" s="50"/>
      <c r="I649" s="50"/>
      <c r="J649" s="50"/>
      <c r="K649" s="6"/>
    </row>
    <row r="650" spans="1:11" ht="15.75">
      <c r="A650" s="5"/>
      <c r="B650" s="5"/>
      <c r="C650" s="36"/>
      <c r="D650" s="36"/>
      <c r="E650" s="37"/>
      <c r="F650" s="37"/>
      <c r="G650" s="36"/>
      <c r="H650" s="36"/>
      <c r="I650" s="36"/>
      <c r="J650" s="36"/>
      <c r="K650" s="6"/>
    </row>
    <row r="651" spans="1:11" ht="15.75">
      <c r="A651" s="12" t="s">
        <v>27</v>
      </c>
      <c r="B651" s="9" t="s">
        <v>62</v>
      </c>
      <c r="C651" s="6"/>
      <c r="D651" s="41"/>
      <c r="E651" s="6"/>
      <c r="F651" s="37"/>
      <c r="G651" s="53"/>
      <c r="H651" s="38"/>
      <c r="I651" s="53"/>
      <c r="J651" s="38"/>
      <c r="K651" s="6"/>
    </row>
    <row r="652" spans="1:11" ht="15.75">
      <c r="A652" s="12">
        <v>2008</v>
      </c>
      <c r="B652" s="26" t="s">
        <v>23</v>
      </c>
      <c r="C652" s="54">
        <v>34299.440000000002</v>
      </c>
      <c r="D652" s="48">
        <v>340341.2</v>
      </c>
      <c r="E652" s="49">
        <v>239</v>
      </c>
      <c r="F652" s="49">
        <v>2917</v>
      </c>
      <c r="G652" s="54">
        <v>50262.3</v>
      </c>
      <c r="H652" s="54">
        <f>327344.67+458.78</f>
        <v>327803.45</v>
      </c>
      <c r="I652" s="54">
        <v>17809.990000000002</v>
      </c>
      <c r="J652" s="54">
        <f>119217.74+458.78</f>
        <v>119676.52</v>
      </c>
      <c r="K652" s="6"/>
    </row>
    <row r="653" spans="1:11" ht="15.75">
      <c r="A653" s="5"/>
      <c r="B653" s="26" t="s">
        <v>98</v>
      </c>
      <c r="C653" s="54">
        <v>26814.400000000001</v>
      </c>
      <c r="D653" s="48">
        <v>305401.25</v>
      </c>
      <c r="E653" s="49">
        <v>161</v>
      </c>
      <c r="F653" s="49">
        <v>2373</v>
      </c>
      <c r="G653" s="54">
        <v>60726.12</v>
      </c>
      <c r="H653" s="54">
        <f>419677.75+285.07</f>
        <v>419962.82</v>
      </c>
      <c r="I653" s="54">
        <v>19602.599999999999</v>
      </c>
      <c r="J653" s="54">
        <f>142354.51+97.42</f>
        <v>142451.93000000002</v>
      </c>
      <c r="K653" s="6"/>
    </row>
    <row r="654" spans="1:11" ht="15.75">
      <c r="A654" s="5"/>
      <c r="B654" s="26" t="s">
        <v>100</v>
      </c>
      <c r="C654" s="50">
        <v>33540.39</v>
      </c>
      <c r="D654" s="50">
        <v>431772.83</v>
      </c>
      <c r="E654" s="49">
        <v>190</v>
      </c>
      <c r="F654" s="49">
        <v>2982</v>
      </c>
      <c r="G654" s="50">
        <v>66100.52</v>
      </c>
      <c r="H654" s="50">
        <f>492653.73+605.94</f>
        <v>493259.67</v>
      </c>
      <c r="I654" s="50">
        <v>20967.59</v>
      </c>
      <c r="J654" s="50">
        <f>181835.73+771.39</f>
        <v>182607.12000000002</v>
      </c>
      <c r="K654" s="6"/>
    </row>
    <row r="655" spans="1:11" ht="15.75">
      <c r="A655" s="5"/>
      <c r="B655" s="5"/>
      <c r="C655" s="36"/>
      <c r="D655" s="36"/>
      <c r="E655" s="37"/>
      <c r="F655" s="37"/>
      <c r="G655" s="36"/>
      <c r="H655" s="36"/>
      <c r="I655" s="36"/>
      <c r="J655" s="36"/>
      <c r="K655" s="6"/>
    </row>
    <row r="656" spans="1:11" ht="15.75">
      <c r="A656" s="12" t="s">
        <v>27</v>
      </c>
      <c r="B656" s="9" t="s">
        <v>63</v>
      </c>
      <c r="C656" s="6"/>
      <c r="D656" s="41"/>
      <c r="E656" s="6"/>
      <c r="F656" s="37"/>
      <c r="G656" s="53"/>
      <c r="H656" s="38"/>
      <c r="I656" s="53"/>
      <c r="J656" s="38"/>
      <c r="K656" s="6"/>
    </row>
    <row r="657" spans="1:11" ht="15.75">
      <c r="A657" s="5"/>
      <c r="B657" s="5" t="s">
        <v>28</v>
      </c>
      <c r="C657" s="54">
        <v>44011.99</v>
      </c>
      <c r="D657" s="48">
        <v>402699.63</v>
      </c>
      <c r="E657" s="49">
        <v>279</v>
      </c>
      <c r="F657" s="49">
        <v>3101</v>
      </c>
      <c r="G657" s="54">
        <v>51556.13</v>
      </c>
      <c r="H657" s="54">
        <f>449902.32+302.36</f>
        <v>450204.68</v>
      </c>
      <c r="I657" s="54">
        <v>18610.47</v>
      </c>
      <c r="J657" s="54">
        <f>136487.77+472.39</f>
        <v>136960.16</v>
      </c>
      <c r="K657" s="6"/>
    </row>
    <row r="658" spans="1:11" ht="15.75">
      <c r="A658" s="5"/>
      <c r="B658" s="5" t="s">
        <v>29</v>
      </c>
      <c r="C658" s="54">
        <v>41965.919999999998</v>
      </c>
      <c r="D658" s="48">
        <v>452118.36</v>
      </c>
      <c r="E658" s="49">
        <v>197</v>
      </c>
      <c r="F658" s="49">
        <v>3254</v>
      </c>
      <c r="G658" s="54">
        <v>58575.29</v>
      </c>
      <c r="H658" s="54">
        <f>382444.31+163.91</f>
        <v>382608.22</v>
      </c>
      <c r="I658" s="54">
        <v>23053.88</v>
      </c>
      <c r="J658" s="54">
        <f>174253.13+227</f>
        <v>174480.13</v>
      </c>
      <c r="K658" s="6"/>
    </row>
    <row r="659" spans="1:11" ht="15.75">
      <c r="A659" s="5"/>
      <c r="B659" s="5" t="s">
        <v>30</v>
      </c>
      <c r="C659" s="50">
        <v>41213.83</v>
      </c>
      <c r="D659" s="50">
        <v>389313.54</v>
      </c>
      <c r="E659" s="49">
        <v>213</v>
      </c>
      <c r="F659" s="49">
        <v>2824</v>
      </c>
      <c r="G659" s="50">
        <v>46979.53</v>
      </c>
      <c r="H659" s="50">
        <f>328450.46+480.23</f>
        <v>328930.69</v>
      </c>
      <c r="I659" s="50">
        <v>16856.900000000001</v>
      </c>
      <c r="J659" s="50">
        <f>148611.06+1223.06</f>
        <v>149834.12</v>
      </c>
      <c r="K659" s="6"/>
    </row>
    <row r="660" spans="1:11" ht="15.75">
      <c r="A660" s="4" t="s">
        <v>91</v>
      </c>
      <c r="B660" s="5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22.5">
      <c r="A661" s="4"/>
      <c r="B661" s="5"/>
      <c r="C661" s="60" t="s">
        <v>92</v>
      </c>
      <c r="D661" s="60"/>
      <c r="E661" s="60"/>
      <c r="F661" s="60"/>
      <c r="G661" s="6"/>
      <c r="H661" s="6"/>
      <c r="I661" s="6"/>
      <c r="J661" s="6"/>
      <c r="K661" s="6"/>
    </row>
    <row r="662" spans="1:11" ht="22.5">
      <c r="A662" s="4"/>
      <c r="B662" s="9"/>
      <c r="C662" s="61" t="s">
        <v>93</v>
      </c>
      <c r="D662" s="60"/>
      <c r="E662" s="61" t="s">
        <v>94</v>
      </c>
      <c r="F662" s="60"/>
      <c r="G662" s="60" t="s">
        <v>95</v>
      </c>
      <c r="H662" s="60"/>
      <c r="I662" s="60" t="s">
        <v>96</v>
      </c>
      <c r="J662" s="60"/>
      <c r="K662" s="6"/>
    </row>
    <row r="663" spans="1:11" ht="15.75">
      <c r="A663" s="9" t="s">
        <v>9</v>
      </c>
      <c r="B663" s="9" t="s">
        <v>10</v>
      </c>
      <c r="C663" s="33" t="s">
        <v>86</v>
      </c>
      <c r="D663" s="33" t="s">
        <v>87</v>
      </c>
      <c r="E663" s="33" t="s">
        <v>86</v>
      </c>
      <c r="F663" s="33" t="s">
        <v>87</v>
      </c>
      <c r="G663" s="33" t="s">
        <v>86</v>
      </c>
      <c r="H663" s="33" t="s">
        <v>97</v>
      </c>
      <c r="I663" s="33" t="s">
        <v>86</v>
      </c>
      <c r="J663" s="33" t="s">
        <v>97</v>
      </c>
      <c r="K663" s="6"/>
    </row>
    <row r="664" spans="1:11" ht="15.75">
      <c r="A664" s="5"/>
      <c r="B664" s="5"/>
      <c r="C664" s="36"/>
      <c r="D664" s="36"/>
      <c r="E664" s="37"/>
      <c r="F664" s="37"/>
      <c r="G664" s="36"/>
      <c r="H664" s="36"/>
      <c r="I664" s="36"/>
      <c r="J664" s="36"/>
      <c r="K664" s="6"/>
    </row>
    <row r="665" spans="1:11" s="31" customFormat="1" ht="15.75">
      <c r="A665" s="25" t="s">
        <v>27</v>
      </c>
      <c r="B665" s="51" t="s">
        <v>64</v>
      </c>
      <c r="C665" s="27"/>
      <c r="D665" s="48"/>
      <c r="E665" s="27"/>
      <c r="F665" s="49"/>
      <c r="G665" s="55"/>
      <c r="H665" s="54"/>
      <c r="I665" s="55"/>
      <c r="J665" s="54"/>
      <c r="K665" s="27"/>
    </row>
    <row r="666" spans="1:11" s="52" customFormat="1" ht="15.75">
      <c r="A666" s="25">
        <v>2008</v>
      </c>
      <c r="B666" s="26" t="s">
        <v>32</v>
      </c>
      <c r="C666" s="54">
        <v>52025.120000000003</v>
      </c>
      <c r="D666" s="48">
        <v>317073.63</v>
      </c>
      <c r="E666" s="49">
        <v>307</v>
      </c>
      <c r="F666" s="49">
        <v>3071</v>
      </c>
      <c r="G666" s="54">
        <v>32208.71</v>
      </c>
      <c r="H666" s="54">
        <f>323362.9+116.73</f>
        <v>323479.63</v>
      </c>
      <c r="I666" s="54">
        <v>18771.11</v>
      </c>
      <c r="J666" s="54">
        <f>148234.72+456.44</f>
        <v>148691.16</v>
      </c>
      <c r="K666" s="27"/>
    </row>
    <row r="667" spans="1:11" s="52" customFormat="1" ht="15.75">
      <c r="A667" s="26"/>
      <c r="B667" s="26" t="s">
        <v>33</v>
      </c>
      <c r="C667" s="54">
        <v>65832.34</v>
      </c>
      <c r="D667" s="48">
        <v>367424.33</v>
      </c>
      <c r="E667" s="49">
        <v>313</v>
      </c>
      <c r="F667" s="49">
        <v>3366</v>
      </c>
      <c r="G667" s="54">
        <v>40953.120000000003</v>
      </c>
      <c r="H667" s="54">
        <f>383519.58</f>
        <v>383519.58</v>
      </c>
      <c r="I667" s="54">
        <v>18811.27</v>
      </c>
      <c r="J667" s="54">
        <f>141259.74+183.79</f>
        <v>141443.53</v>
      </c>
      <c r="K667" s="27"/>
    </row>
    <row r="668" spans="1:11" s="52" customFormat="1" ht="15.75">
      <c r="A668" s="26"/>
      <c r="B668" s="26" t="s">
        <v>18</v>
      </c>
      <c r="C668" s="50">
        <v>57837.18</v>
      </c>
      <c r="D668" s="50">
        <v>474395.98</v>
      </c>
      <c r="E668" s="49">
        <v>293</v>
      </c>
      <c r="F668" s="49">
        <v>3385</v>
      </c>
      <c r="G668" s="50">
        <v>46513.21</v>
      </c>
      <c r="H668" s="50">
        <f>456930.05+1629.3</f>
        <v>458559.35</v>
      </c>
      <c r="I668" s="50">
        <v>14534.07</v>
      </c>
      <c r="J668" s="50">
        <f>137453.65+1062.43</f>
        <v>138516.07999999999</v>
      </c>
      <c r="K668" s="27"/>
    </row>
    <row r="669" spans="1:11" s="52" customFormat="1" ht="15.75">
      <c r="A669" s="26"/>
      <c r="B669" s="26"/>
      <c r="C669" s="50"/>
      <c r="D669" s="50"/>
      <c r="E669" s="49"/>
      <c r="F669" s="49"/>
      <c r="G669" s="50"/>
      <c r="H669" s="50"/>
      <c r="I669" s="50"/>
      <c r="J669" s="50"/>
      <c r="K669" s="27"/>
    </row>
    <row r="670" spans="1:11" s="31" customFormat="1" ht="15.75">
      <c r="A670" s="25" t="s">
        <v>27</v>
      </c>
      <c r="B670" s="51" t="s">
        <v>65</v>
      </c>
      <c r="C670" s="27"/>
      <c r="D670" s="48"/>
      <c r="E670" s="27"/>
      <c r="F670" s="49"/>
      <c r="G670" s="55"/>
      <c r="H670" s="54"/>
      <c r="I670" s="55"/>
      <c r="J670" s="54"/>
      <c r="K670" s="27"/>
    </row>
    <row r="671" spans="1:11" s="52" customFormat="1" ht="15.75">
      <c r="A671" s="26"/>
      <c r="B671" s="5" t="s">
        <v>19</v>
      </c>
      <c r="C671" s="54">
        <v>60196.34</v>
      </c>
      <c r="D671" s="48">
        <v>567158.16</v>
      </c>
      <c r="E671" s="49">
        <v>328</v>
      </c>
      <c r="F671" s="49">
        <v>4110</v>
      </c>
      <c r="G671" s="54">
        <v>51331.11</v>
      </c>
      <c r="H671" s="54">
        <f>456973.66+712.58</f>
        <v>457686.24</v>
      </c>
      <c r="I671" s="54">
        <v>19236.38</v>
      </c>
      <c r="J671" s="54">
        <f>168461.78+813.99</f>
        <v>169275.77</v>
      </c>
      <c r="K671" s="27"/>
    </row>
    <row r="672" spans="1:11" s="52" customFormat="1" ht="15.75">
      <c r="A672" s="26"/>
      <c r="B672" s="5" t="s">
        <v>20</v>
      </c>
      <c r="C672" s="54">
        <v>54359.15</v>
      </c>
      <c r="D672" s="48">
        <v>436597.42</v>
      </c>
      <c r="E672" s="49">
        <v>274</v>
      </c>
      <c r="F672" s="49">
        <v>3235</v>
      </c>
      <c r="G672" s="54">
        <v>45086.22</v>
      </c>
      <c r="H672" s="54">
        <f>407457.85+275.89</f>
        <v>407733.74</v>
      </c>
      <c r="I672" s="54">
        <v>20280.349999999999</v>
      </c>
      <c r="J672" s="54">
        <f>195373.55+615.36</f>
        <v>195988.90999999997</v>
      </c>
      <c r="K672" s="27"/>
    </row>
    <row r="673" spans="1:11" s="52" customFormat="1" ht="15.75">
      <c r="A673" s="26"/>
      <c r="B673" s="5" t="s">
        <v>21</v>
      </c>
      <c r="C673" s="50">
        <v>53921.66</v>
      </c>
      <c r="D673" s="50">
        <v>554458.57999999996</v>
      </c>
      <c r="E673" s="49">
        <v>273</v>
      </c>
      <c r="F673" s="49">
        <v>3650</v>
      </c>
      <c r="G673" s="50">
        <v>52943.24</v>
      </c>
      <c r="H673" s="50">
        <f>391289.07+301.89</f>
        <v>391590.96</v>
      </c>
      <c r="I673" s="50">
        <v>22665.67</v>
      </c>
      <c r="J673" s="50">
        <f>152095.29+513.92</f>
        <v>152609.21000000002</v>
      </c>
      <c r="K673" s="27"/>
    </row>
    <row r="674" spans="1:11" ht="15.75">
      <c r="A674" s="5"/>
      <c r="B674" s="5"/>
      <c r="C674" s="36"/>
      <c r="D674" s="36"/>
      <c r="E674" s="37"/>
      <c r="F674" s="37"/>
      <c r="G674" s="36"/>
      <c r="H674" s="36"/>
      <c r="I674" s="36"/>
      <c r="J674" s="36"/>
      <c r="K674" s="6"/>
    </row>
    <row r="675" spans="1:11" s="31" customFormat="1" ht="15.75">
      <c r="A675" s="25" t="s">
        <v>27</v>
      </c>
      <c r="B675" s="51" t="s">
        <v>66</v>
      </c>
      <c r="C675" s="27"/>
      <c r="D675" s="48"/>
      <c r="E675" s="27"/>
      <c r="F675" s="49"/>
      <c r="G675" s="55"/>
      <c r="H675" s="54"/>
      <c r="I675" s="55"/>
      <c r="J675" s="54"/>
      <c r="K675" s="27"/>
    </row>
    <row r="676" spans="1:11" s="52" customFormat="1" ht="15.75">
      <c r="A676" s="25">
        <v>2009</v>
      </c>
      <c r="B676" s="26" t="s">
        <v>23</v>
      </c>
      <c r="C676" s="54">
        <v>32740.720000000001</v>
      </c>
      <c r="D676" s="48">
        <v>356789.81</v>
      </c>
      <c r="E676" s="49">
        <v>221</v>
      </c>
      <c r="F676" s="49">
        <v>3374</v>
      </c>
      <c r="G676" s="54">
        <v>60144.12</v>
      </c>
      <c r="H676" s="54">
        <f>395179.85+183.36</f>
        <v>395363.20999999996</v>
      </c>
      <c r="I676" s="54">
        <v>24695</v>
      </c>
      <c r="J676" s="54">
        <f>161229.65+127.81</f>
        <v>161357.46</v>
      </c>
      <c r="K676" s="27"/>
    </row>
    <row r="677" spans="1:11" s="52" customFormat="1" ht="15.75">
      <c r="A677" s="26"/>
      <c r="B677" s="26" t="s">
        <v>98</v>
      </c>
      <c r="C677" s="54">
        <v>23478.5</v>
      </c>
      <c r="D677" s="48">
        <v>337947.52</v>
      </c>
      <c r="E677" s="49">
        <v>157</v>
      </c>
      <c r="F677" s="49">
        <v>2624</v>
      </c>
      <c r="G677" s="54">
        <v>58793.46</v>
      </c>
      <c r="H677" s="54">
        <f>434281.78</f>
        <v>434281.78</v>
      </c>
      <c r="I677" s="54">
        <v>19497.95</v>
      </c>
      <c r="J677" s="54">
        <f>164593.84+496.16</f>
        <v>165090</v>
      </c>
      <c r="K677" s="27"/>
    </row>
    <row r="678" spans="1:11" s="52" customFormat="1" ht="15.75">
      <c r="A678" s="26"/>
      <c r="B678" s="26" t="s">
        <v>100</v>
      </c>
      <c r="C678" s="50">
        <v>34432.19</v>
      </c>
      <c r="D678" s="50">
        <v>513745.55</v>
      </c>
      <c r="E678" s="49">
        <v>186</v>
      </c>
      <c r="F678" s="49">
        <v>3142</v>
      </c>
      <c r="G678" s="50">
        <v>71406.89</v>
      </c>
      <c r="H678" s="50">
        <f>538464.35+457.09</f>
        <v>538921.43999999994</v>
      </c>
      <c r="I678" s="50">
        <v>25730.86</v>
      </c>
      <c r="J678" s="50">
        <f>201264.99+829.19</f>
        <v>202094.18</v>
      </c>
      <c r="K678" s="27"/>
    </row>
    <row r="679" spans="1:11" ht="15.75">
      <c r="A679" s="5"/>
      <c r="B679" s="5"/>
      <c r="C679" s="36"/>
      <c r="D679" s="36"/>
      <c r="E679" s="37"/>
      <c r="F679" s="37"/>
      <c r="G679" s="36"/>
      <c r="H679" s="36"/>
      <c r="I679" s="36"/>
      <c r="J679" s="36"/>
      <c r="K679" s="6"/>
    </row>
    <row r="680" spans="1:11" s="31" customFormat="1" ht="15.75">
      <c r="A680" s="25" t="s">
        <v>27</v>
      </c>
      <c r="B680" s="51" t="s">
        <v>67</v>
      </c>
      <c r="C680" s="27"/>
      <c r="D680" s="48"/>
      <c r="E680" s="27"/>
      <c r="F680" s="49"/>
      <c r="G680" s="55"/>
      <c r="H680" s="54"/>
      <c r="I680" s="55"/>
      <c r="J680" s="54"/>
      <c r="K680" s="27"/>
    </row>
    <row r="681" spans="1:11" s="52" customFormat="1" ht="15.75">
      <c r="A681" s="26"/>
      <c r="B681" s="5" t="s">
        <v>28</v>
      </c>
      <c r="C681" s="54">
        <v>40825.46</v>
      </c>
      <c r="D681" s="48">
        <v>402458.44</v>
      </c>
      <c r="E681" s="49">
        <v>228</v>
      </c>
      <c r="F681" s="49">
        <v>3270</v>
      </c>
      <c r="G681" s="54">
        <v>70713.17</v>
      </c>
      <c r="H681" s="54">
        <f>485350.17+2159</f>
        <v>487509.17</v>
      </c>
      <c r="I681" s="54">
        <v>19288.150000000001</v>
      </c>
      <c r="J681" s="54">
        <f>189010.17+2375.47</f>
        <v>191385.64</v>
      </c>
      <c r="K681" s="27"/>
    </row>
    <row r="682" spans="1:11" s="52" customFormat="1" ht="15.75">
      <c r="A682" s="26"/>
      <c r="B682" s="5" t="s">
        <v>29</v>
      </c>
      <c r="C682" s="54">
        <v>45567.68</v>
      </c>
      <c r="D682" s="48">
        <v>358724.72</v>
      </c>
      <c r="E682" s="49">
        <v>227</v>
      </c>
      <c r="F682" s="49">
        <v>2898</v>
      </c>
      <c r="G682" s="54">
        <v>59453.58</v>
      </c>
      <c r="H682" s="54">
        <f>474741.48+474.04</f>
        <v>475215.51999999996</v>
      </c>
      <c r="I682" s="54">
        <v>22187.32</v>
      </c>
      <c r="J682" s="54">
        <f>182948.08+439.46</f>
        <v>183387.53999999998</v>
      </c>
      <c r="K682" s="27"/>
    </row>
    <row r="683" spans="1:11" s="52" customFormat="1" ht="15.75">
      <c r="A683" s="26"/>
      <c r="B683" s="5" t="s">
        <v>30</v>
      </c>
      <c r="C683" s="50">
        <v>54484.959999999999</v>
      </c>
      <c r="D683" s="50">
        <v>387801.86</v>
      </c>
      <c r="E683" s="49">
        <v>281</v>
      </c>
      <c r="F683" s="49">
        <v>3015</v>
      </c>
      <c r="G683" s="50">
        <v>45682.5</v>
      </c>
      <c r="H683" s="50">
        <f>388520.72+104.64</f>
        <v>388625.36</v>
      </c>
      <c r="I683" s="50">
        <v>19875.68</v>
      </c>
      <c r="J683" s="50">
        <f>155523.69+258.72</f>
        <v>155782.41</v>
      </c>
      <c r="K683" s="27"/>
    </row>
    <row r="684" spans="1:11" ht="15.75">
      <c r="A684" s="5"/>
      <c r="B684" s="5"/>
      <c r="C684" s="36"/>
      <c r="D684" s="36"/>
      <c r="E684" s="37"/>
      <c r="F684" s="37"/>
      <c r="G684" s="36"/>
      <c r="H684" s="36"/>
      <c r="I684" s="36"/>
      <c r="J684" s="36"/>
      <c r="K684" s="6"/>
    </row>
    <row r="685" spans="1:11" s="31" customFormat="1" ht="15.75">
      <c r="A685" s="25" t="s">
        <v>27</v>
      </c>
      <c r="B685" s="51" t="s">
        <v>68</v>
      </c>
      <c r="C685" s="27"/>
      <c r="D685" s="48"/>
      <c r="E685" s="27"/>
      <c r="F685" s="49"/>
      <c r="G685" s="55"/>
      <c r="H685" s="54"/>
      <c r="I685" s="55"/>
      <c r="J685" s="54"/>
      <c r="K685" s="27"/>
    </row>
    <row r="686" spans="1:11" s="52" customFormat="1" ht="15.75">
      <c r="A686" s="26"/>
      <c r="B686" s="26" t="s">
        <v>32</v>
      </c>
      <c r="C686" s="54">
        <v>49335.7</v>
      </c>
      <c r="D686" s="48">
        <v>279824.15999999997</v>
      </c>
      <c r="E686" s="49">
        <v>358</v>
      </c>
      <c r="F686" s="49">
        <v>3139</v>
      </c>
      <c r="G686" s="54">
        <v>32854.35</v>
      </c>
      <c r="H686" s="54">
        <f>358984.36+1695.23</f>
        <v>360679.58999999997</v>
      </c>
      <c r="I686" s="54">
        <v>19995.34</v>
      </c>
      <c r="J686" s="54">
        <f>170385.25+1871.86</f>
        <v>172257.11</v>
      </c>
      <c r="K686" s="27"/>
    </row>
    <row r="687" spans="1:11" s="52" customFormat="1" ht="15.75">
      <c r="A687" s="26"/>
      <c r="B687" s="26" t="s">
        <v>33</v>
      </c>
      <c r="C687" s="54">
        <v>53170.38</v>
      </c>
      <c r="D687" s="48">
        <v>347168.09</v>
      </c>
      <c r="E687" s="49">
        <v>356</v>
      </c>
      <c r="F687" s="49">
        <v>3697</v>
      </c>
      <c r="G687" s="54">
        <v>46408.79</v>
      </c>
      <c r="H687" s="54">
        <f>494546.05+1040.33</f>
        <v>495586.38</v>
      </c>
      <c r="I687" s="54">
        <v>27160.33</v>
      </c>
      <c r="J687" s="54">
        <f>169441.23+1182.99</f>
        <v>170624.22</v>
      </c>
      <c r="K687" s="27"/>
    </row>
    <row r="688" spans="1:11" s="52" customFormat="1" ht="15.75">
      <c r="A688" s="26"/>
      <c r="B688" s="26" t="s">
        <v>18</v>
      </c>
      <c r="C688" s="50">
        <v>72236.03</v>
      </c>
      <c r="D688" s="50">
        <v>492138.43</v>
      </c>
      <c r="E688" s="49">
        <v>387</v>
      </c>
      <c r="F688" s="49">
        <v>3766</v>
      </c>
      <c r="G688" s="50">
        <v>50394.89</v>
      </c>
      <c r="H688" s="50">
        <f>454937.49+136.01</f>
        <v>455073.5</v>
      </c>
      <c r="I688" s="50">
        <v>20035.830000000002</v>
      </c>
      <c r="J688" s="50">
        <f>177765.88+267.78</f>
        <v>178033.66</v>
      </c>
      <c r="K688" s="27"/>
    </row>
    <row r="689" spans="1:11" ht="15.75">
      <c r="A689" s="5"/>
      <c r="B689" s="62" t="s">
        <v>101</v>
      </c>
      <c r="C689" s="62"/>
      <c r="D689" s="62"/>
      <c r="E689" s="62"/>
      <c r="F689" s="62"/>
      <c r="G689" s="62"/>
      <c r="H689" s="36"/>
      <c r="I689" s="36"/>
      <c r="J689" s="36"/>
      <c r="K689" s="6"/>
    </row>
    <row r="690" spans="1:11" ht="15.75">
      <c r="A690" s="5"/>
      <c r="B690" s="5"/>
      <c r="C690" s="36"/>
      <c r="D690" s="36"/>
      <c r="E690" s="37"/>
      <c r="F690" s="37"/>
      <c r="G690" s="36"/>
      <c r="H690" s="36"/>
      <c r="I690" s="36"/>
      <c r="J690" s="36"/>
      <c r="K690" s="6"/>
    </row>
    <row r="691" spans="1:11" s="31" customFormat="1" ht="15.75">
      <c r="A691" s="25" t="s">
        <v>27</v>
      </c>
      <c r="B691" s="51" t="s">
        <v>69</v>
      </c>
      <c r="C691" s="27"/>
      <c r="D691" s="48"/>
      <c r="E691" s="27"/>
      <c r="F691" s="49"/>
      <c r="G691" s="55"/>
      <c r="H691" s="54"/>
      <c r="I691" s="55"/>
      <c r="J691" s="54"/>
      <c r="K691" s="27"/>
    </row>
    <row r="692" spans="1:11" s="52" customFormat="1" ht="15.75">
      <c r="A692" s="26"/>
      <c r="B692" s="5" t="s">
        <v>19</v>
      </c>
      <c r="C692" s="54">
        <v>65459</v>
      </c>
      <c r="D692" s="48">
        <v>510554</v>
      </c>
      <c r="E692" s="49">
        <v>356</v>
      </c>
      <c r="F692" s="49">
        <v>4058</v>
      </c>
      <c r="G692" s="54">
        <v>51778</v>
      </c>
      <c r="H692" s="54">
        <f>379015+247</f>
        <v>379262</v>
      </c>
      <c r="I692" s="54">
        <v>20088</v>
      </c>
      <c r="J692" s="54">
        <f>166539+1031</f>
        <v>167570</v>
      </c>
      <c r="K692" s="27"/>
    </row>
    <row r="693" spans="1:11" s="52" customFormat="1" ht="15.75">
      <c r="A693" s="26"/>
      <c r="B693" s="5" t="s">
        <v>20</v>
      </c>
      <c r="C693" s="54">
        <v>51814</v>
      </c>
      <c r="D693" s="48">
        <v>427830</v>
      </c>
      <c r="E693" s="49">
        <v>279</v>
      </c>
      <c r="F693" s="49">
        <v>2852</v>
      </c>
      <c r="G693" s="54">
        <v>52371</v>
      </c>
      <c r="H693" s="54">
        <f>441786+168</f>
        <v>441954</v>
      </c>
      <c r="I693" s="54">
        <v>22133</v>
      </c>
      <c r="J693" s="54">
        <f>194360+242</f>
        <v>194602</v>
      </c>
      <c r="K693" s="27"/>
    </row>
    <row r="694" spans="1:11" s="52" customFormat="1" ht="15.75">
      <c r="A694" s="26"/>
      <c r="B694" s="5" t="s">
        <v>21</v>
      </c>
      <c r="C694" s="50">
        <v>66854</v>
      </c>
      <c r="D694" s="50">
        <v>627736</v>
      </c>
      <c r="E694" s="49">
        <v>369</v>
      </c>
      <c r="F694" s="49">
        <v>3876</v>
      </c>
      <c r="G694" s="50">
        <v>71776</v>
      </c>
      <c r="H694" s="50">
        <f>440832+869</f>
        <v>441701</v>
      </c>
      <c r="I694" s="50">
        <v>30569</v>
      </c>
      <c r="J694" s="50">
        <f>186533+904</f>
        <v>187437</v>
      </c>
      <c r="K694" s="27"/>
    </row>
    <row r="695" spans="1:11" ht="15.75">
      <c r="A695" s="5"/>
      <c r="B695" s="5"/>
      <c r="C695" s="36"/>
      <c r="D695" s="36"/>
      <c r="E695" s="37"/>
      <c r="F695" s="37"/>
      <c r="G695" s="36"/>
      <c r="H695" s="36"/>
      <c r="I695" s="36"/>
      <c r="J695" s="36"/>
      <c r="K695" s="6"/>
    </row>
    <row r="696" spans="1:11" s="31" customFormat="1" ht="15.75">
      <c r="A696" s="25" t="s">
        <v>27</v>
      </c>
      <c r="B696" s="51" t="s">
        <v>70</v>
      </c>
      <c r="C696" s="27"/>
      <c r="D696" s="48"/>
      <c r="E696" s="27"/>
      <c r="F696" s="49"/>
      <c r="G696" s="55"/>
      <c r="H696" s="54"/>
      <c r="I696" s="55"/>
      <c r="J696" s="54"/>
      <c r="K696" s="27"/>
    </row>
    <row r="697" spans="1:11" s="52" customFormat="1" ht="15.75">
      <c r="A697" s="25">
        <v>2010</v>
      </c>
      <c r="B697" s="26" t="s">
        <v>23</v>
      </c>
      <c r="C697" s="54">
        <v>30466.57</v>
      </c>
      <c r="D697" s="48">
        <v>315794.49</v>
      </c>
      <c r="E697" s="49">
        <v>218</v>
      </c>
      <c r="F697" s="49">
        <v>2686</v>
      </c>
      <c r="G697" s="54">
        <v>72627.83</v>
      </c>
      <c r="H697" s="54">
        <f>406791.14+642.45</f>
        <v>407433.59</v>
      </c>
      <c r="I697" s="54">
        <v>24609.33</v>
      </c>
      <c r="J697" s="54">
        <f>153457.84+1010.37</f>
        <v>154468.21</v>
      </c>
      <c r="K697" s="27"/>
    </row>
    <row r="698" spans="1:11" s="52" customFormat="1" ht="15.75">
      <c r="A698" s="26"/>
      <c r="B698" s="26" t="s">
        <v>98</v>
      </c>
      <c r="C698" s="54">
        <v>39628.269999999997</v>
      </c>
      <c r="D698" s="48">
        <v>356896.56</v>
      </c>
      <c r="E698" s="49">
        <v>196</v>
      </c>
      <c r="F698" s="49">
        <v>2614</v>
      </c>
      <c r="G698" s="54">
        <v>75819.53</v>
      </c>
      <c r="H698" s="54">
        <f>482677.41</f>
        <v>482677.41</v>
      </c>
      <c r="I698" s="54">
        <v>30661.07</v>
      </c>
      <c r="J698" s="54">
        <f>181702.49+432.27</f>
        <v>182134.75999999998</v>
      </c>
      <c r="K698" s="27"/>
    </row>
    <row r="699" spans="1:11" s="52" customFormat="1" ht="16.5" customHeight="1">
      <c r="A699" s="26"/>
      <c r="B699" s="26" t="s">
        <v>100</v>
      </c>
      <c r="C699" s="50">
        <v>63082.559999999998</v>
      </c>
      <c r="D699" s="50">
        <v>536896.12</v>
      </c>
      <c r="E699" s="49">
        <v>300</v>
      </c>
      <c r="F699" s="49">
        <v>3518</v>
      </c>
      <c r="G699" s="50">
        <v>87145.99</v>
      </c>
      <c r="H699" s="50">
        <f>518969.25+1241.31</f>
        <v>520210.56</v>
      </c>
      <c r="I699" s="50">
        <v>37788.82</v>
      </c>
      <c r="J699" s="50">
        <f>225524.74+1383.73</f>
        <v>226908.47</v>
      </c>
      <c r="K699" s="27"/>
    </row>
    <row r="700" spans="1:11" ht="15.75">
      <c r="A700" s="5"/>
      <c r="B700" s="5"/>
      <c r="C700" s="36"/>
      <c r="D700" s="36"/>
      <c r="E700" s="37"/>
      <c r="F700" s="37"/>
      <c r="G700" s="36"/>
      <c r="H700" s="36"/>
      <c r="I700" s="36"/>
      <c r="J700" s="36"/>
      <c r="K700" s="6"/>
    </row>
    <row r="701" spans="1:11" s="31" customFormat="1" ht="15.75">
      <c r="A701" s="25" t="s">
        <v>27</v>
      </c>
      <c r="B701" s="51" t="s">
        <v>71</v>
      </c>
      <c r="C701" s="27"/>
      <c r="D701" s="48"/>
      <c r="E701" s="27"/>
      <c r="F701" s="49"/>
      <c r="G701" s="55"/>
      <c r="H701" s="54"/>
      <c r="I701" s="55"/>
      <c r="J701" s="54"/>
      <c r="K701" s="27"/>
    </row>
    <row r="702" spans="1:11" s="52" customFormat="1" ht="15.75">
      <c r="A702" s="26"/>
      <c r="B702" s="5" t="s">
        <v>28</v>
      </c>
      <c r="C702" s="54">
        <v>54219.99</v>
      </c>
      <c r="D702" s="48">
        <v>403561.51</v>
      </c>
      <c r="E702" s="49">
        <v>288</v>
      </c>
      <c r="F702" s="49">
        <v>3129</v>
      </c>
      <c r="G702" s="54">
        <v>76978.44</v>
      </c>
      <c r="H702" s="54">
        <f>506707.19+38.19</f>
        <v>506745.38</v>
      </c>
      <c r="I702" s="54">
        <v>31705.07</v>
      </c>
      <c r="J702" s="54">
        <f>193926.6+136.6</f>
        <v>194063.2</v>
      </c>
      <c r="K702" s="27"/>
    </row>
    <row r="703" spans="1:11" s="52" customFormat="1" ht="15.75">
      <c r="A703" s="26"/>
      <c r="B703" s="5" t="s">
        <v>29</v>
      </c>
      <c r="C703" s="54">
        <v>61327.53</v>
      </c>
      <c r="D703" s="48">
        <v>347397.4</v>
      </c>
      <c r="E703" s="49">
        <v>295</v>
      </c>
      <c r="F703" s="49">
        <v>2845</v>
      </c>
      <c r="G703" s="54">
        <v>59451.1</v>
      </c>
      <c r="H703" s="54">
        <f>463220.87</f>
        <v>463220.87</v>
      </c>
      <c r="I703" s="54">
        <v>22229.21</v>
      </c>
      <c r="J703" s="54">
        <f>176430+835.2</f>
        <v>177265.2</v>
      </c>
      <c r="K703" s="27"/>
    </row>
    <row r="704" spans="1:11" s="52" customFormat="1" ht="15.75">
      <c r="A704" s="26"/>
      <c r="B704" s="5" t="s">
        <v>30</v>
      </c>
      <c r="C704" s="50">
        <v>71958.990000000005</v>
      </c>
      <c r="D704" s="50">
        <v>377004.97</v>
      </c>
      <c r="E704" s="49">
        <v>368</v>
      </c>
      <c r="F704" s="49">
        <v>3152</v>
      </c>
      <c r="G704" s="50">
        <v>51508.7</v>
      </c>
      <c r="H704" s="50">
        <f>396755.76+1016.98</f>
        <v>397772.74</v>
      </c>
      <c r="I704" s="50">
        <v>23326.720000000001</v>
      </c>
      <c r="J704" s="50">
        <f>201004.5+913.03</f>
        <v>201917.53</v>
      </c>
      <c r="K704" s="27"/>
    </row>
    <row r="705" spans="1:11" ht="15.75">
      <c r="A705" s="5"/>
      <c r="B705" s="5"/>
      <c r="C705" s="36"/>
      <c r="D705" s="36"/>
      <c r="E705" s="37"/>
      <c r="F705" s="37"/>
      <c r="G705" s="36"/>
      <c r="H705" s="36"/>
      <c r="I705" s="36"/>
      <c r="J705" s="36"/>
      <c r="K705" s="6"/>
    </row>
    <row r="706" spans="1:11" s="31" customFormat="1" ht="15.75">
      <c r="A706" s="25" t="s">
        <v>27</v>
      </c>
      <c r="B706" s="51" t="s">
        <v>72</v>
      </c>
      <c r="C706" s="27"/>
      <c r="D706" s="48"/>
      <c r="E706" s="27"/>
      <c r="F706" s="49"/>
      <c r="G706" s="55"/>
      <c r="H706" s="54"/>
      <c r="I706" s="55"/>
      <c r="J706" s="54"/>
      <c r="K706" s="27"/>
    </row>
    <row r="707" spans="1:11" s="52" customFormat="1" ht="15.75">
      <c r="A707" s="26"/>
      <c r="B707" s="26" t="s">
        <v>32</v>
      </c>
      <c r="C707" s="54">
        <v>80334.14</v>
      </c>
      <c r="D707" s="48">
        <v>295509.84999999998</v>
      </c>
      <c r="E707" s="49">
        <v>434</v>
      </c>
      <c r="F707" s="49">
        <v>3024</v>
      </c>
      <c r="G707" s="54">
        <v>49933.93</v>
      </c>
      <c r="H707" s="54">
        <f>380063.5+488.91</f>
        <v>380552.41</v>
      </c>
      <c r="I707" s="54">
        <v>21297.66</v>
      </c>
      <c r="J707" s="54">
        <f>174546.5+796.04</f>
        <v>175342.54</v>
      </c>
      <c r="K707" s="27"/>
    </row>
    <row r="708" spans="1:11" s="52" customFormat="1" ht="15.75">
      <c r="A708" s="26"/>
      <c r="B708" s="26" t="s">
        <v>33</v>
      </c>
      <c r="C708" s="54">
        <v>85265.87</v>
      </c>
      <c r="D708" s="48">
        <v>368150.33</v>
      </c>
      <c r="E708" s="49">
        <v>492</v>
      </c>
      <c r="F708" s="49">
        <v>3430</v>
      </c>
      <c r="G708" s="54">
        <v>55582.29</v>
      </c>
      <c r="H708" s="54">
        <f>451840.85+588.93</f>
        <v>452429.77999999997</v>
      </c>
      <c r="I708" s="54">
        <v>22630.65</v>
      </c>
      <c r="J708" s="54">
        <f>166520.28+838.9</f>
        <v>167359.18</v>
      </c>
      <c r="K708" s="27"/>
    </row>
    <row r="709" spans="1:11" s="52" customFormat="1" ht="15.75">
      <c r="A709" s="26"/>
      <c r="B709" s="26" t="s">
        <v>18</v>
      </c>
      <c r="C709" s="50">
        <v>109509.2</v>
      </c>
      <c r="D709" s="50">
        <v>527102.27</v>
      </c>
      <c r="E709" s="49">
        <v>532</v>
      </c>
      <c r="F709" s="49">
        <v>3693</v>
      </c>
      <c r="G709" s="50">
        <v>59592.79</v>
      </c>
      <c r="H709" s="50">
        <f>415653.15+782.08</f>
        <v>416435.23000000004</v>
      </c>
      <c r="I709" s="50">
        <v>27383.08</v>
      </c>
      <c r="J709" s="50">
        <f>193984.76+1179.69</f>
        <v>195164.45</v>
      </c>
      <c r="K709" s="27"/>
    </row>
    <row r="710" spans="1:11" ht="15.75">
      <c r="A710" s="5"/>
      <c r="B710" s="5"/>
      <c r="C710" s="36"/>
      <c r="D710" s="36"/>
      <c r="E710" s="37"/>
      <c r="F710" s="37"/>
      <c r="G710" s="36"/>
      <c r="H710" s="36"/>
      <c r="I710" s="36"/>
      <c r="J710" s="36"/>
      <c r="K710" s="6"/>
    </row>
    <row r="711" spans="1:11" s="31" customFormat="1" ht="15.75">
      <c r="A711" s="25" t="s">
        <v>27</v>
      </c>
      <c r="B711" s="51" t="s">
        <v>73</v>
      </c>
      <c r="C711" s="27"/>
      <c r="D711" s="48"/>
      <c r="E711" s="27"/>
      <c r="F711" s="49"/>
      <c r="G711" s="55"/>
      <c r="H711" s="54"/>
      <c r="I711" s="55"/>
      <c r="J711" s="54"/>
      <c r="K711" s="27"/>
    </row>
    <row r="712" spans="1:11" s="52" customFormat="1" ht="15.75">
      <c r="A712" s="26"/>
      <c r="B712" s="5" t="s">
        <v>19</v>
      </c>
      <c r="C712" s="54">
        <v>83218.63</v>
      </c>
      <c r="D712" s="48">
        <v>439863.16</v>
      </c>
      <c r="E712" s="49">
        <v>443</v>
      </c>
      <c r="F712" s="49">
        <v>3560</v>
      </c>
      <c r="G712" s="54">
        <v>58482.87</v>
      </c>
      <c r="H712" s="54">
        <f>421829.13+210.66</f>
        <v>422039.79</v>
      </c>
      <c r="I712" s="54">
        <v>23316.32</v>
      </c>
      <c r="J712" s="54">
        <f>166511.8+261.25</f>
        <v>166773.04999999999</v>
      </c>
      <c r="K712" s="27"/>
    </row>
    <row r="713" spans="1:11" s="52" customFormat="1" ht="15.75">
      <c r="A713" s="26"/>
      <c r="B713" s="5" t="s">
        <v>20</v>
      </c>
      <c r="C713" s="54">
        <v>87905.2</v>
      </c>
      <c r="D713" s="48">
        <v>425406.31</v>
      </c>
      <c r="E713" s="49">
        <v>431</v>
      </c>
      <c r="F713" s="49">
        <v>3092</v>
      </c>
      <c r="G713" s="54">
        <v>69840.22</v>
      </c>
      <c r="H713" s="54">
        <f>384541.61+370.34</f>
        <v>384911.95</v>
      </c>
      <c r="I713" s="54">
        <v>27819.25</v>
      </c>
      <c r="J713" s="54">
        <f>192972.76+444.77</f>
        <v>193417.53</v>
      </c>
      <c r="K713" s="27"/>
    </row>
    <row r="714" spans="1:11" s="52" customFormat="1" ht="15.75">
      <c r="A714" s="26"/>
      <c r="B714" s="5" t="s">
        <v>21</v>
      </c>
      <c r="C714" s="50">
        <v>84998.3</v>
      </c>
      <c r="D714" s="50">
        <v>490217.61</v>
      </c>
      <c r="E714" s="49">
        <v>423</v>
      </c>
      <c r="F714" s="49">
        <v>3261</v>
      </c>
      <c r="G714" s="50">
        <v>87502.78</v>
      </c>
      <c r="H714" s="50">
        <f>392591.57</f>
        <v>392591.57</v>
      </c>
      <c r="I714" s="50">
        <v>26136.66</v>
      </c>
      <c r="J714" s="50">
        <f>200456.19+266.8</f>
        <v>200722.99</v>
      </c>
      <c r="K714" s="27"/>
    </row>
    <row r="715" spans="1:11" ht="15.75">
      <c r="A715" s="5"/>
      <c r="B715" s="5"/>
      <c r="C715" s="36"/>
      <c r="D715" s="36"/>
      <c r="E715" s="37"/>
      <c r="F715" s="37"/>
      <c r="G715" s="36"/>
      <c r="H715" s="36"/>
      <c r="I715" s="36"/>
      <c r="J715" s="36"/>
      <c r="K715" s="6"/>
    </row>
    <row r="716" spans="1:11" s="31" customFormat="1" ht="15.75">
      <c r="A716" s="25" t="s">
        <v>27</v>
      </c>
      <c r="B716" s="51" t="s">
        <v>74</v>
      </c>
      <c r="C716" s="27"/>
      <c r="D716" s="48"/>
      <c r="E716" s="27"/>
      <c r="F716" s="49"/>
      <c r="G716" s="55"/>
      <c r="H716" s="54"/>
      <c r="I716" s="55"/>
      <c r="J716" s="54"/>
      <c r="K716" s="27"/>
    </row>
    <row r="717" spans="1:11" s="52" customFormat="1" ht="15.75">
      <c r="A717" s="25">
        <v>2011</v>
      </c>
      <c r="B717" s="26" t="s">
        <v>23</v>
      </c>
      <c r="C717" s="54">
        <v>41482.53</v>
      </c>
      <c r="D717" s="48">
        <v>287390.42</v>
      </c>
      <c r="E717" s="49">
        <v>310</v>
      </c>
      <c r="F717" s="49">
        <v>2667</v>
      </c>
      <c r="G717" s="54">
        <v>83702.09</v>
      </c>
      <c r="H717" s="54">
        <f>374857.49+1004.4</f>
        <v>375861.89</v>
      </c>
      <c r="I717" s="54">
        <v>25052.87</v>
      </c>
      <c r="J717" s="54">
        <f>157579.28+1543.98</f>
        <v>159123.26</v>
      </c>
      <c r="K717" s="27"/>
    </row>
    <row r="718" spans="1:11" s="52" customFormat="1" ht="15.75">
      <c r="A718" s="26"/>
      <c r="B718" s="26" t="s">
        <v>98</v>
      </c>
      <c r="C718" s="54">
        <v>43668.98</v>
      </c>
      <c r="D718" s="48">
        <v>318716.63</v>
      </c>
      <c r="E718" s="49">
        <v>255</v>
      </c>
      <c r="F718" s="49">
        <v>2579</v>
      </c>
      <c r="G718" s="54">
        <v>102561.57</v>
      </c>
      <c r="H718" s="54">
        <f>434941.94+485.48</f>
        <v>435427.42</v>
      </c>
      <c r="I718" s="54">
        <v>35021.949999999997</v>
      </c>
      <c r="J718" s="54">
        <f>182254.71+156.12</f>
        <v>182410.83</v>
      </c>
      <c r="K718" s="27"/>
    </row>
    <row r="719" spans="1:11" s="52" customFormat="1" ht="16.5" customHeight="1">
      <c r="A719" s="26"/>
      <c r="B719" s="26" t="s">
        <v>100</v>
      </c>
      <c r="C719" s="50">
        <v>43681.16</v>
      </c>
      <c r="D719" s="50">
        <v>457115.24</v>
      </c>
      <c r="E719" s="49">
        <v>246</v>
      </c>
      <c r="F719" s="49">
        <v>3096</v>
      </c>
      <c r="G719" s="50">
        <v>89732.09</v>
      </c>
      <c r="H719" s="50">
        <f>455204.95+1397.49</f>
        <v>456602.44</v>
      </c>
      <c r="I719" s="50">
        <v>34961.769999999997</v>
      </c>
      <c r="J719" s="50">
        <f>218011.16+1398.94</f>
        <v>219410.1</v>
      </c>
      <c r="K719" s="27"/>
    </row>
    <row r="720" spans="1:11" ht="15.75">
      <c r="A720" s="4" t="s">
        <v>91</v>
      </c>
      <c r="B720" s="5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22.5">
      <c r="A721" s="4"/>
      <c r="B721" s="5"/>
      <c r="C721" s="60" t="s">
        <v>92</v>
      </c>
      <c r="D721" s="60"/>
      <c r="E721" s="60"/>
      <c r="F721" s="60"/>
      <c r="G721" s="6"/>
      <c r="H721" s="6"/>
      <c r="I721" s="6"/>
      <c r="J721" s="6"/>
      <c r="K721" s="6"/>
    </row>
    <row r="722" spans="1:11" ht="22.5">
      <c r="A722" s="4"/>
      <c r="B722" s="9"/>
      <c r="C722" s="61" t="s">
        <v>93</v>
      </c>
      <c r="D722" s="60"/>
      <c r="E722" s="61" t="s">
        <v>94</v>
      </c>
      <c r="F722" s="60"/>
      <c r="G722" s="60" t="s">
        <v>95</v>
      </c>
      <c r="H722" s="60"/>
      <c r="I722" s="60" t="s">
        <v>96</v>
      </c>
      <c r="J722" s="60"/>
      <c r="K722" s="6"/>
    </row>
    <row r="723" spans="1:11" ht="15.75">
      <c r="A723" s="9" t="s">
        <v>9</v>
      </c>
      <c r="B723" s="9" t="s">
        <v>10</v>
      </c>
      <c r="C723" s="33" t="s">
        <v>86</v>
      </c>
      <c r="D723" s="33" t="s">
        <v>87</v>
      </c>
      <c r="E723" s="33" t="s">
        <v>86</v>
      </c>
      <c r="F723" s="33" t="s">
        <v>87</v>
      </c>
      <c r="G723" s="33" t="s">
        <v>86</v>
      </c>
      <c r="H723" s="33" t="s">
        <v>97</v>
      </c>
      <c r="I723" s="33" t="s">
        <v>86</v>
      </c>
      <c r="J723" s="33" t="s">
        <v>97</v>
      </c>
      <c r="K723" s="6"/>
    </row>
    <row r="724" spans="1:11" ht="15.75">
      <c r="A724" s="5"/>
      <c r="B724" s="5"/>
      <c r="C724" s="36"/>
      <c r="D724" s="36"/>
      <c r="E724" s="37"/>
      <c r="F724" s="37"/>
      <c r="G724" s="36"/>
      <c r="H724" s="36"/>
      <c r="I724" s="36"/>
      <c r="J724" s="36"/>
      <c r="K724" s="6"/>
    </row>
    <row r="725" spans="1:11" s="31" customFormat="1" ht="15.75">
      <c r="A725" s="25" t="s">
        <v>27</v>
      </c>
      <c r="B725" s="51" t="s">
        <v>75</v>
      </c>
      <c r="C725" s="27"/>
      <c r="D725" s="48"/>
      <c r="E725" s="27"/>
      <c r="F725" s="49"/>
      <c r="G725" s="55"/>
      <c r="H725" s="54"/>
      <c r="I725" s="55"/>
      <c r="J725" s="54"/>
      <c r="K725" s="27"/>
    </row>
    <row r="726" spans="1:11" s="52" customFormat="1" ht="15.75">
      <c r="A726" s="25">
        <v>2011</v>
      </c>
      <c r="B726" s="5" t="s">
        <v>28</v>
      </c>
      <c r="C726" s="54">
        <v>45298.34</v>
      </c>
      <c r="D726" s="48">
        <v>323147.34000000003</v>
      </c>
      <c r="E726" s="49">
        <v>277</v>
      </c>
      <c r="F726" s="49">
        <v>2761</v>
      </c>
      <c r="G726" s="54">
        <v>104670.39</v>
      </c>
      <c r="H726" s="54">
        <f>445238.93+996.48</f>
        <v>446235.41</v>
      </c>
      <c r="I726" s="54">
        <v>33872.36</v>
      </c>
      <c r="J726" s="54">
        <f>183290.04+1289.14</f>
        <v>184579.18000000002</v>
      </c>
      <c r="K726" s="27"/>
    </row>
    <row r="727" spans="1:11" s="52" customFormat="1" ht="15.75">
      <c r="A727" s="26"/>
      <c r="B727" s="5" t="s">
        <v>29</v>
      </c>
      <c r="C727" s="54">
        <v>52435.62</v>
      </c>
      <c r="D727" s="48">
        <v>312563.23</v>
      </c>
      <c r="E727" s="49">
        <v>297</v>
      </c>
      <c r="F727" s="49">
        <v>2719</v>
      </c>
      <c r="G727" s="54">
        <v>84205.93</v>
      </c>
      <c r="H727" s="54">
        <f>444606.66+483.39</f>
        <v>445090.05</v>
      </c>
      <c r="I727" s="54">
        <v>32502.98</v>
      </c>
      <c r="J727" s="54">
        <f>219264.53+573.26</f>
        <v>219837.79</v>
      </c>
      <c r="K727" s="27"/>
    </row>
    <row r="728" spans="1:11" s="52" customFormat="1" ht="16.5" customHeight="1">
      <c r="A728" s="26"/>
      <c r="B728" s="5" t="s">
        <v>30</v>
      </c>
      <c r="C728" s="50">
        <v>101167.97</v>
      </c>
      <c r="D728" s="50">
        <v>337261.39</v>
      </c>
      <c r="E728" s="49">
        <v>485</v>
      </c>
      <c r="F728" s="49">
        <v>2988</v>
      </c>
      <c r="G728" s="50">
        <v>63942.09</v>
      </c>
      <c r="H728" s="50">
        <f>322308.93+415.63</f>
        <v>322724.56</v>
      </c>
      <c r="I728" s="50">
        <v>26490.23</v>
      </c>
      <c r="J728" s="50">
        <f>169528.63+918.99</f>
        <v>170447.62</v>
      </c>
      <c r="K728" s="27"/>
    </row>
    <row r="729" spans="1:11" ht="15.75">
      <c r="A729" s="5"/>
      <c r="B729" s="5"/>
      <c r="C729" s="36"/>
      <c r="D729" s="36"/>
      <c r="E729" s="37"/>
      <c r="F729" s="37"/>
      <c r="G729" s="36"/>
      <c r="H729" s="36"/>
      <c r="I729" s="36"/>
      <c r="J729" s="36"/>
      <c r="K729" s="6"/>
    </row>
    <row r="730" spans="1:11" s="31" customFormat="1" ht="15.75">
      <c r="A730" s="25" t="s">
        <v>27</v>
      </c>
      <c r="B730" s="51" t="s">
        <v>76</v>
      </c>
      <c r="C730" s="27"/>
      <c r="D730" s="48"/>
      <c r="E730" s="27"/>
      <c r="F730" s="49"/>
      <c r="G730" s="55"/>
      <c r="H730" s="54"/>
      <c r="I730" s="55"/>
      <c r="J730" s="54"/>
      <c r="K730" s="27"/>
    </row>
    <row r="731" spans="1:11" s="52" customFormat="1" ht="15.75">
      <c r="A731" s="25" t="s">
        <v>27</v>
      </c>
      <c r="B731" s="26" t="s">
        <v>32</v>
      </c>
      <c r="C731" s="54">
        <v>88635.93</v>
      </c>
      <c r="D731" s="48">
        <v>249053.24</v>
      </c>
      <c r="E731" s="49">
        <v>500</v>
      </c>
      <c r="F731" s="49">
        <v>2729</v>
      </c>
      <c r="G731" s="54">
        <v>60186.39</v>
      </c>
      <c r="H731" s="54">
        <f>327782.84+716.2</f>
        <v>328499.04000000004</v>
      </c>
      <c r="I731" s="54">
        <v>24519.85</v>
      </c>
      <c r="J731" s="54">
        <f>170548.01+741.12</f>
        <v>171289.13</v>
      </c>
      <c r="K731" s="27"/>
    </row>
    <row r="732" spans="1:11" s="52" customFormat="1" ht="15.75">
      <c r="A732" s="26"/>
      <c r="B732" s="26" t="s">
        <v>33</v>
      </c>
      <c r="C732" s="54">
        <v>103952.63</v>
      </c>
      <c r="D732" s="48">
        <v>325147.48</v>
      </c>
      <c r="E732" s="49">
        <v>598</v>
      </c>
      <c r="F732" s="49">
        <v>3353</v>
      </c>
      <c r="G732" s="54">
        <v>55899.03</v>
      </c>
      <c r="H732" s="54">
        <f>383860.53+1202.64</f>
        <v>385063.17000000004</v>
      </c>
      <c r="I732" s="54">
        <v>27652.080000000002</v>
      </c>
      <c r="J732" s="54">
        <f>166589.13+1411</f>
        <v>168000.13</v>
      </c>
      <c r="K732" s="27"/>
    </row>
    <row r="733" spans="1:11" s="52" customFormat="1" ht="16.5" customHeight="1">
      <c r="A733" s="26"/>
      <c r="B733" s="26" t="s">
        <v>18</v>
      </c>
      <c r="C733" s="50">
        <v>97216.17</v>
      </c>
      <c r="D733" s="50">
        <v>468300.31</v>
      </c>
      <c r="E733" s="49">
        <v>498</v>
      </c>
      <c r="F733" s="49">
        <v>3565</v>
      </c>
      <c r="G733" s="50">
        <v>67270.09</v>
      </c>
      <c r="H733" s="50">
        <f>410852.91+1404.51</f>
        <v>412257.42</v>
      </c>
      <c r="I733" s="50">
        <v>31283.25</v>
      </c>
      <c r="J733" s="50">
        <f>194178.21+1440.36</f>
        <v>195618.56999999998</v>
      </c>
      <c r="K733" s="27"/>
    </row>
    <row r="734" spans="1:11" ht="15.75">
      <c r="A734" s="5"/>
      <c r="B734" s="5"/>
      <c r="C734" s="36"/>
      <c r="D734" s="36"/>
      <c r="E734" s="37"/>
      <c r="F734" s="37"/>
      <c r="G734" s="36"/>
      <c r="H734" s="36"/>
      <c r="I734" s="36"/>
      <c r="J734" s="36"/>
      <c r="K734" s="6"/>
    </row>
    <row r="735" spans="1:11" s="31" customFormat="1" ht="15.75">
      <c r="A735" s="25" t="s">
        <v>27</v>
      </c>
      <c r="B735" s="51" t="s">
        <v>77</v>
      </c>
      <c r="C735" s="27"/>
      <c r="D735" s="48"/>
      <c r="E735" s="27"/>
      <c r="F735" s="49"/>
      <c r="G735" s="55"/>
      <c r="H735" s="54"/>
      <c r="I735" s="55"/>
      <c r="J735" s="54"/>
      <c r="K735" s="27"/>
    </row>
    <row r="736" spans="1:11" s="52" customFormat="1" ht="15.75">
      <c r="A736" s="25" t="s">
        <v>27</v>
      </c>
      <c r="B736" s="5" t="s">
        <v>19</v>
      </c>
      <c r="C736" s="54">
        <v>86470.49</v>
      </c>
      <c r="D736" s="48">
        <v>412743.7</v>
      </c>
      <c r="E736" s="49">
        <v>516</v>
      </c>
      <c r="F736" s="49">
        <v>3413</v>
      </c>
      <c r="G736" s="54">
        <v>57077.37</v>
      </c>
      <c r="H736" s="54">
        <f>339673.82+1437.12</f>
        <v>341110.94</v>
      </c>
      <c r="I736" s="54">
        <v>22056.9</v>
      </c>
      <c r="J736" s="54">
        <f>173366.81+1545.11</f>
        <v>174911.91999999998</v>
      </c>
      <c r="K736" s="27"/>
    </row>
    <row r="737" spans="1:11" s="52" customFormat="1" ht="15.75">
      <c r="A737" s="26"/>
      <c r="B737" s="5" t="s">
        <v>20</v>
      </c>
      <c r="C737" s="54">
        <v>84427.68</v>
      </c>
      <c r="D737" s="48">
        <v>397927.14</v>
      </c>
      <c r="E737" s="49">
        <v>430</v>
      </c>
      <c r="F737" s="49">
        <v>2879</v>
      </c>
      <c r="G737" s="54">
        <v>77316.58</v>
      </c>
      <c r="H737" s="54">
        <f>360036.88+438.88</f>
        <v>360475.76</v>
      </c>
      <c r="I737" s="54">
        <v>30842.48</v>
      </c>
      <c r="J737" s="54">
        <f>178433.98+523.55</f>
        <v>178957.53</v>
      </c>
      <c r="K737" s="27"/>
    </row>
    <row r="738" spans="1:11" s="52" customFormat="1" ht="16.5" customHeight="1">
      <c r="A738" s="26"/>
      <c r="B738" s="5" t="s">
        <v>21</v>
      </c>
      <c r="C738" s="50">
        <v>65625.84</v>
      </c>
      <c r="D738" s="50">
        <v>407368.59</v>
      </c>
      <c r="E738" s="49">
        <v>379</v>
      </c>
      <c r="F738" s="49">
        <v>2927</v>
      </c>
      <c r="G738" s="50">
        <v>88965.03</v>
      </c>
      <c r="H738" s="50">
        <f>369238.55+1615.61</f>
        <v>370854.16</v>
      </c>
      <c r="I738" s="50">
        <v>33149.64</v>
      </c>
      <c r="J738" s="50">
        <f>164741.54+1615.61</f>
        <v>166357.15</v>
      </c>
      <c r="K738" s="27"/>
    </row>
    <row r="739" spans="1:11" s="52" customFormat="1" ht="16.5" customHeight="1">
      <c r="A739" s="26"/>
      <c r="B739" s="26"/>
      <c r="C739" s="50"/>
      <c r="D739" s="50"/>
      <c r="E739" s="49"/>
      <c r="F739" s="49"/>
      <c r="G739" s="50"/>
      <c r="H739" s="50"/>
      <c r="I739" s="50"/>
      <c r="J739" s="50"/>
      <c r="K739" s="27"/>
    </row>
    <row r="740" spans="1:11" ht="22.5">
      <c r="A740" s="5"/>
      <c r="B740" s="5"/>
      <c r="C740" s="60" t="s">
        <v>102</v>
      </c>
      <c r="D740" s="60"/>
      <c r="E740" s="60" t="s">
        <v>103</v>
      </c>
      <c r="F740" s="60"/>
      <c r="G740" s="38"/>
      <c r="H740" s="38"/>
      <c r="I740" s="38"/>
      <c r="J740" s="38" t="s">
        <v>27</v>
      </c>
      <c r="K740" s="6"/>
    </row>
    <row r="741" spans="1:11" ht="15.75">
      <c r="A741" s="9" t="s">
        <v>9</v>
      </c>
      <c r="B741" s="9" t="s">
        <v>10</v>
      </c>
      <c r="C741" s="33" t="s">
        <v>86</v>
      </c>
      <c r="D741" s="33" t="s">
        <v>97</v>
      </c>
      <c r="E741" s="33" t="s">
        <v>86</v>
      </c>
      <c r="F741" s="33" t="s">
        <v>97</v>
      </c>
      <c r="G741" s="38"/>
      <c r="H741" s="38"/>
      <c r="I741" s="38"/>
      <c r="J741" s="38"/>
      <c r="K741" s="6"/>
    </row>
    <row r="742" spans="1:11" ht="15.75">
      <c r="A742" s="9"/>
      <c r="B742" s="9" t="s">
        <v>22</v>
      </c>
      <c r="C742" s="33"/>
      <c r="D742" s="33"/>
      <c r="E742" s="33"/>
      <c r="F742" s="33"/>
      <c r="G742" s="38"/>
      <c r="H742" s="38"/>
      <c r="I742" s="38"/>
      <c r="J742" s="38"/>
      <c r="K742" s="6"/>
    </row>
    <row r="743" spans="1:11" ht="15.75">
      <c r="A743" s="12">
        <v>2000</v>
      </c>
      <c r="B743" s="5" t="s">
        <v>18</v>
      </c>
      <c r="C743" s="38">
        <v>0</v>
      </c>
      <c r="D743" s="38">
        <f>2609+1+73</f>
        <v>2683</v>
      </c>
      <c r="E743" s="38">
        <v>0</v>
      </c>
      <c r="F743" s="38">
        <f>2196+1+124</f>
        <v>2321</v>
      </c>
      <c r="G743" s="38"/>
      <c r="H743" s="38"/>
      <c r="I743" s="38"/>
      <c r="J743" s="38"/>
      <c r="K743" s="6"/>
    </row>
    <row r="744" spans="1:11" ht="15.75">
      <c r="A744" s="5"/>
      <c r="B744" s="5" t="s">
        <v>19</v>
      </c>
      <c r="C744" s="38">
        <v>0</v>
      </c>
      <c r="D744" s="38">
        <f>2558+102</f>
        <v>2660</v>
      </c>
      <c r="E744" s="38">
        <v>0</v>
      </c>
      <c r="F744" s="38">
        <f>2303+152</f>
        <v>2455</v>
      </c>
      <c r="G744" s="38"/>
      <c r="H744" s="38"/>
      <c r="I744" s="38"/>
      <c r="J744" s="38"/>
      <c r="K744" s="6"/>
    </row>
    <row r="745" spans="1:11" ht="15.75">
      <c r="A745" s="5"/>
      <c r="B745" s="5" t="s">
        <v>20</v>
      </c>
      <c r="C745" s="38">
        <v>0</v>
      </c>
      <c r="D745" s="38">
        <f>2486+1+65</f>
        <v>2552</v>
      </c>
      <c r="E745" s="38">
        <v>0</v>
      </c>
      <c r="F745" s="38">
        <f>2554+162</f>
        <v>2716</v>
      </c>
      <c r="G745" s="38"/>
      <c r="H745" s="38"/>
      <c r="I745" s="38"/>
      <c r="J745" s="38"/>
      <c r="K745" s="6"/>
    </row>
    <row r="746" spans="1:11" ht="15.75">
      <c r="A746" s="5"/>
      <c r="B746" s="5" t="s">
        <v>21</v>
      </c>
      <c r="C746" s="38">
        <f>1</f>
        <v>1</v>
      </c>
      <c r="D746" s="38">
        <f>2986+57</f>
        <v>3043</v>
      </c>
      <c r="E746" s="38">
        <f>1</f>
        <v>1</v>
      </c>
      <c r="F746" s="38">
        <f>2326+1+111</f>
        <v>2438</v>
      </c>
      <c r="G746" s="38"/>
      <c r="H746" s="38"/>
      <c r="I746" s="38"/>
      <c r="J746" s="38"/>
      <c r="K746" s="6"/>
    </row>
    <row r="747" spans="1:11" ht="15.75">
      <c r="A747" s="5"/>
      <c r="B747" s="5"/>
      <c r="C747" s="53"/>
      <c r="D747" s="38"/>
      <c r="E747" s="53"/>
      <c r="F747" s="38"/>
      <c r="G747" s="38"/>
      <c r="H747" s="38"/>
      <c r="I747" s="38"/>
      <c r="J747" s="38"/>
      <c r="K747" s="6"/>
    </row>
    <row r="748" spans="1:11" ht="15.75">
      <c r="A748" s="5"/>
      <c r="B748" s="9" t="s">
        <v>26</v>
      </c>
      <c r="C748" s="53"/>
      <c r="D748" s="38"/>
      <c r="E748" s="53"/>
      <c r="F748" s="38"/>
      <c r="G748" s="38"/>
      <c r="H748" s="38"/>
      <c r="I748" s="38"/>
      <c r="J748" s="38"/>
      <c r="K748" s="6"/>
    </row>
    <row r="749" spans="1:11" ht="15.75">
      <c r="A749" s="12">
        <v>2001</v>
      </c>
      <c r="B749" s="5" t="s">
        <v>23</v>
      </c>
      <c r="C749" s="38">
        <f>2</f>
        <v>2</v>
      </c>
      <c r="D749" s="38">
        <f>2979+61</f>
        <v>3040</v>
      </c>
      <c r="E749" s="38">
        <f>2</f>
        <v>2</v>
      </c>
      <c r="F749" s="38">
        <f>2623+1+119</f>
        <v>2743</v>
      </c>
      <c r="G749" s="38"/>
      <c r="H749" s="38"/>
      <c r="I749" s="38"/>
      <c r="J749" s="38"/>
      <c r="K749" s="6"/>
    </row>
    <row r="750" spans="1:11" ht="15.75">
      <c r="A750" s="5"/>
      <c r="B750" s="5" t="s">
        <v>24</v>
      </c>
      <c r="C750" s="38">
        <f>8</f>
        <v>8</v>
      </c>
      <c r="D750" s="38">
        <f>2982+1+54</f>
        <v>3037</v>
      </c>
      <c r="E750" s="38">
        <f>8</f>
        <v>8</v>
      </c>
      <c r="F750" s="38">
        <f>2444+3+110</f>
        <v>2557</v>
      </c>
      <c r="G750" s="38"/>
      <c r="H750" s="38"/>
      <c r="I750" s="38"/>
      <c r="J750" s="38"/>
      <c r="K750" s="6"/>
    </row>
    <row r="751" spans="1:11" ht="15.75">
      <c r="A751" s="5"/>
      <c r="B751" s="5" t="s">
        <v>25</v>
      </c>
      <c r="C751" s="38">
        <f>15</f>
        <v>15</v>
      </c>
      <c r="D751" s="38">
        <f>2841+1+53</f>
        <v>2895</v>
      </c>
      <c r="E751" s="38">
        <f>15</f>
        <v>15</v>
      </c>
      <c r="F751" s="38">
        <f>2405+108</f>
        <v>2513</v>
      </c>
      <c r="G751" s="38"/>
      <c r="H751" s="38"/>
      <c r="I751" s="38"/>
      <c r="J751" s="38"/>
      <c r="K751" s="6"/>
    </row>
    <row r="752" spans="1:11" ht="15.75">
      <c r="A752" s="9"/>
      <c r="B752" s="9"/>
      <c r="C752" s="33"/>
      <c r="D752" s="33"/>
      <c r="E752" s="33"/>
      <c r="F752" s="33"/>
      <c r="G752" s="38"/>
      <c r="H752" s="38"/>
      <c r="I752" s="38"/>
      <c r="J752" s="38"/>
      <c r="K752" s="6"/>
    </row>
    <row r="753" spans="1:11" ht="15.75">
      <c r="A753" s="5"/>
      <c r="B753" s="9" t="s">
        <v>31</v>
      </c>
      <c r="C753" s="53"/>
      <c r="D753" s="38"/>
      <c r="E753" s="53"/>
      <c r="F753" s="38"/>
      <c r="G753" s="38"/>
      <c r="H753" s="38"/>
      <c r="I753" s="38"/>
      <c r="J753" s="38"/>
      <c r="K753" s="6"/>
    </row>
    <row r="754" spans="1:11" ht="15.75">
      <c r="A754" s="12" t="s">
        <v>27</v>
      </c>
      <c r="B754" s="5" t="s">
        <v>28</v>
      </c>
      <c r="C754" s="38">
        <f>15</f>
        <v>15</v>
      </c>
      <c r="D754" s="38">
        <f>2546+1+49</f>
        <v>2596</v>
      </c>
      <c r="E754" s="38">
        <f>9</f>
        <v>9</v>
      </c>
      <c r="F754" s="38">
        <f>2187+1+96</f>
        <v>2284</v>
      </c>
      <c r="G754" s="38"/>
      <c r="H754" s="38"/>
      <c r="I754" s="38"/>
      <c r="J754" s="38"/>
      <c r="K754" s="6"/>
    </row>
    <row r="755" spans="1:11" ht="15.75">
      <c r="A755" s="5"/>
      <c r="B755" s="5" t="s">
        <v>29</v>
      </c>
      <c r="C755" s="38">
        <f>17</f>
        <v>17</v>
      </c>
      <c r="D755" s="38">
        <f>2301+47</f>
        <v>2348</v>
      </c>
      <c r="E755" s="38">
        <f>5</f>
        <v>5</v>
      </c>
      <c r="F755" s="38">
        <f>2045+1+107</f>
        <v>2153</v>
      </c>
      <c r="G755" s="38"/>
      <c r="H755" s="38"/>
      <c r="I755" s="38"/>
      <c r="J755" s="38"/>
      <c r="K755" s="6"/>
    </row>
    <row r="756" spans="1:11" ht="15.75">
      <c r="A756" s="5"/>
      <c r="B756" s="5" t="s">
        <v>30</v>
      </c>
      <c r="C756" s="38">
        <f>12</f>
        <v>12</v>
      </c>
      <c r="D756" s="38">
        <f>2350+1+62</f>
        <v>2413</v>
      </c>
      <c r="E756" s="38">
        <f>20</f>
        <v>20</v>
      </c>
      <c r="F756" s="38">
        <f>2008+2+114</f>
        <v>2124</v>
      </c>
      <c r="G756" s="38"/>
      <c r="H756" s="38"/>
      <c r="I756" s="38"/>
      <c r="J756" s="38"/>
      <c r="K756" s="6"/>
    </row>
    <row r="757" spans="1:11" ht="15.75">
      <c r="A757" s="5"/>
      <c r="B757" s="9" t="s">
        <v>34</v>
      </c>
      <c r="C757" s="53"/>
      <c r="D757" s="38"/>
      <c r="E757" s="53"/>
      <c r="F757" s="38"/>
      <c r="G757" s="38"/>
      <c r="H757" s="38"/>
      <c r="I757" s="38"/>
      <c r="J757" s="38"/>
      <c r="K757" s="6"/>
    </row>
    <row r="758" spans="1:11" ht="15.75">
      <c r="A758" s="12" t="s">
        <v>27</v>
      </c>
      <c r="B758" s="5" t="s">
        <v>32</v>
      </c>
      <c r="C758" s="38">
        <v>26</v>
      </c>
      <c r="D758" s="38">
        <f>2306+51</f>
        <v>2357</v>
      </c>
      <c r="E758" s="38">
        <v>30</v>
      </c>
      <c r="F758" s="38">
        <f>2253+109</f>
        <v>2362</v>
      </c>
      <c r="G758" s="38"/>
      <c r="H758" s="38"/>
      <c r="I758" s="38"/>
      <c r="J758" s="38"/>
      <c r="K758" s="6"/>
    </row>
    <row r="759" spans="1:11" ht="15.75">
      <c r="A759" s="5"/>
      <c r="B759" s="5" t="s">
        <v>33</v>
      </c>
      <c r="C759" s="38">
        <v>49</v>
      </c>
      <c r="D759" s="38">
        <f>2565+31</f>
        <v>2596</v>
      </c>
      <c r="E759" s="38">
        <v>20</v>
      </c>
      <c r="F759" s="38">
        <f>2172+89</f>
        <v>2261</v>
      </c>
      <c r="G759" s="38"/>
      <c r="H759" s="38"/>
      <c r="I759" s="38"/>
      <c r="J759" s="38"/>
      <c r="K759" s="6"/>
    </row>
    <row r="760" spans="1:11" ht="15.75">
      <c r="A760" s="5"/>
      <c r="B760" s="5" t="s">
        <v>18</v>
      </c>
      <c r="C760" s="38">
        <v>108</v>
      </c>
      <c r="D760" s="38">
        <f>2611+1+38</f>
        <v>2650</v>
      </c>
      <c r="E760" s="38">
        <v>44</v>
      </c>
      <c r="F760" s="38">
        <f>2129+1+79</f>
        <v>2209</v>
      </c>
      <c r="G760" s="38"/>
      <c r="H760" s="38"/>
      <c r="I760" s="38"/>
      <c r="J760" s="38"/>
      <c r="K760" s="6"/>
    </row>
    <row r="761" spans="1:11" ht="15.75">
      <c r="A761" s="5"/>
      <c r="B761" s="5"/>
      <c r="C761" s="38"/>
      <c r="D761" s="41"/>
      <c r="E761" s="37"/>
      <c r="F761" s="37"/>
      <c r="G761" s="38"/>
      <c r="H761" s="38"/>
      <c r="I761" s="38"/>
      <c r="J761" s="38"/>
      <c r="K761" s="6"/>
    </row>
    <row r="762" spans="1:11" ht="15.75">
      <c r="A762" s="5"/>
      <c r="B762" s="9" t="s">
        <v>35</v>
      </c>
      <c r="C762" s="53"/>
      <c r="D762" s="38"/>
      <c r="E762" s="53"/>
      <c r="F762" s="38"/>
      <c r="G762" s="38"/>
      <c r="H762" s="38"/>
      <c r="I762" s="38"/>
      <c r="J762" s="38"/>
      <c r="K762" s="6"/>
    </row>
    <row r="763" spans="1:11" ht="15.75">
      <c r="A763" s="5"/>
      <c r="B763" s="5" t="s">
        <v>19</v>
      </c>
      <c r="C763" s="38">
        <v>151</v>
      </c>
      <c r="D763" s="38">
        <f>2584+39</f>
        <v>2623</v>
      </c>
      <c r="E763" s="38">
        <v>79</v>
      </c>
      <c r="F763" s="38">
        <f>2253+109</f>
        <v>2362</v>
      </c>
      <c r="G763" s="38"/>
      <c r="H763" s="38"/>
      <c r="I763" s="38"/>
      <c r="J763" s="38"/>
      <c r="K763" s="6"/>
    </row>
    <row r="764" spans="1:11" ht="15.75">
      <c r="A764" s="5"/>
      <c r="B764" s="5" t="s">
        <v>20</v>
      </c>
      <c r="C764" s="38">
        <v>190</v>
      </c>
      <c r="D764" s="38">
        <f>3149+51</f>
        <v>3200</v>
      </c>
      <c r="E764" s="38">
        <v>99</v>
      </c>
      <c r="F764" s="38">
        <f>2528+1+116</f>
        <v>2645</v>
      </c>
      <c r="G764" s="38"/>
      <c r="H764" s="38"/>
      <c r="I764" s="38"/>
      <c r="J764" s="38"/>
      <c r="K764" s="6"/>
    </row>
    <row r="765" spans="1:11" ht="15.75">
      <c r="A765" s="5"/>
      <c r="B765" s="5" t="s">
        <v>21</v>
      </c>
      <c r="C765" s="38">
        <v>197</v>
      </c>
      <c r="D765" s="38">
        <f>3003+48</f>
        <v>3051</v>
      </c>
      <c r="E765" s="38">
        <v>140</v>
      </c>
      <c r="F765" s="38">
        <f>2601+105</f>
        <v>2706</v>
      </c>
      <c r="G765" s="53"/>
      <c r="H765" s="53"/>
      <c r="I765" s="6"/>
      <c r="J765" s="6"/>
      <c r="K765" s="6"/>
    </row>
    <row r="766" spans="1:11" ht="15.75">
      <c r="A766" s="9"/>
      <c r="B766" s="9"/>
      <c r="C766" s="33"/>
      <c r="D766" s="33"/>
      <c r="E766" s="33"/>
      <c r="F766" s="33"/>
      <c r="G766" s="38"/>
      <c r="H766" s="38"/>
      <c r="I766" s="38"/>
      <c r="J766" s="38"/>
      <c r="K766" s="6"/>
    </row>
    <row r="767" spans="1:11" ht="15.75">
      <c r="A767" s="5"/>
      <c r="B767" s="9" t="s">
        <v>36</v>
      </c>
      <c r="C767" s="53"/>
      <c r="D767" s="38"/>
      <c r="E767" s="53"/>
      <c r="F767" s="38"/>
      <c r="G767" s="53"/>
      <c r="H767" s="53"/>
      <c r="I767" s="6"/>
      <c r="J767" s="6"/>
      <c r="K767" s="6"/>
    </row>
    <row r="768" spans="1:11" ht="15.75">
      <c r="A768" s="12">
        <v>2002</v>
      </c>
      <c r="B768" s="5" t="s">
        <v>23</v>
      </c>
      <c r="C768" s="38">
        <v>182</v>
      </c>
      <c r="D768" s="38">
        <f>2579+26</f>
        <v>2605</v>
      </c>
      <c r="E768" s="38">
        <v>152</v>
      </c>
      <c r="F768" s="38">
        <v>2232</v>
      </c>
      <c r="G768" s="53"/>
      <c r="H768" s="53"/>
      <c r="I768" s="6"/>
      <c r="J768" s="6"/>
      <c r="K768" s="6"/>
    </row>
    <row r="769" spans="1:14" ht="15.75">
      <c r="A769" s="5"/>
      <c r="B769" s="5" t="s">
        <v>24</v>
      </c>
      <c r="C769" s="38">
        <v>202</v>
      </c>
      <c r="D769" s="38">
        <f>2670+1+29</f>
        <v>2700</v>
      </c>
      <c r="E769" s="38">
        <f>185</f>
        <v>185</v>
      </c>
      <c r="F769" s="38">
        <v>2550</v>
      </c>
      <c r="G769" s="53"/>
      <c r="H769" s="53"/>
      <c r="I769" s="6"/>
      <c r="J769" s="6"/>
      <c r="K769" s="6"/>
    </row>
    <row r="770" spans="1:14" ht="15.75">
      <c r="A770" s="5"/>
      <c r="B770" s="5" t="s">
        <v>25</v>
      </c>
      <c r="C770" s="38">
        <v>207</v>
      </c>
      <c r="D770" s="38">
        <f>2592+29</f>
        <v>2621</v>
      </c>
      <c r="E770" s="38">
        <v>196</v>
      </c>
      <c r="F770" s="38">
        <v>2739</v>
      </c>
      <c r="G770" s="53"/>
      <c r="H770" s="53"/>
      <c r="I770" s="6"/>
      <c r="J770" s="6"/>
      <c r="K770" s="6"/>
    </row>
    <row r="771" spans="1:14" ht="15.75">
      <c r="A771" s="5"/>
      <c r="B771" s="5"/>
      <c r="C771" s="38"/>
      <c r="D771" s="38"/>
      <c r="E771" s="38"/>
      <c r="F771" s="38"/>
      <c r="G771" s="53"/>
      <c r="H771" s="53"/>
      <c r="I771" s="6"/>
      <c r="J771" s="6"/>
      <c r="K771" s="6"/>
    </row>
    <row r="772" spans="1:14" ht="15.75">
      <c r="A772" s="5"/>
      <c r="B772" s="9" t="s">
        <v>37</v>
      </c>
      <c r="C772" s="53"/>
      <c r="D772" s="38"/>
      <c r="E772" s="53"/>
      <c r="F772" s="38"/>
      <c r="G772" s="53"/>
      <c r="H772" s="53"/>
      <c r="I772" s="6"/>
      <c r="J772" s="6"/>
      <c r="K772" s="6"/>
    </row>
    <row r="773" spans="1:14" ht="15.75">
      <c r="A773" s="5"/>
      <c r="B773" s="5" t="s">
        <v>28</v>
      </c>
      <c r="C773" s="38">
        <v>167</v>
      </c>
      <c r="D773" s="38">
        <v>2405</v>
      </c>
      <c r="E773" s="38">
        <v>151</v>
      </c>
      <c r="F773" s="38">
        <v>1931</v>
      </c>
      <c r="G773" s="53"/>
      <c r="H773" s="53"/>
      <c r="I773" s="6"/>
      <c r="J773" s="6"/>
      <c r="K773" s="6"/>
    </row>
    <row r="774" spans="1:14" ht="15.75">
      <c r="A774" s="5"/>
      <c r="B774" s="5" t="s">
        <v>29</v>
      </c>
      <c r="C774" s="38">
        <v>189</v>
      </c>
      <c r="D774" s="38">
        <v>2434</v>
      </c>
      <c r="E774" s="38">
        <v>173</v>
      </c>
      <c r="F774" s="38">
        <v>2271</v>
      </c>
      <c r="G774" s="53"/>
      <c r="H774" s="53"/>
      <c r="I774" s="6"/>
      <c r="J774" s="6"/>
      <c r="K774" s="6"/>
    </row>
    <row r="775" spans="1:14" ht="15.75">
      <c r="A775" s="5"/>
      <c r="B775" s="5" t="s">
        <v>30</v>
      </c>
      <c r="C775" s="38">
        <v>144</v>
      </c>
      <c r="D775" s="38">
        <v>2175</v>
      </c>
      <c r="E775" s="38">
        <v>124</v>
      </c>
      <c r="F775" s="38">
        <v>2120</v>
      </c>
      <c r="G775" s="53"/>
      <c r="H775" s="53"/>
      <c r="I775" s="6"/>
      <c r="J775" s="6"/>
      <c r="K775" s="6"/>
    </row>
    <row r="776" spans="1:14" ht="15.75">
      <c r="A776" s="5"/>
      <c r="B776" s="5"/>
      <c r="C776" s="6"/>
      <c r="D776" s="6"/>
      <c r="E776" s="6"/>
      <c r="F776" s="6"/>
      <c r="G776" s="6"/>
      <c r="H776" s="6"/>
      <c r="I776" s="6"/>
      <c r="J776" s="6"/>
      <c r="K776" s="6"/>
    </row>
    <row r="777" spans="1:14" ht="15.75">
      <c r="A777" s="5"/>
      <c r="B777" s="9" t="s">
        <v>38</v>
      </c>
      <c r="C777" s="53"/>
      <c r="D777" s="38"/>
      <c r="E777" s="53"/>
      <c r="F777" s="38"/>
      <c r="G777" s="53"/>
      <c r="H777" s="53"/>
      <c r="I777" s="6"/>
      <c r="J777" s="6"/>
      <c r="K777" s="6"/>
    </row>
    <row r="778" spans="1:14" ht="15.75">
      <c r="A778" s="5"/>
      <c r="B778" s="5" t="s">
        <v>32</v>
      </c>
      <c r="C778" s="38">
        <v>160</v>
      </c>
      <c r="D778" s="38">
        <v>2096</v>
      </c>
      <c r="E778" s="38">
        <v>147</v>
      </c>
      <c r="F778" s="38">
        <v>1936</v>
      </c>
      <c r="G778" s="53"/>
      <c r="H778" s="53"/>
      <c r="I778" s="6"/>
      <c r="J778" s="6"/>
      <c r="K778" s="6"/>
    </row>
    <row r="779" spans="1:14" ht="15.75">
      <c r="A779" s="5"/>
      <c r="B779" s="5" t="s">
        <v>33</v>
      </c>
      <c r="C779" s="38">
        <v>177</v>
      </c>
      <c r="D779" s="38">
        <v>2447</v>
      </c>
      <c r="E779" s="38">
        <v>158</v>
      </c>
      <c r="F779" s="38">
        <v>2138</v>
      </c>
      <c r="G779" s="53"/>
      <c r="H779" s="53"/>
      <c r="I779" s="6"/>
      <c r="J779" s="6"/>
      <c r="K779" s="6"/>
    </row>
    <row r="780" spans="1:14" ht="15.75">
      <c r="A780" s="5"/>
      <c r="B780" s="5" t="s">
        <v>18</v>
      </c>
      <c r="C780" s="38">
        <v>252</v>
      </c>
      <c r="D780" s="38">
        <v>2321</v>
      </c>
      <c r="E780" s="38">
        <v>192</v>
      </c>
      <c r="F780" s="38">
        <v>1850</v>
      </c>
      <c r="G780" s="53"/>
      <c r="H780" s="53"/>
      <c r="I780" s="6"/>
      <c r="J780" s="6"/>
      <c r="K780" s="6"/>
    </row>
    <row r="781" spans="1:14" ht="15.75">
      <c r="A781" s="5"/>
      <c r="B781" s="5"/>
      <c r="C781" s="6"/>
      <c r="D781" s="6"/>
      <c r="E781" s="6"/>
      <c r="F781" s="6"/>
      <c r="G781" s="6"/>
      <c r="H781" s="6"/>
      <c r="I781" s="6"/>
      <c r="J781" s="6"/>
      <c r="K781" s="6"/>
    </row>
    <row r="782" spans="1:14" ht="15.75">
      <c r="A782" s="5"/>
      <c r="B782" s="9" t="s">
        <v>39</v>
      </c>
      <c r="C782" s="53"/>
      <c r="D782" s="38"/>
      <c r="E782" s="53"/>
      <c r="F782" s="38"/>
      <c r="G782" s="6"/>
      <c r="H782" s="6"/>
      <c r="I782" s="6"/>
      <c r="J782" s="6"/>
      <c r="K782" s="6"/>
    </row>
    <row r="783" spans="1:14" ht="15.75">
      <c r="A783" s="5"/>
      <c r="B783" s="5" t="s">
        <v>19</v>
      </c>
      <c r="C783" s="38">
        <v>295</v>
      </c>
      <c r="D783" s="38">
        <v>2477</v>
      </c>
      <c r="E783" s="38">
        <v>208</v>
      </c>
      <c r="F783" s="38">
        <v>2201</v>
      </c>
      <c r="G783" s="6"/>
      <c r="H783" s="6"/>
      <c r="I783" s="6"/>
      <c r="J783" s="6"/>
      <c r="K783" s="6"/>
      <c r="N783" t="s">
        <v>27</v>
      </c>
    </row>
    <row r="784" spans="1:14" ht="15.75">
      <c r="A784" s="5"/>
      <c r="B784" s="5" t="s">
        <v>20</v>
      </c>
      <c r="C784" s="38">
        <v>321</v>
      </c>
      <c r="D784" s="38">
        <v>2663</v>
      </c>
      <c r="E784" s="38">
        <v>233</v>
      </c>
      <c r="F784" s="38">
        <v>2070</v>
      </c>
      <c r="G784" s="6"/>
      <c r="H784" s="6"/>
      <c r="I784" s="6"/>
      <c r="J784" s="6"/>
      <c r="K784" s="6"/>
    </row>
    <row r="785" spans="1:11" ht="15.75">
      <c r="A785" s="5"/>
      <c r="B785" s="5" t="s">
        <v>21</v>
      </c>
      <c r="C785" s="38">
        <v>362</v>
      </c>
      <c r="D785" s="38">
        <v>2740</v>
      </c>
      <c r="E785" s="38">
        <v>248</v>
      </c>
      <c r="F785" s="38">
        <v>2016</v>
      </c>
      <c r="G785" s="6"/>
      <c r="H785" s="6"/>
      <c r="I785" s="6"/>
      <c r="J785" s="6"/>
      <c r="K785" s="6"/>
    </row>
    <row r="786" spans="1:11" ht="15.75">
      <c r="A786" s="4" t="s">
        <v>91</v>
      </c>
      <c r="B786" s="5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22.5">
      <c r="A787" s="5"/>
      <c r="B787" s="5"/>
      <c r="C787" s="60" t="s">
        <v>102</v>
      </c>
      <c r="D787" s="60"/>
      <c r="E787" s="60" t="s">
        <v>103</v>
      </c>
      <c r="F787" s="60"/>
      <c r="G787" s="38"/>
      <c r="H787" s="38"/>
      <c r="I787" s="38"/>
      <c r="J787" s="38"/>
      <c r="K787" s="6"/>
    </row>
    <row r="788" spans="1:11" ht="15.75">
      <c r="A788" s="9" t="s">
        <v>9</v>
      </c>
      <c r="B788" s="9" t="s">
        <v>10</v>
      </c>
      <c r="C788" s="33" t="s">
        <v>86</v>
      </c>
      <c r="D788" s="33" t="s">
        <v>97</v>
      </c>
      <c r="E788" s="33" t="s">
        <v>86</v>
      </c>
      <c r="F788" s="33" t="s">
        <v>97</v>
      </c>
      <c r="G788" s="38"/>
      <c r="H788" s="38"/>
      <c r="I788" s="38"/>
      <c r="J788" s="38"/>
      <c r="K788" s="6"/>
    </row>
    <row r="789" spans="1:11" ht="15.75">
      <c r="A789" s="5"/>
      <c r="B789" s="5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5.75">
      <c r="A790" s="12" t="s">
        <v>27</v>
      </c>
      <c r="B790" s="9" t="s">
        <v>41</v>
      </c>
      <c r="C790" s="53"/>
      <c r="D790" s="38"/>
      <c r="E790" s="53"/>
      <c r="F790" s="38"/>
      <c r="G790" s="6"/>
      <c r="H790" s="6"/>
      <c r="I790" s="6"/>
      <c r="J790" s="6"/>
      <c r="K790" s="6"/>
    </row>
    <row r="791" spans="1:11" ht="15.75">
      <c r="A791" s="12">
        <v>2003</v>
      </c>
      <c r="B791" s="5" t="s">
        <v>23</v>
      </c>
      <c r="C791" s="38">
        <v>263</v>
      </c>
      <c r="D791" s="38">
        <v>2439</v>
      </c>
      <c r="E791" s="38">
        <v>206</v>
      </c>
      <c r="F791" s="38">
        <v>1983</v>
      </c>
      <c r="G791" s="6"/>
      <c r="H791" s="6"/>
      <c r="I791" s="6"/>
      <c r="J791" s="6"/>
      <c r="K791" s="6"/>
    </row>
    <row r="792" spans="1:11" ht="15.75">
      <c r="A792" s="5"/>
      <c r="B792" s="5" t="s">
        <v>24</v>
      </c>
      <c r="C792" s="38">
        <v>292</v>
      </c>
      <c r="D792" s="38">
        <v>2546</v>
      </c>
      <c r="E792" s="38">
        <v>234</v>
      </c>
      <c r="F792" s="38">
        <v>2072</v>
      </c>
      <c r="G792" s="6"/>
      <c r="H792" s="6"/>
      <c r="I792" s="6"/>
      <c r="J792" s="6"/>
      <c r="K792" s="6"/>
    </row>
    <row r="793" spans="1:11" ht="18.75" customHeight="1">
      <c r="A793" s="5"/>
      <c r="B793" s="5" t="s">
        <v>25</v>
      </c>
      <c r="C793" s="38">
        <v>288</v>
      </c>
      <c r="D793" s="38">
        <v>2705</v>
      </c>
      <c r="E793" s="38">
        <v>266</v>
      </c>
      <c r="F793" s="38">
        <v>2201</v>
      </c>
      <c r="G793" s="6"/>
      <c r="H793" s="6"/>
      <c r="I793" s="6"/>
      <c r="J793" s="6"/>
      <c r="K793" s="6"/>
    </row>
    <row r="794" spans="1:11" ht="15.75">
      <c r="A794" s="5"/>
      <c r="B794" s="5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5.75">
      <c r="A795" s="12" t="s">
        <v>27</v>
      </c>
      <c r="B795" s="9" t="s">
        <v>42</v>
      </c>
      <c r="C795" s="53"/>
      <c r="D795" s="38"/>
      <c r="E795" s="53"/>
      <c r="F795" s="38"/>
      <c r="G795" s="6"/>
      <c r="H795" s="6"/>
      <c r="I795" s="6"/>
      <c r="J795" s="6"/>
      <c r="K795" s="6"/>
    </row>
    <row r="796" spans="1:11" ht="15.75">
      <c r="A796" s="5"/>
      <c r="B796" s="5" t="s">
        <v>28</v>
      </c>
      <c r="C796" s="38">
        <v>263</v>
      </c>
      <c r="D796" s="38">
        <v>2531</v>
      </c>
      <c r="E796" s="38">
        <v>221</v>
      </c>
      <c r="F796" s="38">
        <v>2241</v>
      </c>
      <c r="G796" s="6"/>
      <c r="H796" s="6"/>
      <c r="I796" s="6"/>
      <c r="J796" s="6"/>
      <c r="K796" s="6"/>
    </row>
    <row r="797" spans="1:11" ht="15.75">
      <c r="A797" s="5"/>
      <c r="B797" s="5" t="s">
        <v>29</v>
      </c>
      <c r="C797" s="38">
        <v>225</v>
      </c>
      <c r="D797" s="38">
        <v>2437</v>
      </c>
      <c r="E797" s="38">
        <v>210</v>
      </c>
      <c r="F797" s="38">
        <v>2006</v>
      </c>
      <c r="G797" s="6"/>
      <c r="H797" s="6"/>
      <c r="I797" s="6"/>
      <c r="J797" s="6"/>
      <c r="K797" s="6"/>
    </row>
    <row r="798" spans="1:11" ht="15.75">
      <c r="A798" s="5"/>
      <c r="B798" s="5" t="s">
        <v>30</v>
      </c>
      <c r="C798" s="38">
        <v>169</v>
      </c>
      <c r="D798" s="38">
        <v>2219</v>
      </c>
      <c r="E798" s="38">
        <v>166</v>
      </c>
      <c r="F798" s="38">
        <v>1889</v>
      </c>
      <c r="G798" s="6"/>
      <c r="H798" s="6"/>
      <c r="I798" s="6"/>
      <c r="J798" s="6"/>
      <c r="K798" s="6"/>
    </row>
    <row r="799" spans="1:11" ht="15.75">
      <c r="A799" s="5"/>
      <c r="B799" s="5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5.75">
      <c r="A800" s="12" t="s">
        <v>27</v>
      </c>
      <c r="B800" s="9" t="s">
        <v>43</v>
      </c>
      <c r="C800" s="53"/>
      <c r="D800" s="38"/>
      <c r="E800" s="53"/>
      <c r="F800" s="38"/>
      <c r="G800" s="6"/>
      <c r="H800" s="6"/>
      <c r="I800" s="6"/>
      <c r="J800" s="6"/>
      <c r="K800" s="6"/>
    </row>
    <row r="801" spans="1:11" ht="15.75">
      <c r="A801" s="5"/>
      <c r="B801" s="5" t="s">
        <v>32</v>
      </c>
      <c r="C801" s="38">
        <v>179</v>
      </c>
      <c r="D801" s="38">
        <f>2122+7</f>
        <v>2129</v>
      </c>
      <c r="E801" s="38">
        <v>157</v>
      </c>
      <c r="F801" s="38">
        <f>1959+33</f>
        <v>1992</v>
      </c>
      <c r="G801" s="6"/>
      <c r="H801" s="6"/>
      <c r="I801" s="6"/>
      <c r="J801" s="6"/>
      <c r="K801" s="6"/>
    </row>
    <row r="802" spans="1:11" ht="15.75">
      <c r="A802" s="5"/>
      <c r="B802" s="5" t="s">
        <v>33</v>
      </c>
      <c r="C802" s="38">
        <v>208</v>
      </c>
      <c r="D802" s="38">
        <f>2493+15</f>
        <v>2508</v>
      </c>
      <c r="E802" s="38">
        <v>177</v>
      </c>
      <c r="F802" s="38">
        <f>2169+43</f>
        <v>2212</v>
      </c>
      <c r="G802" s="6"/>
      <c r="H802" s="6"/>
      <c r="I802" s="6"/>
      <c r="J802" s="6"/>
      <c r="K802" s="6"/>
    </row>
    <row r="803" spans="1:11" ht="15.75">
      <c r="A803" s="5"/>
      <c r="B803" s="5" t="s">
        <v>18</v>
      </c>
      <c r="C803" s="38">
        <v>359</v>
      </c>
      <c r="D803" s="38">
        <f>2914+10</f>
        <v>2924</v>
      </c>
      <c r="E803" s="38">
        <v>238</v>
      </c>
      <c r="F803" s="38">
        <f>2327+25</f>
        <v>2352</v>
      </c>
      <c r="G803" s="6"/>
      <c r="H803" s="6"/>
      <c r="I803" s="6"/>
      <c r="J803" s="6"/>
      <c r="K803" s="6"/>
    </row>
    <row r="804" spans="1:11" ht="15.75">
      <c r="A804" s="5"/>
      <c r="B804" s="5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5.75">
      <c r="A805" s="12" t="s">
        <v>27</v>
      </c>
      <c r="B805" s="9" t="s">
        <v>44</v>
      </c>
      <c r="C805" s="53"/>
      <c r="D805" s="38"/>
      <c r="E805" s="53"/>
      <c r="F805" s="38"/>
      <c r="G805" s="6"/>
      <c r="H805" s="6"/>
      <c r="I805" s="6"/>
      <c r="J805" s="6"/>
      <c r="K805" s="6"/>
    </row>
    <row r="806" spans="1:11" ht="15.75">
      <c r="A806" s="5"/>
      <c r="B806" s="5" t="s">
        <v>19</v>
      </c>
      <c r="C806" s="38">
        <v>298</v>
      </c>
      <c r="D806" s="38">
        <f>2430</f>
        <v>2430</v>
      </c>
      <c r="E806" s="38">
        <v>197</v>
      </c>
      <c r="F806" s="38">
        <f>2046</f>
        <v>2046</v>
      </c>
      <c r="G806" s="6"/>
      <c r="H806" s="6"/>
      <c r="I806" s="6"/>
      <c r="J806" s="6"/>
      <c r="K806" s="6"/>
    </row>
    <row r="807" spans="1:11" ht="15.75">
      <c r="A807" s="5"/>
      <c r="B807" s="5" t="s">
        <v>20</v>
      </c>
      <c r="C807" s="38">
        <v>271</v>
      </c>
      <c r="D807" s="38">
        <f>2749</f>
        <v>2749</v>
      </c>
      <c r="E807" s="38">
        <v>191</v>
      </c>
      <c r="F807" s="38">
        <f>2098</f>
        <v>2098</v>
      </c>
      <c r="G807" s="6"/>
      <c r="H807" s="6"/>
      <c r="I807" s="6"/>
      <c r="J807" s="6"/>
      <c r="K807" s="6"/>
    </row>
    <row r="808" spans="1:11" ht="15.75">
      <c r="A808" s="5"/>
      <c r="B808" s="5" t="s">
        <v>21</v>
      </c>
      <c r="C808" s="38">
        <v>300</v>
      </c>
      <c r="D808" s="38">
        <f>2833</f>
        <v>2833</v>
      </c>
      <c r="E808" s="38">
        <v>212</v>
      </c>
      <c r="F808" s="38">
        <f>2019</f>
        <v>2019</v>
      </c>
      <c r="G808" s="6"/>
      <c r="H808" s="6"/>
      <c r="I808" s="6"/>
      <c r="J808" s="6"/>
      <c r="K808" s="6"/>
    </row>
    <row r="809" spans="1:11" ht="15.75">
      <c r="A809" s="12" t="s">
        <v>27</v>
      </c>
      <c r="B809" s="9" t="s">
        <v>45</v>
      </c>
      <c r="C809" s="53"/>
      <c r="D809" s="38"/>
      <c r="E809" s="53"/>
      <c r="F809" s="38"/>
      <c r="G809" s="6"/>
      <c r="H809" s="6"/>
      <c r="I809" s="6"/>
      <c r="J809" s="6"/>
      <c r="K809" s="6"/>
    </row>
    <row r="810" spans="1:11" ht="15.75">
      <c r="A810" s="12">
        <v>2004</v>
      </c>
      <c r="B810" s="5" t="s">
        <v>23</v>
      </c>
      <c r="C810" s="38">
        <v>347</v>
      </c>
      <c r="D810" s="38">
        <f>3030</f>
        <v>3030</v>
      </c>
      <c r="E810" s="38">
        <v>249</v>
      </c>
      <c r="F810" s="38">
        <f>2112</f>
        <v>2112</v>
      </c>
      <c r="G810" s="6"/>
      <c r="H810" s="6"/>
      <c r="I810" s="6"/>
      <c r="J810" s="6"/>
      <c r="K810" s="6"/>
    </row>
    <row r="811" spans="1:11" ht="15.75">
      <c r="A811" s="5"/>
      <c r="B811" s="5" t="s">
        <v>24</v>
      </c>
      <c r="C811" s="38">
        <v>283</v>
      </c>
      <c r="D811" s="38">
        <f>2992</f>
        <v>2992</v>
      </c>
      <c r="E811" s="38">
        <v>289</v>
      </c>
      <c r="F811" s="38">
        <f>2618</f>
        <v>2618</v>
      </c>
      <c r="G811" s="6"/>
      <c r="H811" s="6"/>
      <c r="I811" s="6"/>
      <c r="J811" s="6"/>
      <c r="K811" s="6"/>
    </row>
    <row r="812" spans="1:11" ht="15.75">
      <c r="A812" s="5"/>
      <c r="B812" s="5" t="s">
        <v>25</v>
      </c>
      <c r="C812" s="38">
        <v>246</v>
      </c>
      <c r="D812" s="38">
        <f>2867</f>
        <v>2867</v>
      </c>
      <c r="E812" s="38">
        <v>244</v>
      </c>
      <c r="F812" s="38">
        <v>2643</v>
      </c>
      <c r="G812" s="6"/>
      <c r="H812" s="6"/>
      <c r="I812" s="6"/>
      <c r="J812" s="6"/>
      <c r="K812" s="6"/>
    </row>
    <row r="813" spans="1:11" ht="15.75">
      <c r="A813" s="5"/>
      <c r="B813" s="5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5.75">
      <c r="A814" s="12" t="s">
        <v>27</v>
      </c>
      <c r="B814" s="9" t="s">
        <v>46</v>
      </c>
      <c r="C814" s="53"/>
      <c r="D814" s="38"/>
      <c r="E814" s="53"/>
      <c r="F814" s="38"/>
      <c r="G814" s="6"/>
      <c r="H814" s="6"/>
      <c r="I814" s="6"/>
      <c r="J814" s="6"/>
      <c r="K814" s="6"/>
    </row>
    <row r="815" spans="1:11" ht="15.75">
      <c r="A815" s="5"/>
      <c r="B815" s="5" t="s">
        <v>28</v>
      </c>
      <c r="C815" s="38">
        <v>293</v>
      </c>
      <c r="D815" s="38">
        <f>2899+3+10</f>
        <v>2912</v>
      </c>
      <c r="E815" s="38">
        <v>267</v>
      </c>
      <c r="F815" s="38">
        <f>2344+14</f>
        <v>2358</v>
      </c>
      <c r="G815" s="6"/>
      <c r="H815" s="6"/>
      <c r="I815" s="6"/>
      <c r="J815" s="6"/>
      <c r="K815" s="6"/>
    </row>
    <row r="816" spans="1:11" ht="15.75">
      <c r="A816" s="5"/>
      <c r="B816" s="5" t="s">
        <v>29</v>
      </c>
      <c r="C816" s="38">
        <v>256</v>
      </c>
      <c r="D816" s="38">
        <f>2487+1+8</f>
        <v>2496</v>
      </c>
      <c r="E816" s="38">
        <v>221</v>
      </c>
      <c r="F816" s="38">
        <f>2068+21</f>
        <v>2089</v>
      </c>
      <c r="G816" s="6"/>
      <c r="H816" s="6"/>
      <c r="I816" s="6"/>
      <c r="J816" s="6"/>
      <c r="K816" s="6"/>
    </row>
    <row r="817" spans="1:11" ht="15.75">
      <c r="A817" s="5"/>
      <c r="B817" s="5" t="s">
        <v>30</v>
      </c>
      <c r="C817" s="38">
        <v>232</v>
      </c>
      <c r="D817" s="38">
        <f>2290+1+1+9</f>
        <v>2301</v>
      </c>
      <c r="E817" s="38">
        <v>231</v>
      </c>
      <c r="F817" s="38">
        <f>1954+1+20</f>
        <v>1975</v>
      </c>
      <c r="G817" s="6"/>
      <c r="H817" s="6"/>
      <c r="I817" s="6"/>
      <c r="J817" s="6"/>
      <c r="K817" s="6"/>
    </row>
    <row r="818" spans="1:11" ht="15.75">
      <c r="A818" s="5"/>
      <c r="B818" s="5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5.75">
      <c r="A819" s="12" t="s">
        <v>27</v>
      </c>
      <c r="B819" s="9" t="s">
        <v>47</v>
      </c>
      <c r="C819" s="53"/>
      <c r="D819" s="38"/>
      <c r="E819" s="53"/>
      <c r="F819" s="38"/>
      <c r="G819" s="6"/>
      <c r="H819" s="6"/>
      <c r="I819" s="6"/>
      <c r="J819" s="6"/>
      <c r="K819" s="6"/>
    </row>
    <row r="820" spans="1:11" ht="15.75">
      <c r="A820" s="5"/>
      <c r="B820" s="5" t="s">
        <v>32</v>
      </c>
      <c r="C820" s="38">
        <v>173</v>
      </c>
      <c r="D820" s="38">
        <f>2002+6</f>
        <v>2008</v>
      </c>
      <c r="E820" s="38">
        <v>176</v>
      </c>
      <c r="F820" s="38">
        <f>1840+19</f>
        <v>1859</v>
      </c>
      <c r="G820" s="6"/>
      <c r="H820" s="6"/>
      <c r="I820" s="6"/>
      <c r="J820" s="6"/>
      <c r="K820" s="6"/>
    </row>
    <row r="821" spans="1:11" ht="15.75">
      <c r="A821" s="5"/>
      <c r="B821" s="5" t="s">
        <v>33</v>
      </c>
      <c r="C821" s="38">
        <v>261</v>
      </c>
      <c r="D821" s="38">
        <f>2546+18</f>
        <v>2564</v>
      </c>
      <c r="E821" s="38">
        <v>265</v>
      </c>
      <c r="F821" s="38">
        <f>2210+1+33</f>
        <v>2244</v>
      </c>
      <c r="G821" s="6"/>
      <c r="H821" s="6"/>
      <c r="I821" s="6"/>
      <c r="J821" s="6"/>
      <c r="K821" s="6"/>
    </row>
    <row r="822" spans="1:11" ht="15.75">
      <c r="A822" s="5"/>
      <c r="B822" s="5" t="s">
        <v>18</v>
      </c>
      <c r="C822" s="38">
        <v>263</v>
      </c>
      <c r="D822" s="38">
        <f>2577+12</f>
        <v>2589</v>
      </c>
      <c r="E822" s="38">
        <v>227</v>
      </c>
      <c r="F822" s="38">
        <f>2045+18</f>
        <v>2063</v>
      </c>
      <c r="G822" s="6"/>
      <c r="H822" s="6"/>
      <c r="I822" s="6"/>
      <c r="J822" s="6"/>
      <c r="K822" s="6"/>
    </row>
    <row r="823" spans="1:11" ht="15.75">
      <c r="A823" s="5"/>
      <c r="B823" s="5"/>
      <c r="C823" s="38"/>
      <c r="D823" s="38"/>
      <c r="E823" s="38"/>
      <c r="F823" s="38"/>
      <c r="G823" s="6"/>
      <c r="H823" s="6"/>
      <c r="I823" s="6"/>
      <c r="J823" s="6"/>
      <c r="K823" s="6"/>
    </row>
    <row r="824" spans="1:11" ht="15.75">
      <c r="A824" s="12" t="s">
        <v>27</v>
      </c>
      <c r="B824" s="9" t="s">
        <v>48</v>
      </c>
      <c r="C824" s="53"/>
      <c r="D824" s="38"/>
      <c r="E824" s="53"/>
      <c r="F824" s="38"/>
      <c r="G824" s="6"/>
      <c r="H824" s="6"/>
      <c r="I824" s="6"/>
      <c r="J824" s="6"/>
      <c r="K824" s="6"/>
    </row>
    <row r="825" spans="1:11" ht="15.75">
      <c r="A825" s="5"/>
      <c r="B825" s="5" t="s">
        <v>19</v>
      </c>
      <c r="C825" s="38">
        <v>287</v>
      </c>
      <c r="D825" s="38">
        <v>2412</v>
      </c>
      <c r="E825" s="38">
        <v>250</v>
      </c>
      <c r="F825" s="38">
        <v>1908</v>
      </c>
      <c r="G825" s="6"/>
      <c r="H825" s="6"/>
      <c r="I825" s="6"/>
      <c r="J825" s="6"/>
      <c r="K825" s="6"/>
    </row>
    <row r="826" spans="1:11" ht="15.75">
      <c r="A826" s="5"/>
      <c r="B826" s="5" t="s">
        <v>20</v>
      </c>
      <c r="C826" s="38">
        <v>409</v>
      </c>
      <c r="D826" s="38">
        <v>2790</v>
      </c>
      <c r="E826" s="38">
        <v>334</v>
      </c>
      <c r="F826" s="38">
        <v>2400</v>
      </c>
      <c r="G826" s="6"/>
      <c r="H826" s="6"/>
      <c r="I826" s="6"/>
      <c r="J826" s="6"/>
      <c r="K826" s="6"/>
    </row>
    <row r="827" spans="1:11" ht="15.75">
      <c r="A827" s="5"/>
      <c r="B827" s="5" t="s">
        <v>21</v>
      </c>
      <c r="C827" s="38">
        <v>343</v>
      </c>
      <c r="D827" s="38">
        <v>2596</v>
      </c>
      <c r="E827" s="38">
        <v>266</v>
      </c>
      <c r="F827" s="38">
        <v>2124</v>
      </c>
      <c r="G827" s="6"/>
      <c r="H827" s="6"/>
      <c r="I827" s="6"/>
      <c r="J827" s="6"/>
      <c r="K827" s="6"/>
    </row>
    <row r="828" spans="1:11" ht="15.75">
      <c r="A828" s="5"/>
      <c r="B828" s="5"/>
      <c r="C828" s="38"/>
      <c r="D828" s="38"/>
      <c r="E828" s="38"/>
      <c r="F828" s="38"/>
      <c r="G828" s="6"/>
      <c r="H828" s="6"/>
      <c r="I828" s="6"/>
      <c r="J828" s="6"/>
      <c r="K828" s="6"/>
    </row>
    <row r="829" spans="1:11" ht="15.75">
      <c r="A829" s="12" t="s">
        <v>27</v>
      </c>
      <c r="B829" s="9" t="s">
        <v>49</v>
      </c>
      <c r="C829" s="53"/>
      <c r="D829" s="38"/>
      <c r="E829" s="53"/>
      <c r="F829" s="38"/>
      <c r="G829" s="6"/>
      <c r="H829" s="6"/>
      <c r="I829" s="6"/>
      <c r="J829" s="6"/>
      <c r="K829" s="6"/>
    </row>
    <row r="830" spans="1:11" ht="15.75">
      <c r="A830" s="12">
        <v>2005</v>
      </c>
      <c r="B830" s="5" t="s">
        <v>23</v>
      </c>
      <c r="C830" s="38">
        <v>277</v>
      </c>
      <c r="D830" s="38">
        <v>2483</v>
      </c>
      <c r="E830" s="38">
        <v>258</v>
      </c>
      <c r="F830" s="38">
        <v>1977</v>
      </c>
      <c r="G830" s="6"/>
      <c r="H830" s="6"/>
      <c r="I830" s="6"/>
      <c r="J830" s="6"/>
      <c r="K830" s="6"/>
    </row>
    <row r="831" spans="1:11" ht="15.75">
      <c r="A831" s="5"/>
      <c r="B831" s="5" t="s">
        <v>24</v>
      </c>
      <c r="C831" s="38">
        <v>281</v>
      </c>
      <c r="D831" s="38">
        <v>2895</v>
      </c>
      <c r="E831" s="38">
        <v>317</v>
      </c>
      <c r="F831" s="38">
        <v>2405</v>
      </c>
      <c r="G831" s="6"/>
      <c r="H831" s="6"/>
      <c r="I831" s="6"/>
      <c r="J831" s="6"/>
      <c r="K831" s="6"/>
    </row>
    <row r="832" spans="1:11" ht="15.75">
      <c r="A832" s="5"/>
      <c r="B832" s="5" t="s">
        <v>25</v>
      </c>
      <c r="C832" s="38">
        <v>250</v>
      </c>
      <c r="D832" s="38">
        <v>2926</v>
      </c>
      <c r="E832" s="38">
        <v>276</v>
      </c>
      <c r="F832" s="38">
        <v>2481</v>
      </c>
      <c r="G832" s="6"/>
      <c r="H832" s="6"/>
      <c r="I832" s="6"/>
      <c r="J832" s="6"/>
      <c r="K832" s="6"/>
    </row>
    <row r="833" spans="1:11" ht="15.75">
      <c r="A833" s="5"/>
      <c r="B833" s="5"/>
      <c r="C833" s="38"/>
      <c r="D833" s="38"/>
      <c r="E833" s="38"/>
      <c r="F833" s="38"/>
      <c r="G833" s="6"/>
      <c r="H833" s="6"/>
      <c r="I833" s="6"/>
      <c r="J833" s="6"/>
      <c r="K833" s="6"/>
    </row>
    <row r="834" spans="1:11" ht="15.75">
      <c r="A834" s="12" t="s">
        <v>27</v>
      </c>
      <c r="B834" s="9" t="s">
        <v>50</v>
      </c>
      <c r="C834" s="53"/>
      <c r="D834" s="38"/>
      <c r="E834" s="53"/>
      <c r="F834" s="38"/>
      <c r="G834" s="6"/>
      <c r="H834" s="6"/>
      <c r="I834" s="6"/>
      <c r="J834" s="6"/>
      <c r="K834" s="6"/>
    </row>
    <row r="835" spans="1:11" ht="15.75">
      <c r="A835" s="5"/>
      <c r="B835" s="5" t="s">
        <v>28</v>
      </c>
      <c r="C835" s="38">
        <v>194</v>
      </c>
      <c r="D835" s="38">
        <f>2580+10</f>
        <v>2590</v>
      </c>
      <c r="E835" s="38">
        <v>231</v>
      </c>
      <c r="F835" s="38">
        <f>2461+13</f>
        <v>2474</v>
      </c>
      <c r="G835" s="6"/>
      <c r="H835" s="6"/>
      <c r="I835" s="6"/>
      <c r="J835" s="6"/>
      <c r="K835" s="6"/>
    </row>
    <row r="836" spans="1:11" ht="15.75">
      <c r="A836" s="5"/>
      <c r="B836" s="5" t="s">
        <v>29</v>
      </c>
      <c r="C836" s="38">
        <v>167</v>
      </c>
      <c r="D836" s="38">
        <f>2223+7</f>
        <v>2230</v>
      </c>
      <c r="E836" s="38">
        <v>202</v>
      </c>
      <c r="F836" s="38">
        <f>2115+15</f>
        <v>2130</v>
      </c>
      <c r="G836" s="6"/>
      <c r="H836" s="6"/>
      <c r="I836" s="6"/>
      <c r="J836" s="6"/>
      <c r="K836" s="6"/>
    </row>
    <row r="837" spans="1:11" ht="15.75">
      <c r="A837" s="5"/>
      <c r="B837" s="5" t="s">
        <v>30</v>
      </c>
      <c r="C837" s="38">
        <v>153</v>
      </c>
      <c r="D837" s="38">
        <f>2101+11</f>
        <v>2112</v>
      </c>
      <c r="E837" s="38">
        <v>179</v>
      </c>
      <c r="F837" s="38">
        <f>1885+14</f>
        <v>1899</v>
      </c>
      <c r="G837" s="6"/>
      <c r="H837" s="6"/>
      <c r="I837" s="6"/>
      <c r="J837" s="6"/>
      <c r="K837" s="6"/>
    </row>
    <row r="838" spans="1:11" ht="15.75">
      <c r="A838" s="5"/>
      <c r="B838" s="5"/>
      <c r="C838" s="38"/>
      <c r="D838" s="38"/>
      <c r="E838" s="38"/>
      <c r="F838" s="38"/>
      <c r="G838" s="6"/>
      <c r="H838" s="6"/>
      <c r="I838" s="6"/>
      <c r="J838" s="6"/>
      <c r="K838" s="6"/>
    </row>
    <row r="839" spans="1:11" ht="15.75">
      <c r="A839" s="12" t="s">
        <v>27</v>
      </c>
      <c r="B839" s="9" t="s">
        <v>51</v>
      </c>
      <c r="C839" s="53"/>
      <c r="D839" s="38"/>
      <c r="E839" s="53"/>
      <c r="F839" s="38"/>
      <c r="G839" s="6"/>
      <c r="H839" s="6"/>
      <c r="I839" s="6"/>
      <c r="J839" s="6"/>
      <c r="K839" s="6"/>
    </row>
    <row r="840" spans="1:11" ht="15.75">
      <c r="A840" s="5"/>
      <c r="B840" s="5" t="s">
        <v>32</v>
      </c>
      <c r="C840" s="38">
        <v>140</v>
      </c>
      <c r="D840" s="38">
        <v>1961</v>
      </c>
      <c r="E840" s="38">
        <v>153</v>
      </c>
      <c r="F840" s="38">
        <v>1861</v>
      </c>
      <c r="G840" s="6"/>
      <c r="H840" s="6"/>
      <c r="I840" s="6"/>
      <c r="J840" s="6"/>
      <c r="K840" s="6"/>
    </row>
    <row r="841" spans="1:11" ht="15.75">
      <c r="A841" s="5"/>
      <c r="B841" s="5" t="s">
        <v>33</v>
      </c>
      <c r="C841" s="38">
        <v>177</v>
      </c>
      <c r="D841" s="38">
        <v>2588</v>
      </c>
      <c r="E841" s="38">
        <v>201</v>
      </c>
      <c r="F841" s="38">
        <v>2263</v>
      </c>
      <c r="G841" s="6"/>
      <c r="H841" s="6"/>
      <c r="I841" s="6"/>
      <c r="J841" s="6"/>
      <c r="K841" s="6"/>
    </row>
    <row r="842" spans="1:11" ht="15.75">
      <c r="A842" s="5"/>
      <c r="B842" s="5" t="s">
        <v>18</v>
      </c>
      <c r="C842" s="38">
        <v>225</v>
      </c>
      <c r="D842" s="38">
        <v>2517</v>
      </c>
      <c r="E842" s="38">
        <v>218</v>
      </c>
      <c r="F842" s="38">
        <v>2302</v>
      </c>
      <c r="G842" s="6"/>
      <c r="H842" s="6"/>
      <c r="I842" s="6"/>
      <c r="J842" s="6"/>
      <c r="K842" s="6"/>
    </row>
    <row r="843" spans="1:11" ht="15.75">
      <c r="A843" s="5"/>
      <c r="B843" s="5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5.75">
      <c r="A844" s="12" t="s">
        <v>27</v>
      </c>
      <c r="B844" s="9" t="s">
        <v>52</v>
      </c>
      <c r="C844" s="53"/>
      <c r="D844" s="38"/>
      <c r="E844" s="53"/>
      <c r="F844" s="38"/>
      <c r="G844" s="6"/>
      <c r="H844" s="6"/>
      <c r="I844" s="6"/>
      <c r="J844" s="6"/>
      <c r="K844" s="6"/>
    </row>
    <row r="845" spans="1:11" ht="15.75">
      <c r="A845" s="5"/>
      <c r="B845" s="5" t="s">
        <v>19</v>
      </c>
      <c r="C845" s="38">
        <v>257</v>
      </c>
      <c r="D845" s="38">
        <f>2519+3</f>
        <v>2522</v>
      </c>
      <c r="E845" s="38">
        <f>248</f>
        <v>248</v>
      </c>
      <c r="F845" s="38">
        <f>2370+6</f>
        <v>2376</v>
      </c>
      <c r="G845" s="6"/>
      <c r="H845" s="6"/>
      <c r="I845" s="6"/>
      <c r="J845" s="6"/>
      <c r="K845" s="6"/>
    </row>
    <row r="846" spans="1:11" ht="15.75">
      <c r="A846" s="5"/>
      <c r="B846" s="5" t="s">
        <v>20</v>
      </c>
      <c r="C846" s="38">
        <v>274</v>
      </c>
      <c r="D846" s="38">
        <f>3064+1+17</f>
        <v>3082</v>
      </c>
      <c r="E846" s="38">
        <v>248</v>
      </c>
      <c r="F846" s="38">
        <f>2623+1+24</f>
        <v>2648</v>
      </c>
      <c r="G846" s="6"/>
      <c r="H846" s="6"/>
      <c r="I846" s="6"/>
      <c r="J846" s="6"/>
      <c r="K846" s="6"/>
    </row>
    <row r="847" spans="1:11" ht="15.75">
      <c r="A847" s="5"/>
      <c r="B847" s="5" t="s">
        <v>21</v>
      </c>
      <c r="C847" s="38">
        <v>278</v>
      </c>
      <c r="D847" s="38">
        <f>2580+4</f>
        <v>2584</v>
      </c>
      <c r="E847" s="38">
        <v>224</v>
      </c>
      <c r="F847" s="38">
        <f>2003+9</f>
        <v>2012</v>
      </c>
      <c r="G847" s="6"/>
      <c r="H847" s="6"/>
      <c r="I847" s="6"/>
      <c r="J847" s="6"/>
      <c r="K847" s="6"/>
    </row>
    <row r="848" spans="1:11" ht="15.75">
      <c r="A848" s="12" t="s">
        <v>27</v>
      </c>
      <c r="B848" s="9" t="s">
        <v>53</v>
      </c>
      <c r="C848" s="53"/>
      <c r="D848" s="38"/>
      <c r="E848" s="53"/>
      <c r="F848" s="38"/>
      <c r="G848" s="6"/>
      <c r="H848" s="6"/>
      <c r="I848" s="6"/>
      <c r="J848" s="6"/>
      <c r="K848" s="6"/>
    </row>
    <row r="849" spans="1:11" ht="15.75">
      <c r="A849" s="12">
        <v>2006</v>
      </c>
      <c r="B849" s="26" t="s">
        <v>23</v>
      </c>
      <c r="C849" s="54">
        <v>221</v>
      </c>
      <c r="D849" s="54">
        <f>2418+1+4</f>
        <v>2423</v>
      </c>
      <c r="E849" s="54">
        <v>190</v>
      </c>
      <c r="F849" s="54">
        <f>2012+1+8</f>
        <v>2021</v>
      </c>
      <c r="G849" s="6"/>
      <c r="H849" s="6"/>
      <c r="I849" s="6"/>
      <c r="J849" s="6"/>
      <c r="K849" s="6"/>
    </row>
    <row r="850" spans="1:11" ht="15.75">
      <c r="A850" s="5"/>
      <c r="B850" s="26" t="s">
        <v>24</v>
      </c>
      <c r="C850" s="54">
        <v>241</v>
      </c>
      <c r="D850" s="54">
        <f>2458</f>
        <v>2458</v>
      </c>
      <c r="E850" s="54">
        <v>248</v>
      </c>
      <c r="F850" s="54">
        <f>2172+6</f>
        <v>2178</v>
      </c>
      <c r="G850" s="6"/>
      <c r="H850" s="6"/>
      <c r="I850" s="6"/>
      <c r="J850" s="6"/>
      <c r="K850" s="6"/>
    </row>
    <row r="851" spans="1:11" ht="15.75">
      <c r="A851" s="5"/>
      <c r="B851" s="26" t="s">
        <v>25</v>
      </c>
      <c r="C851" s="54">
        <v>197</v>
      </c>
      <c r="D851" s="54">
        <f>2502+4</f>
        <v>2506</v>
      </c>
      <c r="E851" s="54">
        <v>227</v>
      </c>
      <c r="F851" s="54">
        <f>2253+9</f>
        <v>2262</v>
      </c>
      <c r="G851" s="6"/>
      <c r="H851" s="6"/>
      <c r="I851" s="6"/>
      <c r="J851" s="6"/>
      <c r="K851" s="6"/>
    </row>
    <row r="852" spans="1:11" ht="15.75">
      <c r="A852" s="4" t="s">
        <v>91</v>
      </c>
      <c r="B852" s="5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22.5">
      <c r="A853" s="5"/>
      <c r="B853" s="5"/>
      <c r="C853" s="60" t="s">
        <v>102</v>
      </c>
      <c r="D853" s="60"/>
      <c r="E853" s="60" t="s">
        <v>103</v>
      </c>
      <c r="F853" s="60"/>
      <c r="G853" s="38"/>
      <c r="H853" s="38"/>
      <c r="I853" s="38"/>
      <c r="J853" s="38"/>
      <c r="K853" s="6"/>
    </row>
    <row r="854" spans="1:11" ht="15.75">
      <c r="A854" s="9" t="s">
        <v>9</v>
      </c>
      <c r="B854" s="9" t="s">
        <v>10</v>
      </c>
      <c r="C854" s="33" t="s">
        <v>86</v>
      </c>
      <c r="D854" s="33" t="s">
        <v>97</v>
      </c>
      <c r="E854" s="33" t="s">
        <v>86</v>
      </c>
      <c r="F854" s="33" t="s">
        <v>97</v>
      </c>
      <c r="G854" s="38"/>
      <c r="H854" s="38"/>
      <c r="I854" s="38"/>
      <c r="J854" s="38"/>
      <c r="K854" s="6"/>
    </row>
    <row r="855" spans="1:11" ht="15.75">
      <c r="A855" s="5"/>
      <c r="B855" s="5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5.75">
      <c r="A856" s="12" t="s">
        <v>27</v>
      </c>
      <c r="B856" s="9" t="s">
        <v>54</v>
      </c>
      <c r="C856" s="53"/>
      <c r="D856" s="38"/>
      <c r="E856" s="53"/>
      <c r="F856" s="38"/>
      <c r="G856" s="6"/>
      <c r="H856" s="6"/>
      <c r="I856" s="6"/>
      <c r="J856" s="6"/>
      <c r="K856" s="6"/>
    </row>
    <row r="857" spans="1:11" ht="15.75">
      <c r="A857" s="5"/>
      <c r="B857" s="5" t="s">
        <v>28</v>
      </c>
      <c r="C857" s="54">
        <v>173</v>
      </c>
      <c r="D857" s="54">
        <f>2370+1</f>
        <v>2371</v>
      </c>
      <c r="E857" s="54">
        <f>205</f>
        <v>205</v>
      </c>
      <c r="F857" s="54">
        <f>2250+17</f>
        <v>2267</v>
      </c>
      <c r="G857" s="6"/>
      <c r="H857" s="6"/>
      <c r="I857" s="6"/>
      <c r="J857" s="6"/>
      <c r="K857" s="6"/>
    </row>
    <row r="858" spans="1:11" ht="15.75">
      <c r="A858" s="5"/>
      <c r="B858" s="5" t="s">
        <v>29</v>
      </c>
      <c r="C858" s="54">
        <v>174</v>
      </c>
      <c r="D858" s="54">
        <f>2087+1</f>
        <v>2088</v>
      </c>
      <c r="E858" s="54">
        <f>185</f>
        <v>185</v>
      </c>
      <c r="F858" s="54">
        <f>1803+9</f>
        <v>1812</v>
      </c>
      <c r="G858" s="6"/>
      <c r="H858" s="6"/>
      <c r="I858" s="6"/>
      <c r="J858" s="6"/>
      <c r="K858" s="6"/>
    </row>
    <row r="859" spans="1:11" ht="15.75">
      <c r="A859" s="5"/>
      <c r="B859" s="5" t="s">
        <v>30</v>
      </c>
      <c r="C859" s="54">
        <v>144</v>
      </c>
      <c r="D859" s="54">
        <f>1923+3</f>
        <v>1926</v>
      </c>
      <c r="E859" s="54">
        <f>198</f>
        <v>198</v>
      </c>
      <c r="F859" s="54">
        <f>1958+5</f>
        <v>1963</v>
      </c>
      <c r="G859" s="6"/>
      <c r="H859" s="6"/>
      <c r="I859" s="6"/>
      <c r="J859" s="6"/>
      <c r="K859" s="6"/>
    </row>
    <row r="860" spans="1:11" ht="15.75">
      <c r="A860" s="12" t="s">
        <v>27</v>
      </c>
      <c r="B860" s="9" t="s">
        <v>55</v>
      </c>
      <c r="C860" s="53"/>
      <c r="D860" s="38"/>
      <c r="E860" s="53"/>
      <c r="F860" s="38"/>
      <c r="G860" s="6"/>
      <c r="H860" s="6"/>
      <c r="I860" s="6"/>
      <c r="J860" s="6"/>
      <c r="K860" s="6"/>
    </row>
    <row r="861" spans="1:11" ht="15.75">
      <c r="A861" s="5"/>
      <c r="B861" s="5" t="s">
        <v>32</v>
      </c>
      <c r="C861" s="54">
        <v>134</v>
      </c>
      <c r="D861" s="54">
        <v>1814</v>
      </c>
      <c r="E861" s="54">
        <v>178</v>
      </c>
      <c r="F861" s="54">
        <v>2065</v>
      </c>
      <c r="G861" s="6"/>
      <c r="H861" s="6"/>
      <c r="I861" s="6"/>
      <c r="J861" s="6"/>
      <c r="K861" s="6"/>
    </row>
    <row r="862" spans="1:11" ht="15.75">
      <c r="A862" s="5"/>
      <c r="B862" s="5" t="s">
        <v>33</v>
      </c>
      <c r="C862" s="54">
        <v>150</v>
      </c>
      <c r="D862" s="54">
        <v>2213</v>
      </c>
      <c r="E862" s="54">
        <v>207</v>
      </c>
      <c r="F862" s="54">
        <v>2058</v>
      </c>
      <c r="G862" s="6"/>
      <c r="H862" s="6"/>
      <c r="I862" s="6"/>
      <c r="J862" s="6"/>
      <c r="K862" s="6"/>
    </row>
    <row r="863" spans="1:11" ht="15.75">
      <c r="A863" s="5"/>
      <c r="B863" s="5" t="s">
        <v>18</v>
      </c>
      <c r="C863" s="54">
        <v>159</v>
      </c>
      <c r="D863" s="54">
        <v>2102</v>
      </c>
      <c r="E863" s="54">
        <v>186</v>
      </c>
      <c r="F863" s="54">
        <v>1986</v>
      </c>
      <c r="G863" s="6"/>
      <c r="H863" s="6"/>
      <c r="I863" s="6"/>
      <c r="J863" s="6"/>
      <c r="K863" s="6"/>
    </row>
    <row r="864" spans="1:11" ht="15.75">
      <c r="A864" s="5"/>
      <c r="B864" s="5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5.75">
      <c r="A865" s="12" t="s">
        <v>27</v>
      </c>
      <c r="B865" s="9" t="s">
        <v>56</v>
      </c>
      <c r="C865" s="53"/>
      <c r="D865" s="38"/>
      <c r="E865" s="53"/>
      <c r="F865" s="38"/>
      <c r="G865" s="6"/>
      <c r="H865" s="6"/>
      <c r="I865" s="6"/>
      <c r="J865" s="6"/>
      <c r="K865" s="6"/>
    </row>
    <row r="866" spans="1:11" ht="15.75">
      <c r="A866" s="5"/>
      <c r="B866" s="5" t="s">
        <v>19</v>
      </c>
      <c r="C866" s="54">
        <v>226</v>
      </c>
      <c r="D866" s="54">
        <f>2347+3</f>
        <v>2350</v>
      </c>
      <c r="E866" s="54">
        <f>234</f>
        <v>234</v>
      </c>
      <c r="F866" s="54">
        <f>2139+10</f>
        <v>2149</v>
      </c>
      <c r="G866" s="6"/>
      <c r="H866" s="6"/>
      <c r="I866" s="6"/>
      <c r="J866" s="6"/>
      <c r="K866" s="6"/>
    </row>
    <row r="867" spans="1:11" ht="15.75">
      <c r="A867" s="5"/>
      <c r="B867" s="5" t="s">
        <v>20</v>
      </c>
      <c r="C867" s="54">
        <v>195</v>
      </c>
      <c r="D867" s="54">
        <f>2127+2</f>
        <v>2129</v>
      </c>
      <c r="E867" s="54">
        <f>199</f>
        <v>199</v>
      </c>
      <c r="F867" s="54">
        <f>2112+5</f>
        <v>2117</v>
      </c>
      <c r="G867" s="6"/>
      <c r="H867" s="6"/>
      <c r="I867" s="6"/>
      <c r="J867" s="6"/>
      <c r="K867" s="6"/>
    </row>
    <row r="868" spans="1:11" ht="15.75">
      <c r="A868" s="5"/>
      <c r="B868" s="5" t="s">
        <v>21</v>
      </c>
      <c r="C868" s="54">
        <v>249</v>
      </c>
      <c r="D868" s="54">
        <f>2168+1</f>
        <v>2169</v>
      </c>
      <c r="E868" s="54">
        <v>215</v>
      </c>
      <c r="F868" s="54">
        <f>1997+6</f>
        <v>2003</v>
      </c>
      <c r="G868" s="6"/>
      <c r="H868" s="6"/>
      <c r="I868" s="6"/>
      <c r="J868" s="6"/>
      <c r="K868" s="6"/>
    </row>
    <row r="869" spans="1:11" ht="15.75">
      <c r="A869" s="5"/>
      <c r="B869" s="5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5.75">
      <c r="A870" s="12" t="s">
        <v>27</v>
      </c>
      <c r="B870" s="9" t="s">
        <v>57</v>
      </c>
      <c r="C870" s="53"/>
      <c r="D870" s="38"/>
      <c r="E870" s="53"/>
      <c r="F870" s="38"/>
      <c r="G870" s="6"/>
      <c r="H870" s="6"/>
      <c r="I870" s="6"/>
      <c r="J870" s="6"/>
      <c r="K870" s="6"/>
    </row>
    <row r="871" spans="1:11" ht="15.75">
      <c r="A871" s="12">
        <v>2007</v>
      </c>
      <c r="B871" s="26" t="s">
        <v>23</v>
      </c>
      <c r="C871" s="54">
        <v>257</v>
      </c>
      <c r="D871" s="54">
        <v>2272</v>
      </c>
      <c r="E871" s="54">
        <v>236</v>
      </c>
      <c r="F871" s="54">
        <f>1958+5</f>
        <v>1963</v>
      </c>
      <c r="G871" s="6"/>
      <c r="H871" s="6"/>
      <c r="I871" s="6"/>
      <c r="J871" s="6"/>
      <c r="K871" s="6"/>
    </row>
    <row r="872" spans="1:11" ht="15.75">
      <c r="A872" s="5"/>
      <c r="B872" s="26" t="s">
        <v>24</v>
      </c>
      <c r="C872" s="54">
        <v>258</v>
      </c>
      <c r="D872" s="54">
        <f>2329+1+4</f>
        <v>2334</v>
      </c>
      <c r="E872" s="54">
        <v>281</v>
      </c>
      <c r="F872" s="54">
        <f>2088+1+6</f>
        <v>2095</v>
      </c>
      <c r="G872" s="6"/>
      <c r="H872" s="6"/>
      <c r="I872" s="6"/>
      <c r="J872" s="6"/>
      <c r="K872" s="6"/>
    </row>
    <row r="873" spans="1:11" ht="15.75">
      <c r="A873" s="5"/>
      <c r="B873" s="26" t="s">
        <v>25</v>
      </c>
      <c r="C873" s="54">
        <v>238</v>
      </c>
      <c r="D873" s="54">
        <f>2221+3</f>
        <v>2224</v>
      </c>
      <c r="E873" s="54">
        <v>268</v>
      </c>
      <c r="F873" s="54">
        <f>2304+13</f>
        <v>2317</v>
      </c>
      <c r="G873" s="6"/>
      <c r="H873" s="6"/>
      <c r="I873" s="6"/>
      <c r="J873" s="6"/>
      <c r="K873" s="6"/>
    </row>
    <row r="874" spans="1:11" ht="15.75">
      <c r="A874" s="5"/>
      <c r="B874" s="5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5.75">
      <c r="A875" s="12" t="s">
        <v>27</v>
      </c>
      <c r="B875" s="9" t="s">
        <v>58</v>
      </c>
      <c r="C875" s="53"/>
      <c r="D875" s="38"/>
      <c r="E875" s="53"/>
      <c r="F875" s="38"/>
      <c r="G875" s="6"/>
      <c r="H875" s="6"/>
      <c r="I875" s="6"/>
      <c r="J875" s="6"/>
      <c r="K875" s="6"/>
    </row>
    <row r="876" spans="1:11" ht="15.75">
      <c r="A876" s="5"/>
      <c r="B876" s="5" t="s">
        <v>28</v>
      </c>
      <c r="C876" s="54">
        <v>220</v>
      </c>
      <c r="D876" s="54">
        <v>2177</v>
      </c>
      <c r="E876" s="54">
        <v>244</v>
      </c>
      <c r="F876" s="54">
        <v>2172</v>
      </c>
      <c r="G876" s="6"/>
      <c r="H876" s="6"/>
      <c r="I876" s="6"/>
      <c r="J876" s="6"/>
      <c r="K876" s="6"/>
    </row>
    <row r="877" spans="1:11" ht="15.75">
      <c r="A877" s="5"/>
      <c r="B877" s="5" t="s">
        <v>29</v>
      </c>
      <c r="C877" s="54">
        <v>207</v>
      </c>
      <c r="D877" s="54">
        <v>1826</v>
      </c>
      <c r="E877" s="54">
        <v>224</v>
      </c>
      <c r="F877" s="54">
        <v>1874</v>
      </c>
      <c r="G877" s="6"/>
      <c r="H877" s="6"/>
      <c r="I877" s="6"/>
      <c r="J877" s="6"/>
      <c r="K877" s="6"/>
    </row>
    <row r="878" spans="1:11" ht="15.75">
      <c r="A878" s="5"/>
      <c r="B878" s="5" t="s">
        <v>30</v>
      </c>
      <c r="C878" s="54">
        <v>172</v>
      </c>
      <c r="D878" s="54">
        <v>2020</v>
      </c>
      <c r="E878" s="54">
        <v>222</v>
      </c>
      <c r="F878" s="54">
        <v>1915</v>
      </c>
      <c r="G878" s="6"/>
      <c r="H878" s="6"/>
      <c r="I878" s="6"/>
      <c r="J878" s="6"/>
      <c r="K878" s="6"/>
    </row>
    <row r="879" spans="1:11" ht="15.75">
      <c r="A879" s="5"/>
      <c r="B879" s="5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5.75">
      <c r="A880" s="12" t="s">
        <v>27</v>
      </c>
      <c r="B880" s="9" t="s">
        <v>59</v>
      </c>
      <c r="C880" s="53"/>
      <c r="D880" s="38"/>
      <c r="E880" s="53"/>
      <c r="F880" s="38"/>
      <c r="G880" s="6"/>
      <c r="H880" s="6"/>
      <c r="I880" s="6"/>
      <c r="J880" s="6"/>
      <c r="K880" s="6"/>
    </row>
    <row r="881" spans="1:11" ht="15.75">
      <c r="A881" s="5"/>
      <c r="B881" s="5" t="s">
        <v>32</v>
      </c>
      <c r="C881" s="54">
        <v>150</v>
      </c>
      <c r="D881" s="54">
        <f>1946+4</f>
        <v>1950</v>
      </c>
      <c r="E881" s="54">
        <v>180</v>
      </c>
      <c r="F881" s="54">
        <f>1823+5</f>
        <v>1828</v>
      </c>
      <c r="G881" s="6"/>
      <c r="H881" s="6"/>
      <c r="I881" s="6"/>
      <c r="J881" s="6"/>
      <c r="K881" s="6"/>
    </row>
    <row r="882" spans="1:11" ht="15.75">
      <c r="A882" s="5"/>
      <c r="B882" s="5" t="s">
        <v>33</v>
      </c>
      <c r="C882" s="54">
        <v>206</v>
      </c>
      <c r="D882" s="54">
        <f>2290+3</f>
        <v>2293</v>
      </c>
      <c r="E882" s="54">
        <v>203</v>
      </c>
      <c r="F882" s="54">
        <f>2006+7</f>
        <v>2013</v>
      </c>
      <c r="G882" s="6"/>
      <c r="H882" s="6"/>
      <c r="I882" s="6"/>
      <c r="J882" s="6"/>
      <c r="K882" s="6"/>
    </row>
    <row r="883" spans="1:11" ht="15.75">
      <c r="A883" s="5"/>
      <c r="B883" s="5" t="s">
        <v>18</v>
      </c>
      <c r="C883" s="54">
        <v>234</v>
      </c>
      <c r="D883" s="54">
        <f>2182+4</f>
        <v>2186</v>
      </c>
      <c r="E883" s="54">
        <v>202</v>
      </c>
      <c r="F883" s="54">
        <f>1956+4</f>
        <v>1960</v>
      </c>
      <c r="G883" s="6"/>
      <c r="H883" s="6"/>
      <c r="I883" s="6"/>
      <c r="J883" s="6"/>
      <c r="K883" s="6"/>
    </row>
    <row r="884" spans="1:11" ht="15.75">
      <c r="A884" s="5"/>
      <c r="B884" s="5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5.75">
      <c r="A885" s="12" t="s">
        <v>27</v>
      </c>
      <c r="B885" s="9" t="s">
        <v>60</v>
      </c>
      <c r="C885" s="53"/>
      <c r="D885" s="38"/>
      <c r="E885" s="53"/>
      <c r="F885" s="38"/>
      <c r="G885" s="6"/>
      <c r="H885" s="6"/>
      <c r="I885" s="6"/>
      <c r="J885" s="6"/>
      <c r="K885" s="6"/>
    </row>
    <row r="886" spans="1:11" ht="15.75">
      <c r="A886" s="5"/>
      <c r="B886" s="5" t="s">
        <v>19</v>
      </c>
      <c r="C886" s="54">
        <v>215</v>
      </c>
      <c r="D886" s="54">
        <f>2132+5</f>
        <v>2137</v>
      </c>
      <c r="E886" s="54">
        <v>199</v>
      </c>
      <c r="F886" s="54">
        <f>1650+8</f>
        <v>1658</v>
      </c>
      <c r="G886" s="6"/>
      <c r="H886" s="6"/>
      <c r="I886" s="6"/>
      <c r="J886" s="6"/>
      <c r="K886" s="6"/>
    </row>
    <row r="887" spans="1:11" ht="15.75">
      <c r="A887" s="5"/>
      <c r="B887" s="5" t="s">
        <v>20</v>
      </c>
      <c r="C887" s="54">
        <v>297</v>
      </c>
      <c r="D887" s="54">
        <f>2520+2</f>
        <v>2522</v>
      </c>
      <c r="E887" s="54">
        <v>223</v>
      </c>
      <c r="F887" s="54">
        <f>2138+8</f>
        <v>2146</v>
      </c>
      <c r="G887" s="6"/>
      <c r="H887" s="6"/>
      <c r="I887" s="6"/>
      <c r="J887" s="6"/>
      <c r="K887" s="6"/>
    </row>
    <row r="888" spans="1:11" ht="15.75">
      <c r="A888" s="5"/>
      <c r="B888" s="5" t="s">
        <v>21</v>
      </c>
      <c r="C888" s="54">
        <v>301</v>
      </c>
      <c r="D888" s="54">
        <f>2336+1</f>
        <v>2337</v>
      </c>
      <c r="E888" s="54">
        <v>240</v>
      </c>
      <c r="F888" s="54">
        <f>1819+1</f>
        <v>1820</v>
      </c>
      <c r="G888" s="6"/>
      <c r="H888" s="6"/>
      <c r="I888" s="6"/>
      <c r="J888" s="6"/>
      <c r="K888" s="6"/>
    </row>
    <row r="889" spans="1:11" ht="15.75">
      <c r="A889" s="5"/>
      <c r="B889" s="5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5.75">
      <c r="A890" s="12" t="s">
        <v>27</v>
      </c>
      <c r="B890" s="9" t="s">
        <v>62</v>
      </c>
      <c r="C890" s="53"/>
      <c r="D890" s="38"/>
      <c r="E890" s="53"/>
      <c r="F890" s="38"/>
      <c r="G890" s="6"/>
      <c r="H890" s="6"/>
      <c r="I890" s="6"/>
      <c r="J890" s="6"/>
      <c r="K890" s="6"/>
    </row>
    <row r="891" spans="1:11" ht="15.75">
      <c r="A891" s="12">
        <v>2008</v>
      </c>
      <c r="B891" s="26" t="s">
        <v>23</v>
      </c>
      <c r="C891" s="54">
        <v>281</v>
      </c>
      <c r="D891" s="54">
        <v>2338</v>
      </c>
      <c r="E891" s="54">
        <v>224</v>
      </c>
      <c r="F891" s="54">
        <v>1874</v>
      </c>
      <c r="G891" s="6"/>
      <c r="H891" s="6"/>
      <c r="I891" s="6"/>
      <c r="J891" s="6"/>
      <c r="K891" s="6"/>
    </row>
    <row r="892" spans="1:11" ht="15.75">
      <c r="A892" s="5"/>
      <c r="B892" s="26" t="s">
        <v>24</v>
      </c>
      <c r="C892" s="54">
        <v>311</v>
      </c>
      <c r="D892" s="54">
        <v>2553</v>
      </c>
      <c r="E892" s="54">
        <v>294</v>
      </c>
      <c r="F892" s="54">
        <v>2130</v>
      </c>
      <c r="G892" s="6"/>
      <c r="H892" s="6"/>
      <c r="I892" s="6"/>
      <c r="J892" s="6"/>
      <c r="K892" s="6"/>
    </row>
    <row r="893" spans="1:11" ht="15.75">
      <c r="A893" s="5"/>
      <c r="B893" s="26" t="s">
        <v>25</v>
      </c>
      <c r="C893" s="54">
        <v>300</v>
      </c>
      <c r="D893" s="54">
        <v>2622</v>
      </c>
      <c r="E893" s="54">
        <v>304</v>
      </c>
      <c r="F893" s="54">
        <v>2347</v>
      </c>
      <c r="G893" s="6"/>
      <c r="H893" s="6"/>
      <c r="I893" s="6"/>
      <c r="J893" s="6"/>
      <c r="K893" s="6"/>
    </row>
    <row r="894" spans="1:11" ht="15.75">
      <c r="A894" s="5"/>
      <c r="B894" s="2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5.75">
      <c r="A895" s="5"/>
      <c r="B895" s="5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5.75">
      <c r="A896" s="12" t="s">
        <v>27</v>
      </c>
      <c r="B896" s="9" t="s">
        <v>63</v>
      </c>
      <c r="C896" s="53"/>
      <c r="D896" s="38"/>
      <c r="E896" s="53"/>
      <c r="F896" s="38"/>
      <c r="G896" s="6"/>
      <c r="H896" s="6"/>
      <c r="I896" s="6"/>
      <c r="J896" s="6"/>
      <c r="K896" s="6"/>
    </row>
    <row r="897" spans="1:11" ht="15.75">
      <c r="A897" s="5"/>
      <c r="B897" s="5" t="s">
        <v>28</v>
      </c>
      <c r="C897" s="54">
        <v>223</v>
      </c>
      <c r="D897" s="54">
        <v>2293</v>
      </c>
      <c r="E897" s="54">
        <v>237</v>
      </c>
      <c r="F897" s="54">
        <v>2011</v>
      </c>
      <c r="G897" s="6"/>
      <c r="H897" s="6"/>
      <c r="I897" s="6"/>
      <c r="J897" s="6"/>
      <c r="K897" s="6"/>
    </row>
    <row r="898" spans="1:11" ht="15.75">
      <c r="A898" s="5"/>
      <c r="B898" s="5" t="s">
        <v>29</v>
      </c>
      <c r="C898" s="54">
        <v>235</v>
      </c>
      <c r="D898" s="54">
        <v>2230</v>
      </c>
      <c r="E898" s="54">
        <v>257</v>
      </c>
      <c r="F898" s="54">
        <v>2161</v>
      </c>
      <c r="G898" s="6"/>
      <c r="H898" s="6"/>
      <c r="I898" s="6"/>
      <c r="J898" s="6"/>
      <c r="K898" s="6"/>
    </row>
    <row r="899" spans="1:11" ht="15.75">
      <c r="A899" s="5"/>
      <c r="B899" s="5" t="s">
        <v>30</v>
      </c>
      <c r="C899" s="54">
        <v>210</v>
      </c>
      <c r="D899" s="54">
        <v>1972</v>
      </c>
      <c r="E899" s="54">
        <v>229</v>
      </c>
      <c r="F899" s="54">
        <v>1941</v>
      </c>
      <c r="G899" s="6"/>
      <c r="H899" s="6"/>
      <c r="I899" s="6"/>
      <c r="J899" s="6"/>
      <c r="K899" s="6"/>
    </row>
    <row r="900" spans="1:11" ht="15.75">
      <c r="A900" s="5"/>
      <c r="B900" s="5"/>
      <c r="C900" s="6"/>
      <c r="D900" s="6"/>
      <c r="E900" s="6"/>
      <c r="F900" s="6"/>
      <c r="G900" s="6"/>
      <c r="H900" s="6"/>
      <c r="I900" s="6"/>
      <c r="J900" s="6"/>
      <c r="K900" s="6"/>
    </row>
    <row r="901" spans="1:11" s="31" customFormat="1" ht="15.75">
      <c r="A901" s="25" t="s">
        <v>27</v>
      </c>
      <c r="B901" s="51" t="s">
        <v>64</v>
      </c>
      <c r="C901" s="55"/>
      <c r="D901" s="54"/>
      <c r="E901" s="55"/>
      <c r="F901" s="54"/>
      <c r="G901" s="27"/>
      <c r="H901" s="27"/>
      <c r="I901" s="27"/>
      <c r="J901" s="27"/>
      <c r="K901" s="27"/>
    </row>
    <row r="902" spans="1:11" s="31" customFormat="1" ht="15.75">
      <c r="A902" s="26"/>
      <c r="B902" s="26" t="s">
        <v>32</v>
      </c>
      <c r="C902" s="54">
        <v>156</v>
      </c>
      <c r="D902" s="54">
        <v>2069</v>
      </c>
      <c r="E902" s="54">
        <v>185</v>
      </c>
      <c r="F902" s="54">
        <v>2123</v>
      </c>
      <c r="G902" s="27"/>
      <c r="H902" s="27"/>
      <c r="I902" s="27"/>
      <c r="J902" s="27"/>
      <c r="K902" s="27"/>
    </row>
    <row r="903" spans="1:11" s="31" customFormat="1" ht="15.75">
      <c r="A903" s="26"/>
      <c r="B903" s="26" t="s">
        <v>33</v>
      </c>
      <c r="C903" s="54">
        <v>203</v>
      </c>
      <c r="D903" s="54">
        <v>2511</v>
      </c>
      <c r="E903" s="54">
        <v>212</v>
      </c>
      <c r="F903" s="54">
        <v>2196</v>
      </c>
      <c r="G903" s="27"/>
      <c r="H903" s="27"/>
      <c r="I903" s="27"/>
      <c r="J903" s="27"/>
      <c r="K903" s="27"/>
    </row>
    <row r="904" spans="1:11" s="31" customFormat="1" ht="15.75">
      <c r="A904" s="26"/>
      <c r="B904" s="26" t="s">
        <v>18</v>
      </c>
      <c r="C904" s="54">
        <v>251</v>
      </c>
      <c r="D904" s="54">
        <v>2740</v>
      </c>
      <c r="E904" s="54">
        <v>242</v>
      </c>
      <c r="F904" s="54">
        <v>2186</v>
      </c>
      <c r="G904" s="27"/>
      <c r="H904" s="27"/>
      <c r="I904" s="27"/>
      <c r="J904" s="27"/>
      <c r="K904" s="27"/>
    </row>
    <row r="905" spans="1:11" ht="15.75">
      <c r="A905" s="5"/>
      <c r="B905" s="5"/>
      <c r="C905" s="6"/>
      <c r="D905" s="6"/>
      <c r="E905" s="6"/>
      <c r="F905" s="6"/>
      <c r="G905" s="6"/>
      <c r="H905" s="6"/>
      <c r="I905" s="6"/>
      <c r="J905" s="6"/>
      <c r="K905" s="6"/>
    </row>
    <row r="906" spans="1:11" s="31" customFormat="1" ht="15.75">
      <c r="A906" s="25" t="s">
        <v>27</v>
      </c>
      <c r="B906" s="51" t="s">
        <v>65</v>
      </c>
      <c r="C906" s="55"/>
      <c r="D906" s="54"/>
      <c r="E906" s="55"/>
      <c r="F906" s="54"/>
      <c r="G906" s="27"/>
      <c r="H906" s="27"/>
      <c r="I906" s="27"/>
      <c r="J906" s="27"/>
      <c r="K906" s="27"/>
    </row>
    <row r="907" spans="1:11" s="31" customFormat="1" ht="15.75">
      <c r="A907" s="26"/>
      <c r="B907" s="5" t="s">
        <v>19</v>
      </c>
      <c r="C907" s="54">
        <v>246</v>
      </c>
      <c r="D907" s="54">
        <f>2662+2</f>
        <v>2664</v>
      </c>
      <c r="E907" s="54">
        <v>226</v>
      </c>
      <c r="F907" s="54">
        <f>2363+6</f>
        <v>2369</v>
      </c>
      <c r="G907" s="27"/>
      <c r="H907" s="27"/>
      <c r="I907" s="27"/>
      <c r="J907" s="27"/>
      <c r="K907" s="27"/>
    </row>
    <row r="908" spans="1:11" s="31" customFormat="1" ht="15.75">
      <c r="A908" s="26"/>
      <c r="B908" s="5" t="s">
        <v>20</v>
      </c>
      <c r="C908" s="54">
        <v>235</v>
      </c>
      <c r="D908" s="54">
        <f>2759+2</f>
        <v>2761</v>
      </c>
      <c r="E908" s="54">
        <v>233</v>
      </c>
      <c r="F908" s="54">
        <f>2691+2</f>
        <v>2693</v>
      </c>
      <c r="G908" s="27"/>
      <c r="H908" s="27"/>
      <c r="I908" s="27"/>
      <c r="J908" s="27"/>
      <c r="K908" s="27"/>
    </row>
    <row r="909" spans="1:11" s="31" customFormat="1" ht="15.75">
      <c r="A909" s="26"/>
      <c r="B909" s="5" t="s">
        <v>21</v>
      </c>
      <c r="C909" s="54">
        <v>300</v>
      </c>
      <c r="D909" s="54">
        <f>2852+1</f>
        <v>2853</v>
      </c>
      <c r="E909" s="54">
        <v>263</v>
      </c>
      <c r="F909" s="54">
        <f>2256+3</f>
        <v>2259</v>
      </c>
      <c r="G909" s="27"/>
      <c r="H909" s="27"/>
      <c r="I909" s="27"/>
      <c r="J909" s="27"/>
      <c r="K909" s="27"/>
    </row>
    <row r="910" spans="1:11" ht="15.75">
      <c r="A910" s="5"/>
      <c r="B910" s="5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5.75">
      <c r="A911" s="4" t="s">
        <v>91</v>
      </c>
      <c r="B911" s="5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22.5">
      <c r="A912" s="5"/>
      <c r="B912" s="5"/>
      <c r="C912" s="60" t="s">
        <v>102</v>
      </c>
      <c r="D912" s="60"/>
      <c r="E912" s="60" t="s">
        <v>103</v>
      </c>
      <c r="F912" s="60"/>
      <c r="G912" s="38"/>
      <c r="H912" s="38"/>
      <c r="I912" s="38"/>
      <c r="J912" s="38"/>
      <c r="K912" s="6"/>
    </row>
    <row r="913" spans="1:11" ht="15.75">
      <c r="A913" s="9" t="s">
        <v>9</v>
      </c>
      <c r="B913" s="9" t="s">
        <v>10</v>
      </c>
      <c r="C913" s="33" t="s">
        <v>86</v>
      </c>
      <c r="D913" s="33" t="s">
        <v>97</v>
      </c>
      <c r="E913" s="33" t="s">
        <v>86</v>
      </c>
      <c r="F913" s="33" t="s">
        <v>97</v>
      </c>
      <c r="G913" s="38"/>
      <c r="H913" s="38"/>
      <c r="I913" s="38"/>
      <c r="J913" s="38"/>
      <c r="K913" s="6"/>
    </row>
    <row r="914" spans="1:11" ht="15.75">
      <c r="A914" s="5"/>
      <c r="B914" s="5"/>
      <c r="C914" s="38"/>
      <c r="D914" s="38"/>
      <c r="E914" s="38"/>
      <c r="F914" s="38"/>
      <c r="G914" s="6"/>
      <c r="H914" s="6"/>
      <c r="I914" s="6"/>
      <c r="J914" s="6"/>
      <c r="K914" s="6"/>
    </row>
    <row r="915" spans="1:11" s="31" customFormat="1" ht="15.75">
      <c r="A915" s="25" t="s">
        <v>27</v>
      </c>
      <c r="B915" s="51" t="s">
        <v>66</v>
      </c>
      <c r="C915" s="55"/>
      <c r="D915" s="54"/>
      <c r="E915" s="55"/>
      <c r="F915" s="54"/>
      <c r="G915" s="27"/>
      <c r="H915" s="27"/>
      <c r="I915" s="27"/>
      <c r="J915" s="27"/>
      <c r="K915" s="27"/>
    </row>
    <row r="916" spans="1:11" s="31" customFormat="1" ht="15.75">
      <c r="A916" s="25">
        <v>2009</v>
      </c>
      <c r="B916" s="26" t="s">
        <v>23</v>
      </c>
      <c r="C916" s="54">
        <v>285</v>
      </c>
      <c r="D916" s="54">
        <f>2847+2</f>
        <v>2849</v>
      </c>
      <c r="E916" s="54">
        <v>306</v>
      </c>
      <c r="F916" s="54">
        <v>2413</v>
      </c>
      <c r="G916" s="27"/>
      <c r="H916" s="27"/>
      <c r="I916" s="27"/>
      <c r="J916" s="27"/>
      <c r="K916" s="27"/>
    </row>
    <row r="917" spans="1:11" s="31" customFormat="1" ht="15.75">
      <c r="A917" s="26"/>
      <c r="B917" s="26" t="s">
        <v>24</v>
      </c>
      <c r="C917" s="54">
        <v>262</v>
      </c>
      <c r="D917" s="54">
        <v>2790</v>
      </c>
      <c r="E917" s="54">
        <v>277</v>
      </c>
      <c r="F917" s="54">
        <v>2454</v>
      </c>
      <c r="G917" s="27"/>
      <c r="H917" s="27"/>
      <c r="I917" s="27"/>
      <c r="J917" s="27"/>
      <c r="K917" s="27"/>
    </row>
    <row r="918" spans="1:11" s="31" customFormat="1" ht="15.75">
      <c r="A918" s="26"/>
      <c r="B918" s="26" t="s">
        <v>25</v>
      </c>
      <c r="C918" s="54">
        <v>334</v>
      </c>
      <c r="D918" s="54">
        <v>3118</v>
      </c>
      <c r="E918" s="54">
        <v>336</v>
      </c>
      <c r="F918" s="54">
        <v>2934</v>
      </c>
      <c r="G918" s="27"/>
      <c r="H918" s="27"/>
      <c r="I918" s="27"/>
      <c r="J918" s="27"/>
      <c r="K918" s="27"/>
    </row>
    <row r="919" spans="1:11" ht="15.75">
      <c r="A919" s="5"/>
      <c r="B919" s="5"/>
      <c r="C919" s="6"/>
      <c r="D919" s="6"/>
      <c r="E919" s="6"/>
      <c r="F919" s="6"/>
      <c r="G919" s="6"/>
      <c r="H919" s="6"/>
      <c r="I919" s="6"/>
      <c r="J919" s="6"/>
      <c r="K919" s="6"/>
    </row>
    <row r="920" spans="1:11" s="31" customFormat="1" ht="15.75">
      <c r="A920" s="25" t="s">
        <v>27</v>
      </c>
      <c r="B920" s="51" t="s">
        <v>67</v>
      </c>
      <c r="C920" s="55"/>
      <c r="D920" s="54"/>
      <c r="E920" s="55"/>
      <c r="F920" s="54"/>
      <c r="G920" s="27"/>
      <c r="H920" s="27"/>
      <c r="I920" s="27"/>
      <c r="J920" s="27"/>
      <c r="K920" s="27"/>
    </row>
    <row r="921" spans="1:11" s="31" customFormat="1" ht="15.75">
      <c r="A921" s="26"/>
      <c r="B921" s="5" t="s">
        <v>28</v>
      </c>
      <c r="C921" s="54">
        <v>289</v>
      </c>
      <c r="D921" s="54">
        <f>2962+6</f>
        <v>2968</v>
      </c>
      <c r="E921" s="54">
        <v>300</v>
      </c>
      <c r="F921" s="54">
        <f>2777+12</f>
        <v>2789</v>
      </c>
      <c r="G921" s="27"/>
      <c r="H921" s="27"/>
      <c r="I921" s="27"/>
      <c r="J921" s="27"/>
      <c r="K921" s="27"/>
    </row>
    <row r="922" spans="1:11" s="31" customFormat="1" ht="15.75">
      <c r="A922" s="26"/>
      <c r="B922" s="5" t="s">
        <v>29</v>
      </c>
      <c r="C922" s="54">
        <v>240</v>
      </c>
      <c r="D922" s="54">
        <f>2830+2</f>
        <v>2832</v>
      </c>
      <c r="E922" s="54">
        <v>260</v>
      </c>
      <c r="F922" s="54">
        <f>2607+10</f>
        <v>2617</v>
      </c>
      <c r="G922" s="27"/>
      <c r="H922" s="27"/>
      <c r="I922" s="27"/>
      <c r="J922" s="27"/>
      <c r="K922" s="27"/>
    </row>
    <row r="923" spans="1:11" s="31" customFormat="1" ht="15.75">
      <c r="A923" s="26"/>
      <c r="B923" s="5" t="s">
        <v>30</v>
      </c>
      <c r="C923" s="54">
        <v>204</v>
      </c>
      <c r="D923" s="54">
        <f>2502+1</f>
        <v>2503</v>
      </c>
      <c r="E923" s="54">
        <v>233</v>
      </c>
      <c r="F923" s="54">
        <f>2364+10</f>
        <v>2374</v>
      </c>
      <c r="G923" s="27"/>
      <c r="H923" s="27"/>
      <c r="I923" s="27"/>
      <c r="J923" s="27"/>
      <c r="K923" s="27"/>
    </row>
    <row r="924" spans="1:11" ht="15.75">
      <c r="A924" s="5"/>
      <c r="B924" s="2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s="31" customFormat="1" ht="15.75">
      <c r="A925" s="25" t="s">
        <v>27</v>
      </c>
      <c r="B925" s="51" t="s">
        <v>68</v>
      </c>
      <c r="C925" s="55"/>
      <c r="D925" s="54"/>
      <c r="E925" s="55"/>
      <c r="F925" s="54"/>
      <c r="G925" s="27"/>
      <c r="H925" s="27"/>
      <c r="I925" s="27"/>
      <c r="J925" s="27"/>
      <c r="K925" s="27"/>
    </row>
    <row r="926" spans="1:11" s="31" customFormat="1" ht="15.75">
      <c r="A926" s="26"/>
      <c r="B926" s="26" t="s">
        <v>32</v>
      </c>
      <c r="C926" s="54">
        <v>163</v>
      </c>
      <c r="D926" s="54">
        <f>2356+4</f>
        <v>2360</v>
      </c>
      <c r="E926" s="54">
        <v>199</v>
      </c>
      <c r="F926" s="54">
        <f>2335+9</f>
        <v>2344</v>
      </c>
      <c r="G926" s="27"/>
      <c r="H926" s="27"/>
      <c r="I926" s="27"/>
      <c r="J926" s="27"/>
      <c r="K926" s="27"/>
    </row>
    <row r="927" spans="1:11" s="31" customFormat="1" ht="15.75">
      <c r="A927" s="26"/>
      <c r="B927" s="26" t="s">
        <v>33</v>
      </c>
      <c r="C927" s="54">
        <v>216</v>
      </c>
      <c r="D927" s="54">
        <f>2812+6</f>
        <v>2818</v>
      </c>
      <c r="E927" s="54">
        <v>240</v>
      </c>
      <c r="F927" s="54">
        <f>2413+7</f>
        <v>2420</v>
      </c>
      <c r="G927" s="27"/>
      <c r="H927" s="27"/>
      <c r="I927" s="27"/>
      <c r="J927" s="27"/>
      <c r="K927" s="27"/>
    </row>
    <row r="928" spans="1:11" s="31" customFormat="1" ht="15.75">
      <c r="A928" s="26"/>
      <c r="B928" s="26" t="s">
        <v>18</v>
      </c>
      <c r="C928" s="54">
        <v>230</v>
      </c>
      <c r="D928" s="54">
        <f>2846+1</f>
        <v>2847</v>
      </c>
      <c r="E928" s="54">
        <v>236</v>
      </c>
      <c r="F928" s="54">
        <f>2584+3</f>
        <v>2587</v>
      </c>
      <c r="G928" s="27"/>
      <c r="H928" s="27"/>
      <c r="I928" s="27"/>
      <c r="J928" s="27"/>
      <c r="K928" s="27"/>
    </row>
    <row r="929" spans="1:11" ht="15.75">
      <c r="A929" s="5"/>
      <c r="B929" s="2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s="31" customFormat="1" ht="15.75">
      <c r="A930" s="25" t="s">
        <v>27</v>
      </c>
      <c r="B930" s="51" t="s">
        <v>69</v>
      </c>
      <c r="C930" s="55"/>
      <c r="D930" s="54"/>
      <c r="E930" s="55"/>
      <c r="F930" s="54"/>
      <c r="G930" s="27"/>
      <c r="H930" s="27"/>
      <c r="I930" s="27"/>
      <c r="J930" s="27"/>
      <c r="K930" s="27"/>
    </row>
    <row r="931" spans="1:11" s="31" customFormat="1" ht="15.75">
      <c r="A931" s="26"/>
      <c r="B931" s="5" t="s">
        <v>19</v>
      </c>
      <c r="C931" s="54">
        <v>271</v>
      </c>
      <c r="D931" s="54">
        <f>2558+1</f>
        <v>2559</v>
      </c>
      <c r="E931" s="54">
        <v>228</v>
      </c>
      <c r="F931" s="54">
        <f>2281+7</f>
        <v>2288</v>
      </c>
      <c r="G931" s="27"/>
      <c r="H931" s="27"/>
      <c r="I931" s="27"/>
      <c r="J931" s="27"/>
      <c r="K931" s="27"/>
    </row>
    <row r="932" spans="1:11" s="31" customFormat="1" ht="15.75">
      <c r="A932" s="26"/>
      <c r="B932" s="5" t="s">
        <v>20</v>
      </c>
      <c r="C932" s="54">
        <v>288</v>
      </c>
      <c r="D932" s="54">
        <f>2900+3</f>
        <v>2903</v>
      </c>
      <c r="E932" s="54">
        <v>273</v>
      </c>
      <c r="F932" s="54">
        <f>2593+4</f>
        <v>2597</v>
      </c>
      <c r="G932" s="27"/>
      <c r="H932" s="27"/>
      <c r="I932" s="27"/>
      <c r="J932" s="27"/>
      <c r="K932" s="27"/>
    </row>
    <row r="933" spans="1:11" s="31" customFormat="1" ht="15.75">
      <c r="A933" s="26"/>
      <c r="B933" s="5" t="s">
        <v>21</v>
      </c>
      <c r="C933" s="54">
        <v>366</v>
      </c>
      <c r="D933" s="54">
        <f>3091+4</f>
        <v>3095</v>
      </c>
      <c r="E933" s="54">
        <v>357</v>
      </c>
      <c r="F933" s="54">
        <f>2549+5</f>
        <v>2554</v>
      </c>
      <c r="G933" s="27"/>
      <c r="H933" s="27"/>
      <c r="I933" s="27"/>
      <c r="J933" s="27"/>
      <c r="K933" s="27"/>
    </row>
    <row r="934" spans="1:11" ht="15.75">
      <c r="A934" s="5"/>
      <c r="B934" s="2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s="31" customFormat="1" ht="15.75">
      <c r="A935" s="25" t="s">
        <v>27</v>
      </c>
      <c r="B935" s="51" t="s">
        <v>70</v>
      </c>
      <c r="C935" s="55"/>
      <c r="D935" s="54"/>
      <c r="E935" s="55"/>
      <c r="F935" s="54"/>
      <c r="G935" s="27"/>
      <c r="H935" s="27"/>
      <c r="I935" s="27"/>
      <c r="J935" s="27"/>
      <c r="K935" s="27"/>
    </row>
    <row r="936" spans="1:11" s="31" customFormat="1" ht="15.75">
      <c r="A936" s="25">
        <v>2010</v>
      </c>
      <c r="B936" s="26" t="s">
        <v>23</v>
      </c>
      <c r="C936" s="54">
        <v>374</v>
      </c>
      <c r="D936" s="54">
        <f>2812+1</f>
        <v>2813</v>
      </c>
      <c r="E936" s="54">
        <v>335</v>
      </c>
      <c r="F936" s="54">
        <f>2366+5</f>
        <v>2371</v>
      </c>
      <c r="G936" s="27"/>
      <c r="H936" s="27"/>
      <c r="I936" s="27"/>
      <c r="J936" s="27"/>
      <c r="K936" s="27"/>
    </row>
    <row r="937" spans="1:11" s="31" customFormat="1" ht="15.75">
      <c r="A937" s="26"/>
      <c r="B937" s="26" t="s">
        <v>24</v>
      </c>
      <c r="C937" s="54">
        <v>348</v>
      </c>
      <c r="D937" s="54">
        <f>2802</f>
        <v>2802</v>
      </c>
      <c r="E937" s="54">
        <v>342</v>
      </c>
      <c r="F937" s="54">
        <f>2614+6</f>
        <v>2620</v>
      </c>
      <c r="G937" s="27"/>
      <c r="H937" s="27"/>
      <c r="I937" s="27"/>
      <c r="J937" s="27"/>
      <c r="K937" s="27"/>
    </row>
    <row r="938" spans="1:11" s="31" customFormat="1" ht="15.75">
      <c r="A938" s="26"/>
      <c r="B938" s="26" t="s">
        <v>25</v>
      </c>
      <c r="C938" s="54">
        <v>365</v>
      </c>
      <c r="D938" s="54">
        <f>2947+4</f>
        <v>2951</v>
      </c>
      <c r="E938" s="54">
        <v>402</v>
      </c>
      <c r="F938" s="54">
        <f>2899+9</f>
        <v>2908</v>
      </c>
      <c r="G938" s="27"/>
      <c r="H938" s="27"/>
      <c r="I938" s="27"/>
      <c r="J938" s="27"/>
      <c r="K938" s="27"/>
    </row>
    <row r="939" spans="1:11" ht="15.75">
      <c r="A939" s="5"/>
      <c r="B939" s="2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s="31" customFormat="1" ht="15.75">
      <c r="A940" s="25" t="s">
        <v>27</v>
      </c>
      <c r="B940" s="51" t="s">
        <v>71</v>
      </c>
      <c r="C940" s="55"/>
      <c r="D940" s="54"/>
      <c r="E940" s="55"/>
      <c r="F940" s="54"/>
      <c r="G940" s="27"/>
      <c r="H940" s="27"/>
      <c r="I940" s="27"/>
      <c r="J940" s="27"/>
      <c r="K940" s="27"/>
    </row>
    <row r="941" spans="1:11" s="31" customFormat="1" ht="15.75">
      <c r="A941" s="26"/>
      <c r="B941" s="5" t="s">
        <v>28</v>
      </c>
      <c r="C941" s="54">
        <v>334</v>
      </c>
      <c r="D941" s="54">
        <v>2807</v>
      </c>
      <c r="E941" s="54">
        <v>356</v>
      </c>
      <c r="F941" s="54">
        <v>2659</v>
      </c>
      <c r="G941" s="27"/>
      <c r="H941" s="27"/>
      <c r="I941" s="27"/>
      <c r="J941" s="27"/>
      <c r="K941" s="27"/>
    </row>
    <row r="942" spans="1:11" s="31" customFormat="1" ht="15.75">
      <c r="A942" s="26"/>
      <c r="B942" s="5" t="s">
        <v>29</v>
      </c>
      <c r="C942" s="54">
        <v>257</v>
      </c>
      <c r="D942" s="54">
        <v>2731</v>
      </c>
      <c r="E942" s="54">
        <v>270</v>
      </c>
      <c r="F942" s="54">
        <v>2441</v>
      </c>
      <c r="G942" s="27"/>
      <c r="H942" s="27"/>
      <c r="I942" s="27"/>
      <c r="J942" s="27"/>
      <c r="K942" s="27"/>
    </row>
    <row r="943" spans="1:11" s="31" customFormat="1" ht="15.75">
      <c r="A943" s="26"/>
      <c r="B943" s="5" t="s">
        <v>30</v>
      </c>
      <c r="C943" s="54">
        <v>248</v>
      </c>
      <c r="D943" s="54">
        <v>2558</v>
      </c>
      <c r="E943" s="54">
        <v>274</v>
      </c>
      <c r="F943" s="54">
        <v>2482</v>
      </c>
      <c r="G943" s="27"/>
      <c r="H943" s="27"/>
      <c r="I943" s="27"/>
      <c r="J943" s="27"/>
      <c r="K943" s="27"/>
    </row>
    <row r="944" spans="1:11" ht="15.75">
      <c r="A944" s="5"/>
      <c r="B944" s="2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s="31" customFormat="1" ht="15.75">
      <c r="A945" s="25" t="s">
        <v>27</v>
      </c>
      <c r="B945" s="51" t="s">
        <v>72</v>
      </c>
      <c r="C945" s="55"/>
      <c r="D945" s="54"/>
      <c r="E945" s="55"/>
      <c r="F945" s="54"/>
      <c r="G945" s="27"/>
      <c r="H945" s="27"/>
      <c r="I945" s="27"/>
      <c r="J945" s="27"/>
      <c r="K945" s="27"/>
    </row>
    <row r="946" spans="1:11" s="31" customFormat="1" ht="15.75">
      <c r="A946" s="26"/>
      <c r="B946" s="26" t="s">
        <v>32</v>
      </c>
      <c r="C946" s="54">
        <v>217</v>
      </c>
      <c r="D946" s="54">
        <v>2425</v>
      </c>
      <c r="E946" s="54">
        <v>237</v>
      </c>
      <c r="F946" s="54">
        <v>2357</v>
      </c>
      <c r="G946" s="27"/>
      <c r="H946" s="27"/>
      <c r="I946" s="27"/>
      <c r="J946" s="27"/>
      <c r="K946" s="27"/>
    </row>
    <row r="947" spans="1:11" s="31" customFormat="1" ht="15.75">
      <c r="A947" s="26"/>
      <c r="B947" s="26" t="s">
        <v>33</v>
      </c>
      <c r="C947" s="54">
        <v>248</v>
      </c>
      <c r="D947" s="54">
        <v>2725</v>
      </c>
      <c r="E947" s="54">
        <v>248</v>
      </c>
      <c r="F947" s="54">
        <v>2395</v>
      </c>
      <c r="G947" s="27"/>
      <c r="H947" s="27"/>
      <c r="I947" s="27"/>
      <c r="J947" s="27"/>
      <c r="K947" s="27"/>
    </row>
    <row r="948" spans="1:11" s="31" customFormat="1" ht="15.75">
      <c r="A948" s="26"/>
      <c r="B948" s="26" t="s">
        <v>18</v>
      </c>
      <c r="C948" s="54">
        <v>267</v>
      </c>
      <c r="D948" s="54">
        <v>2516</v>
      </c>
      <c r="E948" s="54">
        <v>284</v>
      </c>
      <c r="F948" s="54">
        <v>2567</v>
      </c>
      <c r="G948" s="27"/>
      <c r="H948" s="27"/>
      <c r="I948" s="27"/>
      <c r="J948" s="27"/>
      <c r="K948" s="27"/>
    </row>
    <row r="949" spans="1:11" ht="15.75">
      <c r="A949" s="5"/>
      <c r="B949" s="2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s="31" customFormat="1" ht="15.75">
      <c r="A950" s="25" t="s">
        <v>27</v>
      </c>
      <c r="B950" s="51" t="s">
        <v>73</v>
      </c>
      <c r="C950" s="55"/>
      <c r="D950" s="54"/>
      <c r="E950" s="55"/>
      <c r="F950" s="54"/>
      <c r="G950" s="27"/>
      <c r="H950" s="27"/>
      <c r="I950" s="27"/>
      <c r="J950" s="27"/>
      <c r="K950" s="27"/>
    </row>
    <row r="951" spans="1:11" s="31" customFormat="1" ht="15.75">
      <c r="A951" s="26"/>
      <c r="B951" s="5" t="s">
        <v>19</v>
      </c>
      <c r="C951" s="54">
        <v>287</v>
      </c>
      <c r="D951" s="54">
        <v>2379</v>
      </c>
      <c r="E951" s="54">
        <v>262</v>
      </c>
      <c r="F951" s="54">
        <v>2255</v>
      </c>
      <c r="G951" s="27"/>
      <c r="H951" s="27"/>
      <c r="I951" s="27"/>
      <c r="J951" s="27"/>
      <c r="K951" s="27"/>
    </row>
    <row r="952" spans="1:11" s="31" customFormat="1" ht="15.75">
      <c r="A952" s="26"/>
      <c r="B952" s="5" t="s">
        <v>20</v>
      </c>
      <c r="C952" s="54">
        <v>364</v>
      </c>
      <c r="D952" s="54">
        <v>2514</v>
      </c>
      <c r="E952" s="54">
        <v>356</v>
      </c>
      <c r="F952" s="54">
        <v>2502</v>
      </c>
      <c r="G952" s="27"/>
      <c r="H952" s="27"/>
      <c r="I952" s="27"/>
      <c r="J952" s="27"/>
      <c r="K952" s="27"/>
    </row>
    <row r="953" spans="1:11" s="31" customFormat="1" ht="15.75">
      <c r="A953" s="26"/>
      <c r="B953" s="5" t="s">
        <v>21</v>
      </c>
      <c r="C953" s="54">
        <v>403</v>
      </c>
      <c r="D953" s="54">
        <v>2683</v>
      </c>
      <c r="E953" s="54">
        <v>318</v>
      </c>
      <c r="F953" s="54">
        <v>2500</v>
      </c>
      <c r="G953" s="27"/>
      <c r="H953" s="27"/>
      <c r="I953" s="27"/>
      <c r="J953" s="27"/>
      <c r="K953" s="27"/>
    </row>
    <row r="954" spans="1:11" s="31" customFormat="1" ht="15.75">
      <c r="A954" s="26"/>
      <c r="B954" s="5"/>
      <c r="C954" s="54"/>
      <c r="D954" s="54"/>
      <c r="E954" s="54"/>
      <c r="F954" s="54"/>
      <c r="G954" s="27"/>
      <c r="H954" s="27"/>
      <c r="I954" s="27"/>
      <c r="J954" s="27"/>
      <c r="K954" s="27"/>
    </row>
    <row r="955" spans="1:11" s="31" customFormat="1" ht="15.75">
      <c r="A955" s="25" t="s">
        <v>27</v>
      </c>
      <c r="B955" s="51" t="s">
        <v>74</v>
      </c>
      <c r="C955" s="55"/>
      <c r="D955" s="54"/>
      <c r="E955" s="55"/>
      <c r="F955" s="54"/>
      <c r="G955" s="27"/>
      <c r="H955" s="27"/>
      <c r="I955" s="27"/>
      <c r="J955" s="27"/>
      <c r="K955" s="27"/>
    </row>
    <row r="956" spans="1:11" s="31" customFormat="1" ht="15.75">
      <c r="A956" s="25">
        <v>2011</v>
      </c>
      <c r="B956" s="26" t="s">
        <v>23</v>
      </c>
      <c r="C956" s="54">
        <v>426</v>
      </c>
      <c r="D956" s="54">
        <v>2538</v>
      </c>
      <c r="E956" s="54">
        <v>344</v>
      </c>
      <c r="F956" s="54">
        <v>2206</v>
      </c>
      <c r="G956" s="27"/>
      <c r="H956" s="27"/>
      <c r="I956" s="27"/>
      <c r="J956" s="27"/>
      <c r="K956" s="27"/>
    </row>
    <row r="957" spans="1:11" s="31" customFormat="1" ht="15.75">
      <c r="A957" s="26"/>
      <c r="B957" s="26" t="s">
        <v>24</v>
      </c>
      <c r="C957" s="54">
        <v>467</v>
      </c>
      <c r="D957" s="54">
        <v>2697</v>
      </c>
      <c r="E957" s="54">
        <v>437</v>
      </c>
      <c r="F957" s="54">
        <v>2548</v>
      </c>
      <c r="G957" s="27"/>
      <c r="H957" s="27"/>
      <c r="I957" s="27"/>
      <c r="J957" s="27"/>
      <c r="K957" s="27"/>
    </row>
    <row r="958" spans="1:11" s="31" customFormat="1" ht="15.75">
      <c r="A958" s="26"/>
      <c r="B958" s="26" t="s">
        <v>25</v>
      </c>
      <c r="C958" s="54">
        <v>391</v>
      </c>
      <c r="D958" s="54">
        <v>2581</v>
      </c>
      <c r="E958" s="54">
        <v>424</v>
      </c>
      <c r="F958" s="54">
        <v>2742</v>
      </c>
      <c r="G958" s="27"/>
      <c r="H958" s="27"/>
      <c r="I958" s="27"/>
      <c r="J958" s="27"/>
      <c r="K958" s="27"/>
    </row>
    <row r="959" spans="1:11" ht="15.75">
      <c r="A959" s="5"/>
      <c r="B959" s="2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s="31" customFormat="1" ht="15.75">
      <c r="A960" s="25" t="s">
        <v>27</v>
      </c>
      <c r="B960" s="51" t="s">
        <v>75</v>
      </c>
      <c r="C960" s="55"/>
      <c r="D960" s="54"/>
      <c r="E960" s="55"/>
      <c r="F960" s="54"/>
      <c r="G960" s="27"/>
      <c r="H960" s="27"/>
      <c r="I960" s="27"/>
      <c r="J960" s="27"/>
      <c r="K960" s="27"/>
    </row>
    <row r="961" spans="1:11" s="31" customFormat="1" ht="15.75">
      <c r="A961" s="26"/>
      <c r="B961" s="5" t="s">
        <v>28</v>
      </c>
      <c r="C961" s="54">
        <v>423</v>
      </c>
      <c r="D961" s="54">
        <v>2545</v>
      </c>
      <c r="E961" s="54">
        <v>406</v>
      </c>
      <c r="F961" s="54">
        <v>2522</v>
      </c>
      <c r="G961" s="27"/>
      <c r="H961" s="27"/>
      <c r="I961" s="27"/>
      <c r="J961" s="27"/>
      <c r="K961" s="27"/>
    </row>
    <row r="962" spans="1:11" s="31" customFormat="1" ht="15.75">
      <c r="A962" s="26"/>
      <c r="B962" s="5" t="s">
        <v>29</v>
      </c>
      <c r="C962" s="54">
        <v>360</v>
      </c>
      <c r="D962" s="54">
        <v>2561</v>
      </c>
      <c r="E962" s="54">
        <v>393</v>
      </c>
      <c r="F962" s="54">
        <v>2636</v>
      </c>
      <c r="G962" s="27"/>
      <c r="H962" s="27"/>
      <c r="I962" s="27"/>
      <c r="J962" s="27"/>
      <c r="K962" s="27"/>
    </row>
    <row r="963" spans="1:11" s="31" customFormat="1" ht="15.75">
      <c r="A963" s="26"/>
      <c r="B963" s="5" t="s">
        <v>30</v>
      </c>
      <c r="C963" s="54">
        <v>298</v>
      </c>
      <c r="D963" s="54">
        <v>2097</v>
      </c>
      <c r="E963" s="54">
        <v>319</v>
      </c>
      <c r="F963" s="54">
        <v>2138</v>
      </c>
      <c r="G963" s="27"/>
      <c r="H963" s="27"/>
      <c r="I963" s="27"/>
      <c r="J963" s="27"/>
      <c r="K963" s="27"/>
    </row>
    <row r="964" spans="1:11" ht="15.75">
      <c r="A964" s="5"/>
      <c r="B964" s="2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s="31" customFormat="1" ht="15.75">
      <c r="A965" s="25" t="s">
        <v>27</v>
      </c>
      <c r="B965" s="51" t="s">
        <v>76</v>
      </c>
      <c r="C965" s="55"/>
      <c r="D965" s="54"/>
      <c r="E965" s="55"/>
      <c r="F965" s="54"/>
      <c r="G965" s="27"/>
      <c r="H965" s="27"/>
      <c r="I965" s="27"/>
      <c r="J965" s="27"/>
      <c r="K965" s="27"/>
    </row>
    <row r="966" spans="1:11" s="31" customFormat="1" ht="15.75">
      <c r="A966" s="26"/>
      <c r="B966" s="26" t="s">
        <v>32</v>
      </c>
      <c r="C966" s="54">
        <v>298</v>
      </c>
      <c r="D966" s="54">
        <f>2096+4</f>
        <v>2100</v>
      </c>
      <c r="E966" s="54">
        <v>325</v>
      </c>
      <c r="F966" s="54">
        <v>2200</v>
      </c>
      <c r="G966" s="27"/>
      <c r="H966" s="27"/>
      <c r="I966" s="27"/>
      <c r="J966" s="27"/>
      <c r="K966" s="27"/>
    </row>
    <row r="967" spans="1:11" s="31" customFormat="1" ht="15.75">
      <c r="A967" s="26"/>
      <c r="B967" s="26" t="s">
        <v>33</v>
      </c>
      <c r="C967" s="54">
        <v>268</v>
      </c>
      <c r="D967" s="54">
        <f>2395+4</f>
        <v>2399</v>
      </c>
      <c r="E967" s="54">
        <v>311</v>
      </c>
      <c r="F967" s="54">
        <v>2241</v>
      </c>
      <c r="G967" s="27"/>
      <c r="H967" s="27"/>
      <c r="I967" s="27"/>
      <c r="J967" s="27"/>
      <c r="K967" s="27"/>
    </row>
    <row r="968" spans="1:11" s="31" customFormat="1" ht="15.75">
      <c r="A968" s="26"/>
      <c r="B968" s="26" t="s">
        <v>18</v>
      </c>
      <c r="C968" s="54">
        <v>287</v>
      </c>
      <c r="D968" s="54">
        <f>2434+5</f>
        <v>2439</v>
      </c>
      <c r="E968" s="54">
        <v>342</v>
      </c>
      <c r="F968" s="54">
        <v>2434</v>
      </c>
      <c r="G968" s="27"/>
      <c r="H968" s="27"/>
      <c r="I968" s="27"/>
      <c r="J968" s="27"/>
      <c r="K968" s="27"/>
    </row>
    <row r="969" spans="1:11" ht="15.75">
      <c r="A969" s="5"/>
      <c r="B969" s="2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s="31" customFormat="1" ht="15.75">
      <c r="A970" s="25" t="s">
        <v>27</v>
      </c>
      <c r="B970" s="51" t="s">
        <v>77</v>
      </c>
      <c r="C970" s="55"/>
      <c r="D970" s="54"/>
      <c r="E970" s="55"/>
      <c r="F970" s="54"/>
      <c r="G970" s="27"/>
      <c r="H970" s="27"/>
      <c r="I970" s="27"/>
      <c r="J970" s="27"/>
      <c r="K970" s="27"/>
    </row>
    <row r="971" spans="1:11" s="31" customFormat="1" ht="15.75">
      <c r="A971" s="26"/>
      <c r="B971" s="5" t="s">
        <v>19</v>
      </c>
      <c r="C971" s="54">
        <v>327</v>
      </c>
      <c r="D971" s="54">
        <f>2199+7</f>
        <v>2206</v>
      </c>
      <c r="E971" s="54">
        <v>312</v>
      </c>
      <c r="F971" s="54">
        <f>2195+9</f>
        <v>2204</v>
      </c>
      <c r="G971" s="27"/>
      <c r="H971" s="27"/>
      <c r="I971" s="27"/>
      <c r="J971" s="27"/>
      <c r="K971" s="27"/>
    </row>
    <row r="972" spans="1:11" s="31" customFormat="1" ht="15.75">
      <c r="A972" s="26"/>
      <c r="B972" s="5" t="s">
        <v>20</v>
      </c>
      <c r="C972" s="54">
        <v>465</v>
      </c>
      <c r="D972" s="54">
        <f>2488+2</f>
        <v>2490</v>
      </c>
      <c r="E972" s="54">
        <v>370</v>
      </c>
      <c r="F972" s="54">
        <f>2317+3</f>
        <v>2320</v>
      </c>
      <c r="G972" s="27"/>
      <c r="H972" s="27"/>
      <c r="I972" s="27"/>
      <c r="J972" s="27"/>
      <c r="K972" s="27"/>
    </row>
    <row r="973" spans="1:11" s="31" customFormat="1" ht="15.75">
      <c r="A973" s="26"/>
      <c r="B973" s="5" t="s">
        <v>21</v>
      </c>
      <c r="C973" s="54">
        <v>496</v>
      </c>
      <c r="D973" s="54">
        <f>2627+7</f>
        <v>2634</v>
      </c>
      <c r="E973" s="54">
        <v>377</v>
      </c>
      <c r="F973" s="54">
        <f>2334+7</f>
        <v>2341</v>
      </c>
      <c r="G973" s="27"/>
      <c r="H973" s="27"/>
      <c r="I973" s="27"/>
      <c r="J973" s="27"/>
      <c r="K973" s="27"/>
    </row>
    <row r="974" spans="1:11" ht="15.75">
      <c r="A974" s="5"/>
      <c r="B974" s="2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5.75">
      <c r="A975" s="9" t="s">
        <v>104</v>
      </c>
      <c r="B975" s="5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5.75">
      <c r="A976" s="9" t="s">
        <v>27</v>
      </c>
      <c r="B976" s="5"/>
      <c r="C976" s="33"/>
      <c r="D976" s="6"/>
      <c r="E976" s="6"/>
      <c r="F976" s="6"/>
      <c r="G976" s="6"/>
      <c r="H976" s="6"/>
      <c r="I976" s="6"/>
      <c r="J976" s="6"/>
      <c r="K976" s="6"/>
    </row>
    <row r="977" spans="1:15" ht="15.75">
      <c r="A977" s="5"/>
      <c r="B977" s="5"/>
      <c r="C977" s="6"/>
      <c r="D977" s="6"/>
      <c r="E977" s="6"/>
      <c r="F977" s="6"/>
      <c r="G977" s="6"/>
      <c r="H977" s="6"/>
      <c r="I977" s="6"/>
      <c r="J977" s="6"/>
      <c r="K977" s="6"/>
    </row>
    <row r="978" spans="1:15" ht="15">
      <c r="A978" s="56"/>
    </row>
    <row r="979" spans="1:15" ht="27">
      <c r="J979" s="57" t="s">
        <v>105</v>
      </c>
    </row>
    <row r="980" spans="1:15" ht="27">
      <c r="F980" s="58" t="s">
        <v>27</v>
      </c>
      <c r="J980" s="57" t="s">
        <v>106</v>
      </c>
    </row>
    <row r="981" spans="1:15" ht="13.5">
      <c r="J981" s="57"/>
    </row>
    <row r="982" spans="1:15">
      <c r="J982" s="59">
        <v>-20907.385000000002</v>
      </c>
    </row>
    <row r="983" spans="1:15">
      <c r="J983" s="59">
        <v>-98478.189417445828</v>
      </c>
    </row>
    <row r="984" spans="1:15" s="7" customFormat="1">
      <c r="A984"/>
      <c r="B984"/>
      <c r="J984" s="59">
        <v>-180453.4275738438</v>
      </c>
      <c r="L984"/>
      <c r="M984"/>
      <c r="N984"/>
      <c r="O984"/>
    </row>
    <row r="985" spans="1:15" s="7" customFormat="1">
      <c r="A985"/>
      <c r="B985"/>
      <c r="J985" s="59">
        <v>-256138.15985283253</v>
      </c>
      <c r="L985"/>
      <c r="M985"/>
      <c r="N985"/>
      <c r="O985"/>
    </row>
  </sheetData>
  <mergeCells count="62">
    <mergeCell ref="D251:E251"/>
    <mergeCell ref="F251:G251"/>
    <mergeCell ref="H251:I251"/>
    <mergeCell ref="J251:K251"/>
    <mergeCell ref="A1:J1"/>
    <mergeCell ref="A2:J2"/>
    <mergeCell ref="A3:J3"/>
    <mergeCell ref="A4:J4"/>
    <mergeCell ref="H250:K250"/>
    <mergeCell ref="D410:E410"/>
    <mergeCell ref="F410:G410"/>
    <mergeCell ref="H410:I410"/>
    <mergeCell ref="J410:K410"/>
    <mergeCell ref="H304:K304"/>
    <mergeCell ref="D305:E305"/>
    <mergeCell ref="F305:G305"/>
    <mergeCell ref="H305:I305"/>
    <mergeCell ref="J305:K305"/>
    <mergeCell ref="H355:K355"/>
    <mergeCell ref="D356:E356"/>
    <mergeCell ref="F356:G356"/>
    <mergeCell ref="H356:I356"/>
    <mergeCell ref="J356:K356"/>
    <mergeCell ref="H409:K409"/>
    <mergeCell ref="C599:F599"/>
    <mergeCell ref="D469:E469"/>
    <mergeCell ref="F469:G469"/>
    <mergeCell ref="H469:I469"/>
    <mergeCell ref="J469:K469"/>
    <mergeCell ref="C496:F496"/>
    <mergeCell ref="C497:D497"/>
    <mergeCell ref="E497:F497"/>
    <mergeCell ref="G497:H497"/>
    <mergeCell ref="I497:J497"/>
    <mergeCell ref="C535:F535"/>
    <mergeCell ref="C536:D536"/>
    <mergeCell ref="E536:F536"/>
    <mergeCell ref="G536:H536"/>
    <mergeCell ref="I536:J536"/>
    <mergeCell ref="I722:J722"/>
    <mergeCell ref="C600:D600"/>
    <mergeCell ref="E600:F600"/>
    <mergeCell ref="G600:H600"/>
    <mergeCell ref="I600:J600"/>
    <mergeCell ref="C661:F661"/>
    <mergeCell ref="C662:D662"/>
    <mergeCell ref="E662:F662"/>
    <mergeCell ref="G662:H662"/>
    <mergeCell ref="I662:J662"/>
    <mergeCell ref="B689:G689"/>
    <mergeCell ref="C721:F721"/>
    <mergeCell ref="C722:D722"/>
    <mergeCell ref="E722:F722"/>
    <mergeCell ref="G722:H722"/>
    <mergeCell ref="C912:D912"/>
    <mergeCell ref="E912:F912"/>
    <mergeCell ref="C740:D740"/>
    <mergeCell ref="E740:F740"/>
    <mergeCell ref="C787:D787"/>
    <mergeCell ref="E787:F787"/>
    <mergeCell ref="C853:D853"/>
    <mergeCell ref="E853:F853"/>
  </mergeCells>
  <printOptions horizontalCentered="1"/>
  <pageMargins left="0.25" right="0.25" top="0.5" bottom="0.25" header="0.5" footer="0.5"/>
  <pageSetup scale="48" fitToHeight="8" orientation="landscape" horizontalDpi="4294967292" r:id="rId1"/>
  <headerFooter alignWithMargins="0"/>
  <rowBreaks count="16" manualBreakCount="16">
    <brk id="54" max="10" man="1"/>
    <brk id="109" max="10" man="1"/>
    <brk id="163" max="10" man="1"/>
    <brk id="220" max="10" man="1"/>
    <brk id="248" max="10" man="1"/>
    <brk id="302" max="10" man="1"/>
    <brk id="353" max="10" man="1"/>
    <brk id="407" max="10" man="1"/>
    <brk id="467" max="10" man="1"/>
    <brk id="533" max="10" man="1"/>
    <brk id="597" max="10" man="1"/>
    <brk id="659" max="10" man="1"/>
    <brk id="719" max="10" man="1"/>
    <brk id="785" max="10" man="1"/>
    <brk id="851" max="10" man="1"/>
    <brk id="9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Sep00 Dec11</vt:lpstr>
      <vt:lpstr>'Summary Sep00 Dec11'!Print_Area</vt:lpstr>
      <vt:lpstr>'Summary Sep00 Dec11'!Print_Titles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p74933</dc:creator>
  <cp:lastModifiedBy> </cp:lastModifiedBy>
  <cp:lastPrinted>2012-01-25T17:33:20Z</cp:lastPrinted>
  <dcterms:created xsi:type="dcterms:W3CDTF">2012-01-17T17:16:28Z</dcterms:created>
  <dcterms:modified xsi:type="dcterms:W3CDTF">2012-01-31T18:52:28Z</dcterms:modified>
</cp:coreProperties>
</file>