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A" sheetId="1" r:id="rId1"/>
  </sheets>
  <definedNames>
    <definedName name="\D">'A'!$Q$4</definedName>
    <definedName name="\P">'A'!$Q$2</definedName>
    <definedName name="_Fill" hidden="1">'A'!$N$10:$N$46</definedName>
    <definedName name="_xlnm.Print_Area" localSheetId="0">'A'!$A$1:$N$46</definedName>
  </definedNames>
  <calcPr fullCalcOnLoad="1"/>
</workbook>
</file>

<file path=xl/sharedStrings.xml><?xml version="1.0" encoding="utf-8"?>
<sst xmlns="http://schemas.openxmlformats.org/spreadsheetml/2006/main" count="98" uniqueCount="89">
  <si>
    <t>PacifiCorp</t>
  </si>
  <si>
    <t>Electric Operations</t>
  </si>
  <si>
    <t>Cost of Preferred Stock</t>
  </si>
  <si>
    <t>September 30, 2000</t>
  </si>
  <si>
    <t>Shares</t>
  </si>
  <si>
    <t xml:space="preserve">Annual </t>
  </si>
  <si>
    <t xml:space="preserve">Cost of </t>
  </si>
  <si>
    <t>Line</t>
  </si>
  <si>
    <t>Issuance</t>
  </si>
  <si>
    <t>Issued and</t>
  </si>
  <si>
    <t>Total Book</t>
  </si>
  <si>
    <t>Net Premium</t>
  </si>
  <si>
    <t>Net Proceeds</t>
  </si>
  <si>
    <t>Dividend</t>
  </si>
  <si>
    <t>Money to</t>
  </si>
  <si>
    <t>Annualized</t>
  </si>
  <si>
    <t>No.</t>
  </si>
  <si>
    <t>Description of Issue</t>
  </si>
  <si>
    <t>Date</t>
  </si>
  <si>
    <t>Outstanding</t>
  </si>
  <si>
    <t>Value</t>
  </si>
  <si>
    <t xml:space="preserve">and (Expense) </t>
  </si>
  <si>
    <t>to Company</t>
  </si>
  <si>
    <t>Requirement</t>
  </si>
  <si>
    <t>Company</t>
  </si>
  <si>
    <t>Cost</t>
  </si>
  <si>
    <t>Guess</t>
  </si>
  <si>
    <t>Principal</t>
  </si>
  <si>
    <t>Cashflows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</si>
  <si>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</si>
  <si>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</si>
  <si>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</si>
  <si>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</si>
  <si>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</si>
  <si>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</si>
  <si>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</si>
  <si>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</si>
  <si>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</si>
  <si>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</si>
  <si>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</si>
  <si>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5% Preferred Stock, $100 Par Value</t>
  </si>
  <si>
    <t>(a)</t>
  </si>
  <si>
    <t xml:space="preserve"> </t>
  </si>
  <si>
    <t>Serial Preferred, $100 Par Value</t>
  </si>
  <si>
    <t>4.52% Series</t>
  </si>
  <si>
    <t>7.00% Series</t>
  </si>
  <si>
    <t>(b)</t>
  </si>
  <si>
    <t>6.00% Series</t>
  </si>
  <si>
    <t>5.00% Series</t>
  </si>
  <si>
    <t>5.40% Series</t>
  </si>
  <si>
    <t>4.72% Series</t>
  </si>
  <si>
    <t>4.56% Series</t>
  </si>
  <si>
    <t>No Par Serial Preferred, $25 Stated Value</t>
  </si>
  <si>
    <t>45 month amortization ends Sept. 30, 2000</t>
  </si>
  <si>
    <t>54 month amortization ends June 30, 2001</t>
  </si>
  <si>
    <t>60 month amortization ends Sept. 30, 2002</t>
  </si>
  <si>
    <t>No Par Serial Preferred, $100 Stated Value</t>
  </si>
  <si>
    <t xml:space="preserve"> 7.70% Series</t>
  </si>
  <si>
    <t>TOTAL</t>
  </si>
  <si>
    <t>Coupon (no adjustment for QUIP/QUID tax)</t>
  </si>
  <si>
    <t>Coupon (adjusted for QUIP/QUID tax)</t>
  </si>
  <si>
    <t xml:space="preserve">Cost of Preferred Stock = </t>
  </si>
  <si>
    <t xml:space="preserve">  (a) Issue replaced 6% and 7% preferred stock of Pacific Power &amp; Light Company and Northwestern Electric Company</t>
  </si>
  <si>
    <t xml:space="preserve">       and 5% preferred stock of Mountain States Power Company, most of which sold in the 1920's and 1930's.</t>
  </si>
  <si>
    <t xml:space="preserve">  (b) These issues replaced an issue of The California Oregon Power Company as a result of the merger of that Company into Pacific Power &amp; Light Co.</t>
  </si>
  <si>
    <t>Dissenting Shares Repurchased and Retired</t>
  </si>
  <si>
    <t>5% Preferred Stock</t>
  </si>
  <si>
    <t>695114-50-4</t>
  </si>
  <si>
    <t>5.00% Serial Preferred</t>
  </si>
  <si>
    <t>695114-60-3</t>
  </si>
  <si>
    <t>5.40% Serial Preferred</t>
  </si>
  <si>
    <t>695114-70-2</t>
  </si>
  <si>
    <t>6.00% Serial Preferred</t>
  </si>
  <si>
    <t>695114-80-1</t>
  </si>
  <si>
    <t>7.00% Serial Preferred</t>
  </si>
  <si>
    <t>695114-88-4</t>
  </si>
  <si>
    <t xml:space="preserve"> Distribution:  R. Hanson (POP 700), J. Younie (625 LCT), T. Sacks (1900 LCT), Treasury Files (1900 LCT)</t>
  </si>
  <si>
    <t xml:space="preserve">  (c) Original issue expense/premium has been fully amortized or expensed.</t>
  </si>
  <si>
    <t xml:space="preserve">  (d) Annual 5% sinking fund begins June 15, 2002.</t>
  </si>
  <si>
    <t xml:space="preserve">  (e) Columns 6, 8, 9, and 10 are after-tax numbers.  The after-tax coupon of the QUIDS Series A is 5.276% assuming a 37% tax rate.</t>
  </si>
  <si>
    <t xml:space="preserve">  (f) Columns 8, 9, and 10 are after-tax numbers.  The after-tax coupon of the QUIDS Series B is 5.387% assuming a 37% tax rate.</t>
  </si>
  <si>
    <t xml:space="preserve">  (g) Columns 6, 8, 9, and 10 are after-tax numbers.  The after-tax coupon of the QUIPS Series A is 5.198% assuming a 37% tax rate.</t>
  </si>
  <si>
    <t xml:space="preserve">  (h) Columns 6, 8, 9, and 10 are after-tax numbers.  The after-tax coupon of the QUIPS Series B is 4.851% assuming a 37% tax rate.</t>
  </si>
  <si>
    <t>8.375% Series A (QUIDS)    (e)</t>
  </si>
  <si>
    <t>8.55% Series B QUIDS  (f)</t>
  </si>
  <si>
    <t>8.25% Series A QUIPS (g)</t>
  </si>
  <si>
    <t>7.70% Series B QUIPS (h)</t>
  </si>
  <si>
    <t>$7.48 Series (d)</t>
  </si>
  <si>
    <t>(c)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</si>
</sst>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-0_)"/>
    <numFmt numFmtId="165" formatCode="0.00%;[Red]\-0.00%"/>
    <numFmt numFmtId="166" formatCode="mmm\-yy_);[Red]mmm\-yy_)"/>
    <numFmt numFmtId="167" formatCode="0.00000%"/>
    <numFmt numFmtId="168" formatCode="0.000%;[Red]\-0.000%"/>
    <numFmt numFmtId="169" formatCode="mm/dd/yy_)"/>
    <numFmt numFmtId="170" formatCode="0.00_)"/>
    <numFmt numFmtId="171" formatCode="0.0%"/>
    <numFmt numFmtId="172" formatCode="0.000%"/>
  </numFmts>
  <fonts count="16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9"/>
      <name val="CG Times (WN)"/>
      <family val="1"/>
    </font>
    <font>
      <sz val="12"/>
      <color indexed="9"/>
      <name val="CG Times (WN)"/>
      <family val="1"/>
    </font>
    <font>
      <b/>
      <sz val="10"/>
      <color indexed="9"/>
      <name val="CG Times (WN)"/>
      <family val="1"/>
    </font>
    <font>
      <sz val="10"/>
      <color indexed="12"/>
      <name val="Courier"/>
      <family val="0"/>
    </font>
    <font>
      <b/>
      <sz val="10"/>
      <name val="CG Times (WN)"/>
      <family val="1"/>
    </font>
    <font>
      <sz val="10"/>
      <name val="CG Times (WN)"/>
      <family val="1"/>
    </font>
    <font>
      <sz val="10"/>
      <color indexed="12"/>
      <name val="CG Times (WN)"/>
      <family val="1"/>
    </font>
    <font>
      <u val="double"/>
      <sz val="10"/>
      <name val="CG Times (WN)"/>
      <family val="1"/>
    </font>
    <font>
      <b/>
      <sz val="10"/>
      <color indexed="12"/>
      <name val="CG Times (WN)"/>
      <family val="1"/>
    </font>
    <font>
      <sz val="10"/>
      <color indexed="8"/>
      <name val="CG Times (WN)"/>
      <family val="0"/>
    </font>
    <font>
      <sz val="10"/>
      <color indexed="39"/>
      <name val="CG Times (WN)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6" fontId="0" fillId="0" borderId="0" xfId="0" applyAlignment="1">
      <alignment/>
    </xf>
    <xf numFmtId="6" fontId="0" fillId="0" borderId="0" xfId="0" applyAlignment="1" applyProtection="1">
      <alignment/>
      <protection/>
    </xf>
    <xf numFmtId="6" fontId="5" fillId="2" borderId="0" xfId="0" applyFont="1" applyFill="1" applyAlignment="1" applyProtection="1">
      <alignment horizontal="centerContinuous"/>
      <protection/>
    </xf>
    <xf numFmtId="6" fontId="6" fillId="2" borderId="0" xfId="0" applyFont="1" applyFill="1" applyAlignment="1" applyProtection="1">
      <alignment horizontal="centerContinuous"/>
      <protection/>
    </xf>
    <xf numFmtId="6" fontId="7" fillId="2" borderId="0" xfId="0" applyFont="1" applyFill="1" applyAlignment="1" applyProtection="1">
      <alignment horizontal="centerContinuous"/>
      <protection/>
    </xf>
    <xf numFmtId="6" fontId="7" fillId="2" borderId="0" xfId="0" applyFont="1" applyFill="1" applyAlignment="1" applyProtection="1">
      <alignment horizontal="centerContinuous"/>
      <protection locked="0"/>
    </xf>
    <xf numFmtId="6" fontId="6" fillId="2" borderId="0" xfId="0" applyFont="1" applyFill="1" applyAlignment="1" applyProtection="1">
      <alignment horizontal="centerContinuous"/>
      <protection locked="0"/>
    </xf>
    <xf numFmtId="6" fontId="9" fillId="0" borderId="1" xfId="0" applyFont="1" applyBorder="1" applyAlignment="1" applyProtection="1">
      <alignment/>
      <protection/>
    </xf>
    <xf numFmtId="6" fontId="9" fillId="0" borderId="2" xfId="0" applyFont="1" applyBorder="1" applyAlignment="1" applyProtection="1">
      <alignment/>
      <protection/>
    </xf>
    <xf numFmtId="6" fontId="9" fillId="0" borderId="3" xfId="0" applyFont="1" applyBorder="1" applyAlignment="1" applyProtection="1">
      <alignment/>
      <protection/>
    </xf>
    <xf numFmtId="6" fontId="9" fillId="0" borderId="0" xfId="0" applyFont="1" applyAlignment="1" applyProtection="1">
      <alignment/>
      <protection/>
    </xf>
    <xf numFmtId="6" fontId="9" fillId="0" borderId="4" xfId="0" applyFont="1" applyBorder="1" applyAlignment="1" applyProtection="1">
      <alignment/>
      <protection/>
    </xf>
    <xf numFmtId="6" fontId="9" fillId="0" borderId="5" xfId="0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6" fontId="10" fillId="0" borderId="6" xfId="0" applyFont="1" applyBorder="1" applyAlignment="1" applyProtection="1">
      <alignment/>
      <protection/>
    </xf>
    <xf numFmtId="6" fontId="10" fillId="0" borderId="0" xfId="0" applyFont="1" applyAlignment="1" applyProtection="1">
      <alignment/>
      <protection/>
    </xf>
    <xf numFmtId="6" fontId="10" fillId="0" borderId="7" xfId="0" applyFont="1" applyBorder="1" applyAlignment="1" applyProtection="1">
      <alignment/>
      <protection/>
    </xf>
    <xf numFmtId="164" fontId="11" fillId="0" borderId="6" xfId="0" applyNumberFormat="1" applyFont="1" applyBorder="1" applyAlignment="1" applyProtection="1">
      <alignment/>
      <protection locked="0"/>
    </xf>
    <xf numFmtId="37" fontId="11" fillId="0" borderId="0" xfId="0" applyNumberFormat="1" applyFont="1" applyAlignment="1" applyProtection="1">
      <alignment/>
      <protection locked="0"/>
    </xf>
    <xf numFmtId="6" fontId="10" fillId="0" borderId="0" xfId="0" applyNumberFormat="1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164" fontId="11" fillId="0" borderId="7" xfId="0" applyNumberFormat="1" applyFont="1" applyBorder="1" applyAlignment="1" applyProtection="1">
      <alignment/>
      <protection locked="0"/>
    </xf>
    <xf numFmtId="166" fontId="10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4" fontId="1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6" fontId="10" fillId="0" borderId="8" xfId="0" applyFont="1" applyBorder="1" applyAlignment="1" applyProtection="1">
      <alignment/>
      <protection/>
    </xf>
    <xf numFmtId="6" fontId="10" fillId="0" borderId="9" xfId="0" applyNumberFormat="1" applyFont="1" applyBorder="1" applyAlignment="1" applyProtection="1">
      <alignment/>
      <protection/>
    </xf>
    <xf numFmtId="6" fontId="12" fillId="0" borderId="0" xfId="0" applyFont="1" applyAlignment="1" applyProtection="1">
      <alignment/>
      <protection/>
    </xf>
    <xf numFmtId="168" fontId="12" fillId="0" borderId="0" xfId="0" applyNumberFormat="1" applyFont="1" applyAlignment="1" applyProtection="1">
      <alignment/>
      <protection/>
    </xf>
    <xf numFmtId="6" fontId="10" fillId="0" borderId="1" xfId="0" applyFont="1" applyBorder="1" applyAlignment="1" applyProtection="1">
      <alignment/>
      <protection/>
    </xf>
    <xf numFmtId="6" fontId="10" fillId="0" borderId="2" xfId="0" applyFont="1" applyBorder="1" applyAlignment="1" applyProtection="1">
      <alignment/>
      <protection/>
    </xf>
    <xf numFmtId="6" fontId="10" fillId="0" borderId="3" xfId="0" applyFont="1" applyBorder="1" applyAlignment="1" applyProtection="1">
      <alignment/>
      <protection/>
    </xf>
    <xf numFmtId="6" fontId="13" fillId="0" borderId="0" xfId="0" applyFont="1" applyAlignment="1" applyProtection="1">
      <alignment horizontal="centerContinuous"/>
      <protection locked="0"/>
    </xf>
    <xf numFmtId="6" fontId="9" fillId="0" borderId="0" xfId="0" applyFont="1" applyAlignment="1" applyProtection="1">
      <alignment horizontal="centerContinuous"/>
      <protection/>
    </xf>
    <xf numFmtId="6" fontId="9" fillId="0" borderId="6" xfId="0" applyFont="1" applyBorder="1" applyAlignment="1" applyProtection="1">
      <alignment horizontal="centerContinuous"/>
      <protection/>
    </xf>
    <xf numFmtId="6" fontId="10" fillId="0" borderId="0" xfId="0" applyFont="1" applyAlignment="1" applyProtection="1">
      <alignment horizontal="centerContinuous"/>
      <protection/>
    </xf>
    <xf numFmtId="168" fontId="9" fillId="0" borderId="10" xfId="0" applyNumberFormat="1" applyFont="1" applyBorder="1" applyAlignment="1" applyProtection="1">
      <alignment/>
      <protection/>
    </xf>
    <xf numFmtId="6" fontId="10" fillId="0" borderId="5" xfId="0" applyFont="1" applyBorder="1" applyAlignment="1" applyProtection="1">
      <alignment/>
      <protection/>
    </xf>
    <xf numFmtId="6" fontId="10" fillId="0" borderId="11" xfId="0" applyFont="1" applyBorder="1" applyAlignment="1" applyProtection="1">
      <alignment/>
      <protection/>
    </xf>
    <xf numFmtId="6" fontId="10" fillId="0" borderId="12" xfId="0" applyFont="1" applyBorder="1" applyAlignment="1" applyProtection="1">
      <alignment/>
      <protection/>
    </xf>
    <xf numFmtId="164" fontId="11" fillId="0" borderId="4" xfId="0" applyNumberFormat="1" applyFont="1" applyBorder="1" applyAlignment="1" applyProtection="1">
      <alignment/>
      <protection locked="0"/>
    </xf>
    <xf numFmtId="6" fontId="11" fillId="0" borderId="5" xfId="0" applyFont="1" applyBorder="1" applyAlignment="1" applyProtection="1">
      <alignment/>
      <protection locked="0"/>
    </xf>
    <xf numFmtId="164" fontId="11" fillId="0" borderId="11" xfId="0" applyNumberFormat="1" applyFont="1" applyBorder="1" applyAlignment="1" applyProtection="1">
      <alignment/>
      <protection locked="0"/>
    </xf>
    <xf numFmtId="164" fontId="8" fillId="0" borderId="6" xfId="0" applyNumberFormat="1" applyFont="1" applyBorder="1" applyAlignment="1" applyProtection="1">
      <alignment/>
      <protection locked="0"/>
    </xf>
    <xf numFmtId="164" fontId="8" fillId="0" borderId="4" xfId="0" applyNumberFormat="1" applyFont="1" applyBorder="1" applyAlignment="1" applyProtection="1">
      <alignment/>
      <protection locked="0"/>
    </xf>
    <xf numFmtId="6" fontId="9" fillId="0" borderId="2" xfId="0" applyFont="1" applyBorder="1" applyAlignment="1" applyProtection="1">
      <alignment horizontal="center"/>
      <protection/>
    </xf>
    <xf numFmtId="6" fontId="9" fillId="0" borderId="6" xfId="0" applyFont="1" applyBorder="1" applyAlignment="1" applyProtection="1">
      <alignment horizontal="center"/>
      <protection/>
    </xf>
    <xf numFmtId="6" fontId="9" fillId="0" borderId="0" xfId="0" applyFont="1" applyAlignment="1" applyProtection="1">
      <alignment horizontal="center"/>
      <protection/>
    </xf>
    <xf numFmtId="6" fontId="9" fillId="0" borderId="7" xfId="0" applyFont="1" applyBorder="1" applyAlignment="1" applyProtection="1">
      <alignment horizontal="center"/>
      <protection/>
    </xf>
    <xf numFmtId="6" fontId="9" fillId="0" borderId="4" xfId="0" applyFont="1" applyBorder="1" applyAlignment="1" applyProtection="1">
      <alignment horizontal="center"/>
      <protection/>
    </xf>
    <xf numFmtId="6" fontId="9" fillId="0" borderId="5" xfId="0" applyFont="1" applyBorder="1" applyAlignment="1" applyProtection="1">
      <alignment horizontal="center"/>
      <protection/>
    </xf>
    <xf numFmtId="6" fontId="9" fillId="0" borderId="11" xfId="0" applyFont="1" applyBorder="1" applyAlignment="1" applyProtection="1">
      <alignment horizontal="center"/>
      <protection/>
    </xf>
    <xf numFmtId="6" fontId="0" fillId="0" borderId="0" xfId="0" applyAlignment="1">
      <alignment horizontal="center"/>
    </xf>
    <xf numFmtId="6" fontId="10" fillId="0" borderId="6" xfId="0" applyFont="1" applyBorder="1" applyAlignment="1" applyProtection="1">
      <alignment horizontal="center"/>
      <protection/>
    </xf>
    <xf numFmtId="6" fontId="10" fillId="0" borderId="0" xfId="0" applyFont="1" applyAlignment="1" applyProtection="1">
      <alignment horizontal="center"/>
      <protection/>
    </xf>
    <xf numFmtId="6" fontId="10" fillId="0" borderId="7" xfId="0" applyFont="1" applyBorder="1" applyAlignment="1" applyProtection="1">
      <alignment horizontal="center"/>
      <protection/>
    </xf>
    <xf numFmtId="6" fontId="9" fillId="0" borderId="13" xfId="0" applyFont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 horizontal="center"/>
      <protection/>
    </xf>
    <xf numFmtId="6" fontId="9" fillId="0" borderId="0" xfId="0" applyFont="1" applyAlignment="1" applyProtection="1">
      <alignment horizontal="right"/>
      <protection/>
    </xf>
    <xf numFmtId="166" fontId="14" fillId="0" borderId="0" xfId="0" applyNumberFormat="1" applyFont="1" applyAlignment="1" applyProtection="1">
      <alignment/>
      <protection/>
    </xf>
    <xf numFmtId="6" fontId="14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 locked="0"/>
    </xf>
    <xf numFmtId="6" fontId="10" fillId="0" borderId="0" xfId="0" applyFont="1" applyAlignment="1" applyProtection="1" quotePrefix="1">
      <alignment horizontal="left"/>
      <protection/>
    </xf>
    <xf numFmtId="49" fontId="0" fillId="0" borderId="0" xfId="0" applyNumberFormat="1" applyAlignment="1">
      <alignment/>
    </xf>
    <xf numFmtId="6" fontId="0" fillId="0" borderId="0" xfId="0" applyAlignment="1" quotePrefix="1">
      <alignment horizontal="left"/>
    </xf>
    <xf numFmtId="172" fontId="0" fillId="0" borderId="0" xfId="19" applyNumberFormat="1" applyAlignment="1">
      <alignment/>
    </xf>
    <xf numFmtId="172" fontId="10" fillId="0" borderId="0" xfId="0" applyNumberFormat="1" applyFont="1" applyAlignment="1" applyProtection="1">
      <alignment/>
      <protection/>
    </xf>
    <xf numFmtId="43" fontId="0" fillId="0" borderId="0" xfId="15" applyAlignment="1">
      <alignment/>
    </xf>
    <xf numFmtId="6" fontId="10" fillId="0" borderId="0" xfId="0" applyFont="1" applyAlignment="1" applyProtection="1" quotePrefix="1">
      <alignment horizontal="center"/>
      <protection/>
    </xf>
    <xf numFmtId="49" fontId="14" fillId="0" borderId="0" xfId="0" applyNumberFormat="1" applyFont="1" applyAlignment="1" applyProtection="1" quotePrefix="1">
      <alignment horizontal="center"/>
      <protection/>
    </xf>
    <xf numFmtId="6" fontId="10" fillId="0" borderId="0" xfId="0" applyNumberFormat="1" applyFont="1" applyAlignment="1" applyProtection="1" quotePrefix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76200</xdr:rowOff>
    </xdr:from>
    <xdr:to>
      <xdr:col>18</xdr:col>
      <xdr:colOff>647700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13868400" y="1238250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B63"/>
  <sheetViews>
    <sheetView tabSelected="1" defaultGridColor="0" zoomScale="75" zoomScaleNormal="75" colorId="22" workbookViewId="0" topLeftCell="A4">
      <pane xSplit="9" ySplit="5" topLeftCell="J9" activePane="bottomRight" state="frozen"/>
      <selection pane="topLeft" activeCell="A4" sqref="A4"/>
      <selection pane="topRight" activeCell="J4" sqref="J4"/>
      <selection pane="bottomLeft" activeCell="A9" sqref="A9"/>
      <selection pane="bottomRight" activeCell="D29" sqref="D29"/>
    </sheetView>
  </sheetViews>
  <sheetFormatPr defaultColWidth="9.7109375" defaultRowHeight="12.75"/>
  <cols>
    <col min="1" max="1" width="4.7109375" style="0" customWidth="1"/>
    <col min="2" max="2" width="37.8515625" style="0" customWidth="1"/>
    <col min="3" max="3" width="10.7109375" style="0" customWidth="1"/>
    <col min="4" max="4" width="15.8515625" style="0" customWidth="1"/>
    <col min="5" max="5" width="16.7109375" style="0" customWidth="1"/>
    <col min="6" max="6" width="15.57421875" style="0" customWidth="1"/>
    <col min="7" max="7" width="2.7109375" style="0" customWidth="1"/>
    <col min="8" max="8" width="16.00390625" style="0" customWidth="1"/>
    <col min="9" max="9" width="12.7109375" style="0" customWidth="1"/>
    <col min="10" max="10" width="2.7109375" style="0" customWidth="1"/>
    <col min="11" max="11" width="9.8515625" style="0" customWidth="1"/>
    <col min="12" max="12" width="2.7109375" style="0" customWidth="1"/>
    <col min="13" max="13" width="12.7109375" style="0" customWidth="1"/>
    <col min="14" max="14" width="4.7109375" style="0" customWidth="1"/>
    <col min="15" max="15" width="5.28125" style="0" customWidth="1"/>
    <col min="16" max="16" width="10.28125" style="0" customWidth="1"/>
    <col min="17" max="17" width="14.8515625" style="0" customWidth="1"/>
    <col min="18" max="47" width="12.00390625" style="0" customWidth="1"/>
    <col min="48" max="48" width="13.140625" style="0" customWidth="1"/>
    <col min="49" max="56" width="12.00390625" style="0" customWidth="1"/>
    <col min="57" max="57" width="14.28125" style="0" customWidth="1"/>
    <col min="58" max="136" width="12.00390625" style="0" customWidth="1"/>
    <col min="137" max="137" width="13.140625" style="0" customWidth="1"/>
    <col min="138" max="176" width="12.00390625" style="0" customWidth="1"/>
    <col min="177" max="177" width="14.28125" style="0" customWidth="1"/>
  </cols>
  <sheetData>
    <row r="1" spans="1:14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4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5" t="s">
        <v>3</v>
      </c>
      <c r="B4" s="3"/>
      <c r="C4" s="3"/>
      <c r="D4" s="3"/>
      <c r="E4" s="6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7"/>
      <c r="B5" s="8"/>
      <c r="C5" s="8"/>
      <c r="D5" s="47" t="s">
        <v>4</v>
      </c>
      <c r="E5" s="8"/>
      <c r="F5" s="8"/>
      <c r="G5" s="8"/>
      <c r="H5" s="8"/>
      <c r="I5" s="47" t="s">
        <v>5</v>
      </c>
      <c r="J5" s="8"/>
      <c r="K5" s="47" t="s">
        <v>6</v>
      </c>
      <c r="L5" s="8"/>
      <c r="M5" s="8"/>
      <c r="N5" s="9"/>
    </row>
    <row r="6" spans="1:14" ht="12.75">
      <c r="A6" s="48" t="s">
        <v>7</v>
      </c>
      <c r="B6" s="10"/>
      <c r="C6" s="49" t="s">
        <v>8</v>
      </c>
      <c r="D6" s="49" t="s">
        <v>9</v>
      </c>
      <c r="E6" s="49" t="s">
        <v>10</v>
      </c>
      <c r="F6" s="49" t="s">
        <v>11</v>
      </c>
      <c r="G6" s="10"/>
      <c r="H6" s="49" t="s">
        <v>12</v>
      </c>
      <c r="I6" s="49" t="s">
        <v>13</v>
      </c>
      <c r="J6" s="10"/>
      <c r="K6" s="49" t="s">
        <v>14</v>
      </c>
      <c r="L6" s="10"/>
      <c r="M6" s="49" t="s">
        <v>15</v>
      </c>
      <c r="N6" s="50" t="s">
        <v>7</v>
      </c>
    </row>
    <row r="7" spans="1:18" ht="12.75">
      <c r="A7" s="51" t="s">
        <v>16</v>
      </c>
      <c r="B7" s="52" t="s">
        <v>17</v>
      </c>
      <c r="C7" s="52" t="s">
        <v>18</v>
      </c>
      <c r="D7" s="52" t="s">
        <v>19</v>
      </c>
      <c r="E7" s="52" t="s">
        <v>20</v>
      </c>
      <c r="F7" s="52" t="s">
        <v>21</v>
      </c>
      <c r="G7" s="12"/>
      <c r="H7" s="52" t="s">
        <v>22</v>
      </c>
      <c r="I7" s="52" t="s">
        <v>23</v>
      </c>
      <c r="J7" s="12"/>
      <c r="K7" s="52" t="s">
        <v>24</v>
      </c>
      <c r="L7" s="12"/>
      <c r="M7" s="52" t="s">
        <v>25</v>
      </c>
      <c r="N7" s="53" t="s">
        <v>16</v>
      </c>
      <c r="P7" s="54" t="s">
        <v>26</v>
      </c>
      <c r="Q7" s="54" t="s">
        <v>27</v>
      </c>
      <c r="R7" s="54" t="s">
        <v>28</v>
      </c>
    </row>
    <row r="8" spans="1:177" ht="12.75">
      <c r="A8" s="55" t="s">
        <v>29</v>
      </c>
      <c r="B8" s="56" t="s">
        <v>30</v>
      </c>
      <c r="C8" s="56" t="s">
        <v>31</v>
      </c>
      <c r="D8" s="56" t="s">
        <v>32</v>
      </c>
      <c r="E8" s="56" t="s">
        <v>33</v>
      </c>
      <c r="F8" s="56" t="s">
        <v>34</v>
      </c>
      <c r="G8" s="15"/>
      <c r="H8" s="56" t="s">
        <v>35</v>
      </c>
      <c r="I8" s="56" t="s">
        <v>36</v>
      </c>
      <c r="J8" s="15"/>
      <c r="K8" s="56" t="s">
        <v>37</v>
      </c>
      <c r="L8" s="15"/>
      <c r="M8" s="56" t="s">
        <v>38</v>
      </c>
      <c r="N8" s="57" t="s">
        <v>39</v>
      </c>
      <c r="O8" s="1"/>
      <c r="P8" s="1"/>
      <c r="Q8" s="1"/>
      <c r="R8" s="13">
        <v>1</v>
      </c>
      <c r="S8" s="13">
        <v>2</v>
      </c>
      <c r="T8" s="13">
        <v>3</v>
      </c>
      <c r="U8" s="13">
        <v>4</v>
      </c>
      <c r="V8" s="13">
        <v>5</v>
      </c>
      <c r="W8" s="13">
        <v>6</v>
      </c>
      <c r="X8" s="13">
        <v>7</v>
      </c>
      <c r="Y8" s="13">
        <v>8</v>
      </c>
      <c r="Z8" s="13">
        <v>9</v>
      </c>
      <c r="AA8" s="13">
        <v>10</v>
      </c>
      <c r="AB8" s="13">
        <v>11</v>
      </c>
      <c r="AC8" s="13">
        <v>12</v>
      </c>
      <c r="AD8" s="13">
        <v>13</v>
      </c>
      <c r="AE8" s="13">
        <v>14</v>
      </c>
      <c r="AF8" s="13">
        <v>15</v>
      </c>
      <c r="AG8" s="13">
        <v>16</v>
      </c>
      <c r="AH8" s="13">
        <v>17</v>
      </c>
      <c r="AI8" s="13">
        <v>18</v>
      </c>
      <c r="AJ8" s="13">
        <v>19</v>
      </c>
      <c r="AK8" s="13">
        <v>20</v>
      </c>
      <c r="AL8" s="13">
        <v>21</v>
      </c>
      <c r="AM8" s="13">
        <v>22</v>
      </c>
      <c r="AN8" s="13">
        <v>23</v>
      </c>
      <c r="AO8" s="13">
        <v>24</v>
      </c>
      <c r="AP8" s="13">
        <v>25</v>
      </c>
      <c r="AQ8" s="13">
        <v>26</v>
      </c>
      <c r="AR8" s="13">
        <v>27</v>
      </c>
      <c r="AS8" s="13">
        <v>28</v>
      </c>
      <c r="AT8" s="13">
        <v>29</v>
      </c>
      <c r="AU8" s="13">
        <v>30</v>
      </c>
      <c r="AV8" s="13">
        <v>31</v>
      </c>
      <c r="AW8" s="13">
        <v>32</v>
      </c>
      <c r="AX8" s="13">
        <v>33</v>
      </c>
      <c r="AY8" s="13">
        <v>34</v>
      </c>
      <c r="AZ8" s="13">
        <v>35</v>
      </c>
      <c r="BA8" s="13">
        <v>36</v>
      </c>
      <c r="BB8" s="13">
        <v>37</v>
      </c>
      <c r="BC8" s="13">
        <v>38</v>
      </c>
      <c r="BD8" s="13">
        <v>39</v>
      </c>
      <c r="BE8" s="13">
        <v>40</v>
      </c>
      <c r="BF8" s="13">
        <v>41</v>
      </c>
      <c r="BG8" s="13">
        <v>42</v>
      </c>
      <c r="BH8" s="13">
        <v>43</v>
      </c>
      <c r="BI8" s="13">
        <v>44</v>
      </c>
      <c r="BJ8" s="13">
        <v>45</v>
      </c>
      <c r="BK8" s="13">
        <v>46</v>
      </c>
      <c r="BL8" s="13">
        <v>47</v>
      </c>
      <c r="BM8" s="13">
        <v>48</v>
      </c>
      <c r="BN8" s="13">
        <v>49</v>
      </c>
      <c r="BO8" s="13">
        <v>50</v>
      </c>
      <c r="BP8" s="13">
        <v>51</v>
      </c>
      <c r="BQ8" s="13">
        <v>52</v>
      </c>
      <c r="BR8" s="13">
        <v>53</v>
      </c>
      <c r="BS8" s="13">
        <v>54</v>
      </c>
      <c r="BT8" s="13">
        <v>55</v>
      </c>
      <c r="BU8" s="13">
        <v>56</v>
      </c>
      <c r="BV8" s="13">
        <v>57</v>
      </c>
      <c r="BW8" s="13">
        <v>58</v>
      </c>
      <c r="BX8" s="13">
        <v>59</v>
      </c>
      <c r="BY8" s="13">
        <v>60</v>
      </c>
      <c r="BZ8" s="13">
        <v>61</v>
      </c>
      <c r="CA8" s="13">
        <v>62</v>
      </c>
      <c r="CB8" s="13">
        <v>63</v>
      </c>
      <c r="CC8" s="13">
        <v>64</v>
      </c>
      <c r="CD8" s="13">
        <v>65</v>
      </c>
      <c r="CE8" s="13">
        <v>66</v>
      </c>
      <c r="CF8" s="13">
        <v>67</v>
      </c>
      <c r="CG8" s="13">
        <v>68</v>
      </c>
      <c r="CH8" s="13">
        <v>69</v>
      </c>
      <c r="CI8" s="13">
        <v>70</v>
      </c>
      <c r="CJ8" s="13">
        <v>71</v>
      </c>
      <c r="CK8" s="13">
        <v>72</v>
      </c>
      <c r="CL8" s="13">
        <v>73</v>
      </c>
      <c r="CM8" s="13">
        <v>74</v>
      </c>
      <c r="CN8" s="13">
        <v>75</v>
      </c>
      <c r="CO8" s="13">
        <v>76</v>
      </c>
      <c r="CP8" s="13">
        <v>77</v>
      </c>
      <c r="CQ8" s="13">
        <v>78</v>
      </c>
      <c r="CR8" s="13">
        <v>79</v>
      </c>
      <c r="CS8" s="13">
        <v>80</v>
      </c>
      <c r="CT8" s="13">
        <v>81</v>
      </c>
      <c r="CU8" s="13">
        <v>82</v>
      </c>
      <c r="CV8" s="13">
        <v>83</v>
      </c>
      <c r="CW8" s="13">
        <v>84</v>
      </c>
      <c r="CX8" s="13">
        <v>85</v>
      </c>
      <c r="CY8" s="13">
        <v>86</v>
      </c>
      <c r="CZ8" s="13">
        <v>87</v>
      </c>
      <c r="DA8" s="13">
        <v>88</v>
      </c>
      <c r="DB8" s="13">
        <v>89</v>
      </c>
      <c r="DC8" s="13">
        <v>90</v>
      </c>
      <c r="DD8" s="13">
        <v>91</v>
      </c>
      <c r="DE8" s="13">
        <v>92</v>
      </c>
      <c r="DF8" s="13">
        <v>93</v>
      </c>
      <c r="DG8" s="13">
        <v>94</v>
      </c>
      <c r="DH8" s="13">
        <v>95</v>
      </c>
      <c r="DI8" s="13">
        <v>96</v>
      </c>
      <c r="DJ8" s="13">
        <v>97</v>
      </c>
      <c r="DK8" s="13">
        <v>98</v>
      </c>
      <c r="DL8" s="13">
        <v>99</v>
      </c>
      <c r="DM8" s="13">
        <v>100</v>
      </c>
      <c r="DN8" s="13">
        <v>101</v>
      </c>
      <c r="DO8" s="13">
        <v>102</v>
      </c>
      <c r="DP8" s="13">
        <v>103</v>
      </c>
      <c r="DQ8" s="13">
        <v>104</v>
      </c>
      <c r="DR8" s="13">
        <v>105</v>
      </c>
      <c r="DS8" s="13">
        <v>106</v>
      </c>
      <c r="DT8" s="13">
        <v>107</v>
      </c>
      <c r="DU8" s="13">
        <v>108</v>
      </c>
      <c r="DV8" s="13">
        <v>109</v>
      </c>
      <c r="DW8" s="13">
        <v>110</v>
      </c>
      <c r="DX8" s="13">
        <v>111</v>
      </c>
      <c r="DY8" s="13">
        <v>112</v>
      </c>
      <c r="DZ8" s="13">
        <v>113</v>
      </c>
      <c r="EA8" s="13">
        <v>114</v>
      </c>
      <c r="EB8" s="13">
        <v>115</v>
      </c>
      <c r="EC8" s="13">
        <v>116</v>
      </c>
      <c r="ED8" s="13">
        <v>117</v>
      </c>
      <c r="EE8" s="13">
        <v>118</v>
      </c>
      <c r="EF8" s="13">
        <v>119</v>
      </c>
      <c r="EG8" s="13">
        <v>120</v>
      </c>
      <c r="EH8" s="13">
        <v>121</v>
      </c>
      <c r="EI8" s="13">
        <v>122</v>
      </c>
      <c r="EJ8" s="13">
        <v>123</v>
      </c>
      <c r="EK8" s="13">
        <v>124</v>
      </c>
      <c r="EL8" s="13">
        <v>125</v>
      </c>
      <c r="EM8" s="13">
        <v>126</v>
      </c>
      <c r="EN8" s="13">
        <v>127</v>
      </c>
      <c r="EO8" s="13">
        <v>128</v>
      </c>
      <c r="EP8" s="13">
        <v>129</v>
      </c>
      <c r="EQ8" s="13">
        <v>130</v>
      </c>
      <c r="ER8" s="13">
        <v>131</v>
      </c>
      <c r="ES8" s="13">
        <v>132</v>
      </c>
      <c r="ET8" s="13">
        <v>133</v>
      </c>
      <c r="EU8" s="13">
        <v>134</v>
      </c>
      <c r="EV8" s="13">
        <v>135</v>
      </c>
      <c r="EW8" s="13">
        <v>136</v>
      </c>
      <c r="EX8" s="13">
        <v>137</v>
      </c>
      <c r="EY8" s="13">
        <v>138</v>
      </c>
      <c r="EZ8" s="13">
        <v>139</v>
      </c>
      <c r="FA8" s="13">
        <v>140</v>
      </c>
      <c r="FB8" s="13">
        <v>141</v>
      </c>
      <c r="FC8" s="13">
        <v>142</v>
      </c>
      <c r="FD8" s="13">
        <v>143</v>
      </c>
      <c r="FE8" s="13">
        <v>144</v>
      </c>
      <c r="FF8" s="13">
        <v>145</v>
      </c>
      <c r="FG8" s="13">
        <v>146</v>
      </c>
      <c r="FH8" s="13">
        <v>147</v>
      </c>
      <c r="FI8" s="13">
        <v>148</v>
      </c>
      <c r="FJ8" s="13">
        <v>149</v>
      </c>
      <c r="FK8" s="13">
        <v>150</v>
      </c>
      <c r="FL8" s="13">
        <v>151</v>
      </c>
      <c r="FM8" s="13">
        <v>152</v>
      </c>
      <c r="FN8" s="13">
        <v>153</v>
      </c>
      <c r="FO8" s="13">
        <v>154</v>
      </c>
      <c r="FP8" s="13">
        <v>155</v>
      </c>
      <c r="FQ8" s="13">
        <v>156</v>
      </c>
      <c r="FR8" s="13">
        <v>157</v>
      </c>
      <c r="FS8" s="13">
        <v>158</v>
      </c>
      <c r="FT8" s="13">
        <v>159</v>
      </c>
      <c r="FU8" s="13">
        <v>160</v>
      </c>
    </row>
    <row r="9" spans="1:14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84" ht="12.75">
      <c r="A10" s="17">
        <v>1</v>
      </c>
      <c r="B10" s="49" t="s">
        <v>40</v>
      </c>
      <c r="C10" s="56" t="s">
        <v>41</v>
      </c>
      <c r="D10" s="18">
        <f>126533-70-220</f>
        <v>126243</v>
      </c>
      <c r="E10" s="19">
        <f>D10*100</f>
        <v>12624300</v>
      </c>
      <c r="F10" s="19">
        <v>-98049</v>
      </c>
      <c r="G10" s="15"/>
      <c r="H10" s="19">
        <f>E10+F10</f>
        <v>12526251</v>
      </c>
      <c r="I10" s="19">
        <f>E10*0.05</f>
        <v>631215</v>
      </c>
      <c r="J10" s="15"/>
      <c r="K10" s="20">
        <f>I10/H10</f>
        <v>0.05039137408311553</v>
      </c>
      <c r="L10" s="15"/>
      <c r="M10" s="15">
        <f>E10*K10</f>
        <v>636155.8238374754</v>
      </c>
      <c r="N10" s="21">
        <v>1</v>
      </c>
      <c r="GA10" s="67">
        <f>I10/E10</f>
        <v>0.05</v>
      </c>
      <c r="GB10" s="67">
        <f>I10/E10</f>
        <v>0.05</v>
      </c>
    </row>
    <row r="11" spans="1:14" ht="12.75">
      <c r="A11" s="17">
        <v>2</v>
      </c>
      <c r="B11" s="15"/>
      <c r="C11" s="15"/>
      <c r="D11" s="18"/>
      <c r="E11" s="15"/>
      <c r="F11" s="15"/>
      <c r="G11" s="15"/>
      <c r="H11" s="15"/>
      <c r="I11" s="19" t="s">
        <v>42</v>
      </c>
      <c r="J11" s="15"/>
      <c r="K11" s="15"/>
      <c r="L11" s="15"/>
      <c r="M11" s="15"/>
      <c r="N11" s="21">
        <v>2</v>
      </c>
    </row>
    <row r="12" spans="1:14" ht="12.75">
      <c r="A12" s="17">
        <v>3</v>
      </c>
      <c r="B12" s="58" t="s">
        <v>43</v>
      </c>
      <c r="C12" s="15"/>
      <c r="D12" s="18"/>
      <c r="E12" s="15"/>
      <c r="F12" s="15"/>
      <c r="G12" s="15"/>
      <c r="H12" s="15"/>
      <c r="I12" s="19" t="s">
        <v>42</v>
      </c>
      <c r="J12" s="15"/>
      <c r="K12" s="15"/>
      <c r="L12" s="15"/>
      <c r="M12" s="15"/>
      <c r="N12" s="21">
        <v>3</v>
      </c>
    </row>
    <row r="13" spans="1:184" ht="12.75">
      <c r="A13" s="17">
        <v>4</v>
      </c>
      <c r="B13" s="56" t="s">
        <v>44</v>
      </c>
      <c r="C13" s="22">
        <v>20394</v>
      </c>
      <c r="D13" s="18">
        <v>2065</v>
      </c>
      <c r="E13" s="19">
        <f aca="true" t="shared" si="0" ref="E13:E19">D13*100</f>
        <v>206500</v>
      </c>
      <c r="F13" s="19">
        <v>-9676.33</v>
      </c>
      <c r="G13" s="15"/>
      <c r="H13" s="19">
        <f>E13+F13</f>
        <v>196823.67</v>
      </c>
      <c r="I13" s="19">
        <f>206500*0.0452</f>
        <v>9333.800000000001</v>
      </c>
      <c r="J13" s="15"/>
      <c r="K13" s="20">
        <f aca="true" t="shared" si="1" ref="K13:K19">I13/H13</f>
        <v>0.0474221418592591</v>
      </c>
      <c r="L13" s="15"/>
      <c r="M13" s="15">
        <f aca="true" t="shared" si="2" ref="M13:M19">E13*K13</f>
        <v>9792.672293937005</v>
      </c>
      <c r="N13" s="21">
        <v>4</v>
      </c>
      <c r="GA13" s="67">
        <f aca="true" t="shared" si="3" ref="GA13:GA19">I13/E13</f>
        <v>0.045200000000000004</v>
      </c>
      <c r="GB13" s="67">
        <f aca="true" t="shared" si="4" ref="GB13:GB19">I13/E13</f>
        <v>0.045200000000000004</v>
      </c>
    </row>
    <row r="14" spans="1:184" ht="12.75">
      <c r="A14" s="17">
        <v>5</v>
      </c>
      <c r="B14" s="56" t="s">
        <v>45</v>
      </c>
      <c r="C14" s="59" t="s">
        <v>46</v>
      </c>
      <c r="D14" s="18">
        <f>18060-14</f>
        <v>18046</v>
      </c>
      <c r="E14" s="19">
        <f t="shared" si="0"/>
        <v>1804600</v>
      </c>
      <c r="F14" s="72" t="s">
        <v>88</v>
      </c>
      <c r="G14" s="15"/>
      <c r="H14" s="19">
        <f>E14</f>
        <v>1804600</v>
      </c>
      <c r="I14" s="19">
        <f>E14*0.07</f>
        <v>126322.00000000001</v>
      </c>
      <c r="J14" s="15"/>
      <c r="K14" s="20">
        <f t="shared" si="1"/>
        <v>0.07</v>
      </c>
      <c r="L14" s="15"/>
      <c r="M14" s="15">
        <f t="shared" si="2"/>
        <v>126322.00000000001</v>
      </c>
      <c r="N14" s="21">
        <v>5</v>
      </c>
      <c r="GA14" s="67">
        <f t="shared" si="3"/>
        <v>0.07</v>
      </c>
      <c r="GB14" s="67">
        <f t="shared" si="4"/>
        <v>0.07</v>
      </c>
    </row>
    <row r="15" spans="1:184" ht="12.75">
      <c r="A15" s="17">
        <v>6</v>
      </c>
      <c r="B15" s="56" t="s">
        <v>47</v>
      </c>
      <c r="C15" s="59" t="s">
        <v>46</v>
      </c>
      <c r="D15" s="18">
        <f>5932-2</f>
        <v>5930</v>
      </c>
      <c r="E15" s="19">
        <f t="shared" si="0"/>
        <v>593000</v>
      </c>
      <c r="F15" s="72" t="s">
        <v>88</v>
      </c>
      <c r="G15" s="15"/>
      <c r="H15" s="19">
        <f>E15</f>
        <v>593000</v>
      </c>
      <c r="I15" s="19">
        <f>E15*0.06</f>
        <v>35580</v>
      </c>
      <c r="J15" s="15"/>
      <c r="K15" s="20">
        <f t="shared" si="1"/>
        <v>0.06</v>
      </c>
      <c r="L15" s="15"/>
      <c r="M15" s="15">
        <f t="shared" si="2"/>
        <v>35580</v>
      </c>
      <c r="N15" s="21">
        <v>6</v>
      </c>
      <c r="GA15" s="67">
        <f t="shared" si="3"/>
        <v>0.06</v>
      </c>
      <c r="GB15" s="67">
        <f t="shared" si="4"/>
        <v>0.06</v>
      </c>
    </row>
    <row r="16" spans="1:184" ht="12.75">
      <c r="A16" s="17">
        <v>7</v>
      </c>
      <c r="B16" s="56" t="s">
        <v>48</v>
      </c>
      <c r="C16" s="59" t="s">
        <v>46</v>
      </c>
      <c r="D16" s="18">
        <f>42000-30-62</f>
        <v>41908</v>
      </c>
      <c r="E16" s="19">
        <f t="shared" si="0"/>
        <v>4190800</v>
      </c>
      <c r="F16" s="72" t="s">
        <v>88</v>
      </c>
      <c r="G16" s="15"/>
      <c r="H16" s="19">
        <f>E16</f>
        <v>4190800</v>
      </c>
      <c r="I16" s="19">
        <f>E16*0.05</f>
        <v>209540</v>
      </c>
      <c r="J16" s="15"/>
      <c r="K16" s="20">
        <f t="shared" si="1"/>
        <v>0.05</v>
      </c>
      <c r="L16" s="15"/>
      <c r="M16" s="15">
        <f t="shared" si="2"/>
        <v>209540</v>
      </c>
      <c r="N16" s="21">
        <v>7</v>
      </c>
      <c r="GA16" s="67">
        <f t="shared" si="3"/>
        <v>0.05</v>
      </c>
      <c r="GB16" s="67">
        <f t="shared" si="4"/>
        <v>0.05</v>
      </c>
    </row>
    <row r="17" spans="1:184" ht="12.75">
      <c r="A17" s="17">
        <v>8</v>
      </c>
      <c r="B17" s="56" t="s">
        <v>49</v>
      </c>
      <c r="C17" s="59" t="s">
        <v>46</v>
      </c>
      <c r="D17" s="18">
        <f>65960-1</f>
        <v>65959</v>
      </c>
      <c r="E17" s="19">
        <f t="shared" si="0"/>
        <v>6595900</v>
      </c>
      <c r="F17" s="72" t="s">
        <v>88</v>
      </c>
      <c r="G17" s="15"/>
      <c r="H17" s="19">
        <f>E17</f>
        <v>6595900</v>
      </c>
      <c r="I17" s="19">
        <f>E17*0.054</f>
        <v>356178.6</v>
      </c>
      <c r="J17" s="15"/>
      <c r="K17" s="20">
        <f t="shared" si="1"/>
        <v>0.054</v>
      </c>
      <c r="L17" s="15"/>
      <c r="M17" s="15">
        <f t="shared" si="2"/>
        <v>356178.6</v>
      </c>
      <c r="N17" s="21">
        <v>8</v>
      </c>
      <c r="GA17" s="67">
        <f t="shared" si="3"/>
        <v>0.054</v>
      </c>
      <c r="GB17" s="67">
        <f t="shared" si="4"/>
        <v>0.054</v>
      </c>
    </row>
    <row r="18" spans="1:184" ht="12.75">
      <c r="A18" s="17">
        <v>9</v>
      </c>
      <c r="B18" s="56" t="s">
        <v>50</v>
      </c>
      <c r="C18" s="22">
        <v>23224</v>
      </c>
      <c r="D18" s="18">
        <v>69890</v>
      </c>
      <c r="E18" s="19">
        <f t="shared" si="0"/>
        <v>6989000</v>
      </c>
      <c r="F18" s="19">
        <v>-30348.61</v>
      </c>
      <c r="G18" s="15"/>
      <c r="H18" s="19">
        <f>E18+F18</f>
        <v>6958651.39</v>
      </c>
      <c r="I18" s="19">
        <f>E18*0.0472</f>
        <v>329880.8</v>
      </c>
      <c r="J18" s="15"/>
      <c r="K18" s="20">
        <f t="shared" si="1"/>
        <v>0.04740585229978017</v>
      </c>
      <c r="L18" s="15"/>
      <c r="M18" s="15">
        <f t="shared" si="2"/>
        <v>331319.50172316364</v>
      </c>
      <c r="N18" s="21">
        <v>9</v>
      </c>
      <c r="GA18" s="67">
        <f t="shared" si="3"/>
        <v>0.0472</v>
      </c>
      <c r="GB18" s="67">
        <f t="shared" si="4"/>
        <v>0.0472</v>
      </c>
    </row>
    <row r="19" spans="1:184" ht="12.75">
      <c r="A19" s="17">
        <v>10</v>
      </c>
      <c r="B19" s="56" t="s">
        <v>51</v>
      </c>
      <c r="C19" s="22">
        <v>23774</v>
      </c>
      <c r="D19" s="18">
        <v>84592</v>
      </c>
      <c r="E19" s="19">
        <f t="shared" si="0"/>
        <v>8459200</v>
      </c>
      <c r="F19" s="19">
        <v>-49071.21</v>
      </c>
      <c r="G19" s="15"/>
      <c r="H19" s="19">
        <f>E19+F19</f>
        <v>8410128.79</v>
      </c>
      <c r="I19" s="19">
        <f>E19*0.0456</f>
        <v>385739.52</v>
      </c>
      <c r="J19" s="15"/>
      <c r="K19" s="20">
        <f t="shared" si="1"/>
        <v>0.04586606574427977</v>
      </c>
      <c r="L19" s="15"/>
      <c r="M19" s="15">
        <f t="shared" si="2"/>
        <v>387990.2233440114</v>
      </c>
      <c r="N19" s="21">
        <v>10</v>
      </c>
      <c r="GA19" s="67">
        <f t="shared" si="3"/>
        <v>0.0456</v>
      </c>
      <c r="GB19" s="67">
        <f t="shared" si="4"/>
        <v>0.0456</v>
      </c>
    </row>
    <row r="20" spans="1:14" ht="12.75">
      <c r="A20" s="17">
        <v>11</v>
      </c>
      <c r="B20" s="15"/>
      <c r="C20" s="15"/>
      <c r="D20" s="18"/>
      <c r="E20" s="15"/>
      <c r="F20" s="15"/>
      <c r="G20" s="15"/>
      <c r="H20" s="19"/>
      <c r="I20" s="19"/>
      <c r="J20" s="15"/>
      <c r="K20" s="20"/>
      <c r="L20" s="15"/>
      <c r="M20" s="15"/>
      <c r="N20" s="21">
        <v>11</v>
      </c>
    </row>
    <row r="21" spans="1:14" ht="13.5" customHeight="1">
      <c r="A21" s="17">
        <v>12</v>
      </c>
      <c r="B21" s="58" t="s">
        <v>52</v>
      </c>
      <c r="C21" s="15"/>
      <c r="D21" s="18"/>
      <c r="E21" s="15"/>
      <c r="F21" s="15"/>
      <c r="G21" s="15"/>
      <c r="H21" s="19"/>
      <c r="I21" s="19"/>
      <c r="J21" s="15"/>
      <c r="K21" s="20"/>
      <c r="L21" s="15"/>
      <c r="M21" s="15"/>
      <c r="N21" s="21">
        <v>12</v>
      </c>
    </row>
    <row r="22" spans="1:184" ht="12.75">
      <c r="A22" s="17">
        <v>13</v>
      </c>
      <c r="B22" s="70" t="s">
        <v>83</v>
      </c>
      <c r="C22" s="22">
        <v>34850</v>
      </c>
      <c r="D22" s="18">
        <v>4800000</v>
      </c>
      <c r="E22" s="19">
        <f>D22*25</f>
        <v>120000000</v>
      </c>
      <c r="F22" s="15">
        <f>-(3780000+413399.58+23916.45+57037+49251.09)*0.63</f>
        <v>-2723870.5956</v>
      </c>
      <c r="G22" s="15"/>
      <c r="H22" s="19">
        <f>E22+F22</f>
        <v>117276129.4044</v>
      </c>
      <c r="I22" s="19">
        <f>E22*(0.08375*(1-0.37))</f>
        <v>6331500</v>
      </c>
      <c r="J22" s="15"/>
      <c r="K22" s="20">
        <f>IRR(Q22:FU22,P22)*4</f>
        <v>0.05415349444439289</v>
      </c>
      <c r="L22" s="15"/>
      <c r="M22" s="15">
        <f>E22*K22</f>
        <v>6498419.333327146</v>
      </c>
      <c r="N22" s="21">
        <v>13</v>
      </c>
      <c r="O22" s="23">
        <v>160</v>
      </c>
      <c r="P22" s="24">
        <f>0.0527625/4</f>
        <v>0.013190625</v>
      </c>
      <c r="Q22">
        <f>-H22</f>
        <v>-117276129.4044</v>
      </c>
      <c r="R22">
        <f aca="true" t="shared" si="5" ref="R22:AW22">IF(R$8&gt;$O22,0,IF(R$8&lt;$O22,$P$22*$E$22,$P$22*$E$22+$E$22))</f>
        <v>1582875</v>
      </c>
      <c r="S22">
        <f t="shared" si="5"/>
        <v>1582875</v>
      </c>
      <c r="T22">
        <f t="shared" si="5"/>
        <v>1582875</v>
      </c>
      <c r="U22">
        <f t="shared" si="5"/>
        <v>1582875</v>
      </c>
      <c r="V22">
        <f t="shared" si="5"/>
        <v>1582875</v>
      </c>
      <c r="W22">
        <f t="shared" si="5"/>
        <v>1582875</v>
      </c>
      <c r="X22">
        <f t="shared" si="5"/>
        <v>1582875</v>
      </c>
      <c r="Y22">
        <f t="shared" si="5"/>
        <v>1582875</v>
      </c>
      <c r="Z22">
        <f t="shared" si="5"/>
        <v>1582875</v>
      </c>
      <c r="AA22">
        <f t="shared" si="5"/>
        <v>1582875</v>
      </c>
      <c r="AB22">
        <f t="shared" si="5"/>
        <v>1582875</v>
      </c>
      <c r="AC22">
        <f t="shared" si="5"/>
        <v>1582875</v>
      </c>
      <c r="AD22">
        <f t="shared" si="5"/>
        <v>1582875</v>
      </c>
      <c r="AE22">
        <f t="shared" si="5"/>
        <v>1582875</v>
      </c>
      <c r="AF22">
        <f t="shared" si="5"/>
        <v>1582875</v>
      </c>
      <c r="AG22">
        <f t="shared" si="5"/>
        <v>1582875</v>
      </c>
      <c r="AH22">
        <f t="shared" si="5"/>
        <v>1582875</v>
      </c>
      <c r="AI22">
        <f t="shared" si="5"/>
        <v>1582875</v>
      </c>
      <c r="AJ22">
        <f t="shared" si="5"/>
        <v>1582875</v>
      </c>
      <c r="AK22">
        <f t="shared" si="5"/>
        <v>1582875</v>
      </c>
      <c r="AL22">
        <f t="shared" si="5"/>
        <v>1582875</v>
      </c>
      <c r="AM22">
        <f t="shared" si="5"/>
        <v>1582875</v>
      </c>
      <c r="AN22">
        <f t="shared" si="5"/>
        <v>1582875</v>
      </c>
      <c r="AO22">
        <f t="shared" si="5"/>
        <v>1582875</v>
      </c>
      <c r="AP22">
        <f t="shared" si="5"/>
        <v>1582875</v>
      </c>
      <c r="AQ22">
        <f t="shared" si="5"/>
        <v>1582875</v>
      </c>
      <c r="AR22">
        <f t="shared" si="5"/>
        <v>1582875</v>
      </c>
      <c r="AS22">
        <f t="shared" si="5"/>
        <v>1582875</v>
      </c>
      <c r="AT22">
        <f t="shared" si="5"/>
        <v>1582875</v>
      </c>
      <c r="AU22">
        <f t="shared" si="5"/>
        <v>1582875</v>
      </c>
      <c r="AV22">
        <f t="shared" si="5"/>
        <v>1582875</v>
      </c>
      <c r="AW22">
        <f t="shared" si="5"/>
        <v>1582875</v>
      </c>
      <c r="AX22">
        <f aca="true" t="shared" si="6" ref="AX22:CC22">IF(AX$8&gt;$O22,0,IF(AX$8&lt;$O22,$P$22*$E$22,$P$22*$E$22+$E$22))</f>
        <v>1582875</v>
      </c>
      <c r="AY22">
        <f t="shared" si="6"/>
        <v>1582875</v>
      </c>
      <c r="AZ22">
        <f t="shared" si="6"/>
        <v>1582875</v>
      </c>
      <c r="BA22">
        <f t="shared" si="6"/>
        <v>1582875</v>
      </c>
      <c r="BB22">
        <f t="shared" si="6"/>
        <v>1582875</v>
      </c>
      <c r="BC22">
        <f t="shared" si="6"/>
        <v>1582875</v>
      </c>
      <c r="BD22">
        <f t="shared" si="6"/>
        <v>1582875</v>
      </c>
      <c r="BE22">
        <f t="shared" si="6"/>
        <v>1582875</v>
      </c>
      <c r="BF22">
        <f t="shared" si="6"/>
        <v>1582875</v>
      </c>
      <c r="BG22">
        <f t="shared" si="6"/>
        <v>1582875</v>
      </c>
      <c r="BH22">
        <f t="shared" si="6"/>
        <v>1582875</v>
      </c>
      <c r="BI22">
        <f t="shared" si="6"/>
        <v>1582875</v>
      </c>
      <c r="BJ22">
        <f t="shared" si="6"/>
        <v>1582875</v>
      </c>
      <c r="BK22">
        <f t="shared" si="6"/>
        <v>1582875</v>
      </c>
      <c r="BL22">
        <f t="shared" si="6"/>
        <v>1582875</v>
      </c>
      <c r="BM22">
        <f t="shared" si="6"/>
        <v>1582875</v>
      </c>
      <c r="BN22">
        <f t="shared" si="6"/>
        <v>1582875</v>
      </c>
      <c r="BO22">
        <f t="shared" si="6"/>
        <v>1582875</v>
      </c>
      <c r="BP22">
        <f t="shared" si="6"/>
        <v>1582875</v>
      </c>
      <c r="BQ22">
        <f t="shared" si="6"/>
        <v>1582875</v>
      </c>
      <c r="BR22">
        <f t="shared" si="6"/>
        <v>1582875</v>
      </c>
      <c r="BS22">
        <f t="shared" si="6"/>
        <v>1582875</v>
      </c>
      <c r="BT22">
        <f t="shared" si="6"/>
        <v>1582875</v>
      </c>
      <c r="BU22">
        <f t="shared" si="6"/>
        <v>1582875</v>
      </c>
      <c r="BV22">
        <f t="shared" si="6"/>
        <v>1582875</v>
      </c>
      <c r="BW22">
        <f t="shared" si="6"/>
        <v>1582875</v>
      </c>
      <c r="BX22">
        <f t="shared" si="6"/>
        <v>1582875</v>
      </c>
      <c r="BY22">
        <f t="shared" si="6"/>
        <v>1582875</v>
      </c>
      <c r="BZ22">
        <f t="shared" si="6"/>
        <v>1582875</v>
      </c>
      <c r="CA22">
        <f t="shared" si="6"/>
        <v>1582875</v>
      </c>
      <c r="CB22">
        <f t="shared" si="6"/>
        <v>1582875</v>
      </c>
      <c r="CC22">
        <f t="shared" si="6"/>
        <v>1582875</v>
      </c>
      <c r="CD22">
        <f aca="true" t="shared" si="7" ref="CD22:DI22">IF(CD$8&gt;$O22,0,IF(CD$8&lt;$O22,$P$22*$E$22,$P$22*$E$22+$E$22))</f>
        <v>1582875</v>
      </c>
      <c r="CE22">
        <f t="shared" si="7"/>
        <v>1582875</v>
      </c>
      <c r="CF22">
        <f t="shared" si="7"/>
        <v>1582875</v>
      </c>
      <c r="CG22">
        <f t="shared" si="7"/>
        <v>1582875</v>
      </c>
      <c r="CH22">
        <f t="shared" si="7"/>
        <v>1582875</v>
      </c>
      <c r="CI22">
        <f t="shared" si="7"/>
        <v>1582875</v>
      </c>
      <c r="CJ22">
        <f t="shared" si="7"/>
        <v>1582875</v>
      </c>
      <c r="CK22">
        <f t="shared" si="7"/>
        <v>1582875</v>
      </c>
      <c r="CL22">
        <f t="shared" si="7"/>
        <v>1582875</v>
      </c>
      <c r="CM22">
        <f t="shared" si="7"/>
        <v>1582875</v>
      </c>
      <c r="CN22">
        <f t="shared" si="7"/>
        <v>1582875</v>
      </c>
      <c r="CO22">
        <f t="shared" si="7"/>
        <v>1582875</v>
      </c>
      <c r="CP22">
        <f t="shared" si="7"/>
        <v>1582875</v>
      </c>
      <c r="CQ22">
        <f t="shared" si="7"/>
        <v>1582875</v>
      </c>
      <c r="CR22">
        <f t="shared" si="7"/>
        <v>1582875</v>
      </c>
      <c r="CS22">
        <f t="shared" si="7"/>
        <v>1582875</v>
      </c>
      <c r="CT22">
        <f t="shared" si="7"/>
        <v>1582875</v>
      </c>
      <c r="CU22">
        <f t="shared" si="7"/>
        <v>1582875</v>
      </c>
      <c r="CV22">
        <f t="shared" si="7"/>
        <v>1582875</v>
      </c>
      <c r="CW22">
        <f t="shared" si="7"/>
        <v>1582875</v>
      </c>
      <c r="CX22">
        <f t="shared" si="7"/>
        <v>1582875</v>
      </c>
      <c r="CY22">
        <f t="shared" si="7"/>
        <v>1582875</v>
      </c>
      <c r="CZ22">
        <f t="shared" si="7"/>
        <v>1582875</v>
      </c>
      <c r="DA22">
        <f t="shared" si="7"/>
        <v>1582875</v>
      </c>
      <c r="DB22">
        <f t="shared" si="7"/>
        <v>1582875</v>
      </c>
      <c r="DC22">
        <f t="shared" si="7"/>
        <v>1582875</v>
      </c>
      <c r="DD22">
        <f t="shared" si="7"/>
        <v>1582875</v>
      </c>
      <c r="DE22">
        <f t="shared" si="7"/>
        <v>1582875</v>
      </c>
      <c r="DF22">
        <f t="shared" si="7"/>
        <v>1582875</v>
      </c>
      <c r="DG22">
        <f t="shared" si="7"/>
        <v>1582875</v>
      </c>
      <c r="DH22">
        <f t="shared" si="7"/>
        <v>1582875</v>
      </c>
      <c r="DI22">
        <f t="shared" si="7"/>
        <v>1582875</v>
      </c>
      <c r="DJ22">
        <f aca="true" t="shared" si="8" ref="DJ22:EO22">IF(DJ$8&gt;$O22,0,IF(DJ$8&lt;$O22,$P$22*$E$22,$P$22*$E$22+$E$22))</f>
        <v>1582875</v>
      </c>
      <c r="DK22">
        <f t="shared" si="8"/>
        <v>1582875</v>
      </c>
      <c r="DL22">
        <f t="shared" si="8"/>
        <v>1582875</v>
      </c>
      <c r="DM22">
        <f t="shared" si="8"/>
        <v>1582875</v>
      </c>
      <c r="DN22">
        <f t="shared" si="8"/>
        <v>1582875</v>
      </c>
      <c r="DO22">
        <f t="shared" si="8"/>
        <v>1582875</v>
      </c>
      <c r="DP22">
        <f t="shared" si="8"/>
        <v>1582875</v>
      </c>
      <c r="DQ22">
        <f t="shared" si="8"/>
        <v>1582875</v>
      </c>
      <c r="DR22">
        <f t="shared" si="8"/>
        <v>1582875</v>
      </c>
      <c r="DS22">
        <f t="shared" si="8"/>
        <v>1582875</v>
      </c>
      <c r="DT22">
        <f t="shared" si="8"/>
        <v>1582875</v>
      </c>
      <c r="DU22">
        <f t="shared" si="8"/>
        <v>1582875</v>
      </c>
      <c r="DV22">
        <f t="shared" si="8"/>
        <v>1582875</v>
      </c>
      <c r="DW22">
        <f t="shared" si="8"/>
        <v>1582875</v>
      </c>
      <c r="DX22">
        <f t="shared" si="8"/>
        <v>1582875</v>
      </c>
      <c r="DY22">
        <f t="shared" si="8"/>
        <v>1582875</v>
      </c>
      <c r="DZ22">
        <f t="shared" si="8"/>
        <v>1582875</v>
      </c>
      <c r="EA22">
        <f t="shared" si="8"/>
        <v>1582875</v>
      </c>
      <c r="EB22">
        <f t="shared" si="8"/>
        <v>1582875</v>
      </c>
      <c r="EC22">
        <f t="shared" si="8"/>
        <v>1582875</v>
      </c>
      <c r="ED22">
        <f t="shared" si="8"/>
        <v>1582875</v>
      </c>
      <c r="EE22">
        <f t="shared" si="8"/>
        <v>1582875</v>
      </c>
      <c r="EF22">
        <f t="shared" si="8"/>
        <v>1582875</v>
      </c>
      <c r="EG22">
        <f t="shared" si="8"/>
        <v>1582875</v>
      </c>
      <c r="EH22">
        <f t="shared" si="8"/>
        <v>1582875</v>
      </c>
      <c r="EI22">
        <f t="shared" si="8"/>
        <v>1582875</v>
      </c>
      <c r="EJ22">
        <f t="shared" si="8"/>
        <v>1582875</v>
      </c>
      <c r="EK22">
        <f t="shared" si="8"/>
        <v>1582875</v>
      </c>
      <c r="EL22">
        <f t="shared" si="8"/>
        <v>1582875</v>
      </c>
      <c r="EM22">
        <f t="shared" si="8"/>
        <v>1582875</v>
      </c>
      <c r="EN22">
        <f t="shared" si="8"/>
        <v>1582875</v>
      </c>
      <c r="EO22">
        <f t="shared" si="8"/>
        <v>1582875</v>
      </c>
      <c r="EP22">
        <f aca="true" t="shared" si="9" ref="EP22:FU22">IF(EP$8&gt;$O22,0,IF(EP$8&lt;$O22,$P$22*$E$22,$P$22*$E$22+$E$22))</f>
        <v>1582875</v>
      </c>
      <c r="EQ22">
        <f t="shared" si="9"/>
        <v>1582875</v>
      </c>
      <c r="ER22">
        <f t="shared" si="9"/>
        <v>1582875</v>
      </c>
      <c r="ES22">
        <f t="shared" si="9"/>
        <v>1582875</v>
      </c>
      <c r="ET22">
        <f t="shared" si="9"/>
        <v>1582875</v>
      </c>
      <c r="EU22">
        <f t="shared" si="9"/>
        <v>1582875</v>
      </c>
      <c r="EV22">
        <f t="shared" si="9"/>
        <v>1582875</v>
      </c>
      <c r="EW22">
        <f t="shared" si="9"/>
        <v>1582875</v>
      </c>
      <c r="EX22">
        <f t="shared" si="9"/>
        <v>1582875</v>
      </c>
      <c r="EY22">
        <f t="shared" si="9"/>
        <v>1582875</v>
      </c>
      <c r="EZ22">
        <f t="shared" si="9"/>
        <v>1582875</v>
      </c>
      <c r="FA22">
        <f t="shared" si="9"/>
        <v>1582875</v>
      </c>
      <c r="FB22">
        <f t="shared" si="9"/>
        <v>1582875</v>
      </c>
      <c r="FC22">
        <f t="shared" si="9"/>
        <v>1582875</v>
      </c>
      <c r="FD22">
        <f t="shared" si="9"/>
        <v>1582875</v>
      </c>
      <c r="FE22">
        <f t="shared" si="9"/>
        <v>1582875</v>
      </c>
      <c r="FF22">
        <f t="shared" si="9"/>
        <v>1582875</v>
      </c>
      <c r="FG22">
        <f t="shared" si="9"/>
        <v>1582875</v>
      </c>
      <c r="FH22">
        <f t="shared" si="9"/>
        <v>1582875</v>
      </c>
      <c r="FI22">
        <f t="shared" si="9"/>
        <v>1582875</v>
      </c>
      <c r="FJ22">
        <f t="shared" si="9"/>
        <v>1582875</v>
      </c>
      <c r="FK22">
        <f t="shared" si="9"/>
        <v>1582875</v>
      </c>
      <c r="FL22">
        <f t="shared" si="9"/>
        <v>1582875</v>
      </c>
      <c r="FM22">
        <f t="shared" si="9"/>
        <v>1582875</v>
      </c>
      <c r="FN22">
        <f t="shared" si="9"/>
        <v>1582875</v>
      </c>
      <c r="FO22">
        <f t="shared" si="9"/>
        <v>1582875</v>
      </c>
      <c r="FP22">
        <f t="shared" si="9"/>
        <v>1582875</v>
      </c>
      <c r="FQ22">
        <f t="shared" si="9"/>
        <v>1582875</v>
      </c>
      <c r="FR22">
        <f t="shared" si="9"/>
        <v>1582875</v>
      </c>
      <c r="FS22">
        <f t="shared" si="9"/>
        <v>1582875</v>
      </c>
      <c r="FT22">
        <f t="shared" si="9"/>
        <v>1582875</v>
      </c>
      <c r="FU22">
        <f t="shared" si="9"/>
        <v>121582875</v>
      </c>
      <c r="GA22" s="67">
        <f>(I22/(1-0.37))/E22</f>
        <v>0.08375</v>
      </c>
      <c r="GB22" s="67">
        <f>I22/E22</f>
        <v>0.0527625</v>
      </c>
    </row>
    <row r="23" spans="1:184" ht="12.75">
      <c r="A23" s="17">
        <v>14</v>
      </c>
      <c r="B23" s="70" t="s">
        <v>84</v>
      </c>
      <c r="C23" s="25">
        <v>1995</v>
      </c>
      <c r="D23" s="18">
        <v>2233037</v>
      </c>
      <c r="E23" s="19">
        <f>D23*25</f>
        <v>55825925</v>
      </c>
      <c r="F23" s="15">
        <f>-195859.99-1618002.11-33959.89-46700.92-168202.74-36615.33-90278.17-2587.95+11051-271464.54-67935.61</f>
        <v>-2520556.25</v>
      </c>
      <c r="G23" s="15"/>
      <c r="H23" s="19">
        <f>E23+F23</f>
        <v>53305368.75</v>
      </c>
      <c r="I23" s="19">
        <f>(+E23*(0.0855*(1-0.37)))</f>
        <v>3007063.450125</v>
      </c>
      <c r="J23" s="15"/>
      <c r="K23" s="20">
        <f>IRR(Q23:EG23,P23)*4</f>
        <v>0.06410424203679593</v>
      </c>
      <c r="L23" s="15"/>
      <c r="M23" s="15">
        <f>E23*K23</f>
        <v>3578678.608128017</v>
      </c>
      <c r="N23" s="21">
        <v>14</v>
      </c>
      <c r="O23" s="13">
        <f>30*4</f>
        <v>120</v>
      </c>
      <c r="P23" s="26">
        <f>(0.0855/4)*0.63</f>
        <v>0.01346625</v>
      </c>
      <c r="Q23">
        <f>-H23</f>
        <v>-53305368.75</v>
      </c>
      <c r="R23">
        <f>IF(R$8&gt;$O23,0,IF(R$8&lt;$O23,$P23*$E23,$P23*$E23+$E23))+95470.33</f>
        <v>847236.19253125</v>
      </c>
      <c r="S23">
        <f aca="true" t="shared" si="10" ref="S23:AH23">IF(S$8&gt;$O23,0,IF(S$8&lt;$O23,$P23*$E23,$P23*$E23+$E23))+95470.33</f>
        <v>847236.19253125</v>
      </c>
      <c r="T23">
        <f t="shared" si="10"/>
        <v>847236.19253125</v>
      </c>
      <c r="U23">
        <f t="shared" si="10"/>
        <v>847236.19253125</v>
      </c>
      <c r="V23">
        <f t="shared" si="10"/>
        <v>847236.19253125</v>
      </c>
      <c r="W23">
        <f t="shared" si="10"/>
        <v>847236.19253125</v>
      </c>
      <c r="X23">
        <f t="shared" si="10"/>
        <v>847236.19253125</v>
      </c>
      <c r="Y23">
        <f t="shared" si="10"/>
        <v>847236.19253125</v>
      </c>
      <c r="Z23">
        <f t="shared" si="10"/>
        <v>847236.19253125</v>
      </c>
      <c r="AA23">
        <f t="shared" si="10"/>
        <v>847236.19253125</v>
      </c>
      <c r="AB23">
        <f t="shared" si="10"/>
        <v>847236.19253125</v>
      </c>
      <c r="AC23">
        <f t="shared" si="10"/>
        <v>847236.19253125</v>
      </c>
      <c r="AD23">
        <f t="shared" si="10"/>
        <v>847236.19253125</v>
      </c>
      <c r="AE23">
        <f t="shared" si="10"/>
        <v>847236.19253125</v>
      </c>
      <c r="AF23">
        <f t="shared" si="10"/>
        <v>847236.19253125</v>
      </c>
      <c r="AG23">
        <f t="shared" si="10"/>
        <v>847236.19253125</v>
      </c>
      <c r="AH23">
        <f t="shared" si="10"/>
        <v>847236.19253125</v>
      </c>
      <c r="AI23">
        <f aca="true" t="shared" si="11" ref="AI23:AX23">IF(AI$8&gt;$O23,0,IF(AI$8&lt;$O23,$P23*$E23,$P23*$E23+$E23))+95470.33</f>
        <v>847236.19253125</v>
      </c>
      <c r="AJ23">
        <f t="shared" si="11"/>
        <v>847236.19253125</v>
      </c>
      <c r="AK23">
        <f t="shared" si="11"/>
        <v>847236.19253125</v>
      </c>
      <c r="AL23">
        <f t="shared" si="11"/>
        <v>847236.19253125</v>
      </c>
      <c r="AM23">
        <f t="shared" si="11"/>
        <v>847236.19253125</v>
      </c>
      <c r="AN23">
        <f t="shared" si="11"/>
        <v>847236.19253125</v>
      </c>
      <c r="AO23">
        <f t="shared" si="11"/>
        <v>847236.19253125</v>
      </c>
      <c r="AP23">
        <f t="shared" si="11"/>
        <v>847236.19253125</v>
      </c>
      <c r="AQ23">
        <f t="shared" si="11"/>
        <v>847236.19253125</v>
      </c>
      <c r="AR23">
        <f t="shared" si="11"/>
        <v>847236.19253125</v>
      </c>
      <c r="AS23">
        <f t="shared" si="11"/>
        <v>847236.19253125</v>
      </c>
      <c r="AT23">
        <f t="shared" si="11"/>
        <v>847236.19253125</v>
      </c>
      <c r="AU23">
        <f t="shared" si="11"/>
        <v>847236.19253125</v>
      </c>
      <c r="AV23">
        <f t="shared" si="11"/>
        <v>847236.19253125</v>
      </c>
      <c r="AW23">
        <f t="shared" si="11"/>
        <v>847236.19253125</v>
      </c>
      <c r="AX23">
        <f t="shared" si="11"/>
        <v>847236.19253125</v>
      </c>
      <c r="AY23">
        <f aca="true" t="shared" si="12" ref="AY23:BN23">IF(AY$8&gt;$O23,0,IF(AY$8&lt;$O23,$P23*$E23,$P23*$E23+$E23))+95470.33</f>
        <v>847236.19253125</v>
      </c>
      <c r="AZ23">
        <f t="shared" si="12"/>
        <v>847236.19253125</v>
      </c>
      <c r="BA23">
        <f t="shared" si="12"/>
        <v>847236.19253125</v>
      </c>
      <c r="BB23">
        <f t="shared" si="12"/>
        <v>847236.19253125</v>
      </c>
      <c r="BC23">
        <f t="shared" si="12"/>
        <v>847236.19253125</v>
      </c>
      <c r="BD23">
        <f t="shared" si="12"/>
        <v>847236.19253125</v>
      </c>
      <c r="BE23">
        <f t="shared" si="12"/>
        <v>847236.19253125</v>
      </c>
      <c r="BF23">
        <f t="shared" si="12"/>
        <v>847236.19253125</v>
      </c>
      <c r="BG23">
        <f t="shared" si="12"/>
        <v>847236.19253125</v>
      </c>
      <c r="BH23">
        <f t="shared" si="12"/>
        <v>847236.19253125</v>
      </c>
      <c r="BI23">
        <f t="shared" si="12"/>
        <v>847236.19253125</v>
      </c>
      <c r="BJ23">
        <f t="shared" si="12"/>
        <v>847236.19253125</v>
      </c>
      <c r="BK23">
        <f t="shared" si="12"/>
        <v>847236.19253125</v>
      </c>
      <c r="BL23">
        <f t="shared" si="12"/>
        <v>847236.19253125</v>
      </c>
      <c r="BM23">
        <f t="shared" si="12"/>
        <v>847236.19253125</v>
      </c>
      <c r="BN23">
        <f t="shared" si="12"/>
        <v>847236.19253125</v>
      </c>
      <c r="BO23">
        <f aca="true" t="shared" si="13" ref="BO23:CD23">IF(BO$8&gt;$O23,0,IF(BO$8&lt;$O23,$P23*$E23,$P23*$E23+$E23))+95470.33</f>
        <v>847236.19253125</v>
      </c>
      <c r="BP23">
        <f t="shared" si="13"/>
        <v>847236.19253125</v>
      </c>
      <c r="BQ23">
        <f t="shared" si="13"/>
        <v>847236.19253125</v>
      </c>
      <c r="BR23">
        <f t="shared" si="13"/>
        <v>847236.19253125</v>
      </c>
      <c r="BS23">
        <f t="shared" si="13"/>
        <v>847236.19253125</v>
      </c>
      <c r="BT23">
        <f t="shared" si="13"/>
        <v>847236.19253125</v>
      </c>
      <c r="BU23">
        <f t="shared" si="13"/>
        <v>847236.19253125</v>
      </c>
      <c r="BV23">
        <f t="shared" si="13"/>
        <v>847236.19253125</v>
      </c>
      <c r="BW23">
        <f t="shared" si="13"/>
        <v>847236.19253125</v>
      </c>
      <c r="BX23">
        <f t="shared" si="13"/>
        <v>847236.19253125</v>
      </c>
      <c r="BY23">
        <f t="shared" si="13"/>
        <v>847236.19253125</v>
      </c>
      <c r="BZ23">
        <f t="shared" si="13"/>
        <v>847236.19253125</v>
      </c>
      <c r="CA23">
        <f t="shared" si="13"/>
        <v>847236.19253125</v>
      </c>
      <c r="CB23">
        <f t="shared" si="13"/>
        <v>847236.19253125</v>
      </c>
      <c r="CC23">
        <f t="shared" si="13"/>
        <v>847236.19253125</v>
      </c>
      <c r="CD23">
        <f t="shared" si="13"/>
        <v>847236.19253125</v>
      </c>
      <c r="CE23">
        <f aca="true" t="shared" si="14" ref="CE23:CT23">IF(CE$8&gt;$O23,0,IF(CE$8&lt;$O23,$P23*$E23,$P23*$E23+$E23))+95470.33</f>
        <v>847236.19253125</v>
      </c>
      <c r="CF23">
        <f t="shared" si="14"/>
        <v>847236.19253125</v>
      </c>
      <c r="CG23">
        <f t="shared" si="14"/>
        <v>847236.19253125</v>
      </c>
      <c r="CH23">
        <f t="shared" si="14"/>
        <v>847236.19253125</v>
      </c>
      <c r="CI23">
        <f t="shared" si="14"/>
        <v>847236.19253125</v>
      </c>
      <c r="CJ23">
        <f t="shared" si="14"/>
        <v>847236.19253125</v>
      </c>
      <c r="CK23">
        <f t="shared" si="14"/>
        <v>847236.19253125</v>
      </c>
      <c r="CL23">
        <f t="shared" si="14"/>
        <v>847236.19253125</v>
      </c>
      <c r="CM23">
        <f t="shared" si="14"/>
        <v>847236.19253125</v>
      </c>
      <c r="CN23">
        <f t="shared" si="14"/>
        <v>847236.19253125</v>
      </c>
      <c r="CO23">
        <f t="shared" si="14"/>
        <v>847236.19253125</v>
      </c>
      <c r="CP23">
        <f t="shared" si="14"/>
        <v>847236.19253125</v>
      </c>
      <c r="CQ23">
        <f t="shared" si="14"/>
        <v>847236.19253125</v>
      </c>
      <c r="CR23">
        <f t="shared" si="14"/>
        <v>847236.19253125</v>
      </c>
      <c r="CS23">
        <f t="shared" si="14"/>
        <v>847236.19253125</v>
      </c>
      <c r="CT23">
        <f t="shared" si="14"/>
        <v>847236.19253125</v>
      </c>
      <c r="CU23">
        <f aca="true" t="shared" si="15" ref="CU23:DJ23">IF(CU$8&gt;$O23,0,IF(CU$8&lt;$O23,$P23*$E23,$P23*$E23+$E23))+95470.33</f>
        <v>847236.19253125</v>
      </c>
      <c r="CV23">
        <f t="shared" si="15"/>
        <v>847236.19253125</v>
      </c>
      <c r="CW23">
        <f t="shared" si="15"/>
        <v>847236.19253125</v>
      </c>
      <c r="CX23">
        <f t="shared" si="15"/>
        <v>847236.19253125</v>
      </c>
      <c r="CY23">
        <f t="shared" si="15"/>
        <v>847236.19253125</v>
      </c>
      <c r="CZ23">
        <f t="shared" si="15"/>
        <v>847236.19253125</v>
      </c>
      <c r="DA23">
        <f t="shared" si="15"/>
        <v>847236.19253125</v>
      </c>
      <c r="DB23">
        <f t="shared" si="15"/>
        <v>847236.19253125</v>
      </c>
      <c r="DC23">
        <f t="shared" si="15"/>
        <v>847236.19253125</v>
      </c>
      <c r="DD23">
        <f t="shared" si="15"/>
        <v>847236.19253125</v>
      </c>
      <c r="DE23">
        <f t="shared" si="15"/>
        <v>847236.19253125</v>
      </c>
      <c r="DF23">
        <f t="shared" si="15"/>
        <v>847236.19253125</v>
      </c>
      <c r="DG23">
        <f t="shared" si="15"/>
        <v>847236.19253125</v>
      </c>
      <c r="DH23">
        <f t="shared" si="15"/>
        <v>847236.19253125</v>
      </c>
      <c r="DI23">
        <f t="shared" si="15"/>
        <v>847236.19253125</v>
      </c>
      <c r="DJ23">
        <f t="shared" si="15"/>
        <v>847236.19253125</v>
      </c>
      <c r="DK23">
        <f aca="true" t="shared" si="16" ref="DK23:DZ23">IF(DK$8&gt;$O23,0,IF(DK$8&lt;$O23,$P23*$E23,$P23*$E23+$E23))+95470.33</f>
        <v>847236.19253125</v>
      </c>
      <c r="DL23">
        <f t="shared" si="16"/>
        <v>847236.19253125</v>
      </c>
      <c r="DM23">
        <f t="shared" si="16"/>
        <v>847236.19253125</v>
      </c>
      <c r="DN23">
        <f t="shared" si="16"/>
        <v>847236.19253125</v>
      </c>
      <c r="DO23">
        <f t="shared" si="16"/>
        <v>847236.19253125</v>
      </c>
      <c r="DP23">
        <f t="shared" si="16"/>
        <v>847236.19253125</v>
      </c>
      <c r="DQ23">
        <f t="shared" si="16"/>
        <v>847236.19253125</v>
      </c>
      <c r="DR23">
        <f t="shared" si="16"/>
        <v>847236.19253125</v>
      </c>
      <c r="DS23">
        <f t="shared" si="16"/>
        <v>847236.19253125</v>
      </c>
      <c r="DT23">
        <f t="shared" si="16"/>
        <v>847236.19253125</v>
      </c>
      <c r="DU23">
        <f t="shared" si="16"/>
        <v>847236.19253125</v>
      </c>
      <c r="DV23">
        <f t="shared" si="16"/>
        <v>847236.19253125</v>
      </c>
      <c r="DW23">
        <f t="shared" si="16"/>
        <v>847236.19253125</v>
      </c>
      <c r="DX23">
        <f t="shared" si="16"/>
        <v>847236.19253125</v>
      </c>
      <c r="DY23">
        <f t="shared" si="16"/>
        <v>847236.19253125</v>
      </c>
      <c r="DZ23">
        <f t="shared" si="16"/>
        <v>847236.19253125</v>
      </c>
      <c r="EA23">
        <f aca="true" t="shared" si="17" ref="EA23:EG23">IF(EA$8&gt;$O23,0,IF(EA$8&lt;$O23,$P23*$E23,$P23*$E23+$E23))+95470.33</f>
        <v>847236.19253125</v>
      </c>
      <c r="EB23">
        <f t="shared" si="17"/>
        <v>847236.19253125</v>
      </c>
      <c r="EC23">
        <f t="shared" si="17"/>
        <v>847236.19253125</v>
      </c>
      <c r="ED23">
        <f t="shared" si="17"/>
        <v>847236.19253125</v>
      </c>
      <c r="EE23">
        <f t="shared" si="17"/>
        <v>847236.19253125</v>
      </c>
      <c r="EF23">
        <f t="shared" si="17"/>
        <v>847236.19253125</v>
      </c>
      <c r="EG23">
        <f t="shared" si="17"/>
        <v>56673161.19253125</v>
      </c>
      <c r="FW23" s="65" t="s">
        <v>53</v>
      </c>
      <c r="GA23" s="67">
        <f>(I23/(1-0.37))/E23</f>
        <v>0.0855</v>
      </c>
      <c r="GB23" s="67">
        <f>I23/E23</f>
        <v>0.053864999999999996</v>
      </c>
    </row>
    <row r="24" spans="1:184" ht="12.75">
      <c r="A24" s="17">
        <v>15</v>
      </c>
      <c r="B24" s="71" t="s">
        <v>85</v>
      </c>
      <c r="C24" s="61">
        <v>35227</v>
      </c>
      <c r="D24" s="63">
        <v>8680000</v>
      </c>
      <c r="E24" s="62">
        <v>217000000</v>
      </c>
      <c r="F24" s="15">
        <f>-((6861307.31+27375+310008+33611.7+60960.6+79061.47+111569.36+215.6+300+3400)*0.63)-4578320</f>
        <v>-9295639.6952</v>
      </c>
      <c r="G24" s="15"/>
      <c r="H24" s="19">
        <f>E24+F24</f>
        <v>207704360.3048</v>
      </c>
      <c r="I24" s="19">
        <f>(+E24*(0.0825*(1-0.37)))</f>
        <v>11278575</v>
      </c>
      <c r="J24" s="15"/>
      <c r="K24" s="20">
        <f>IRR(Q24:FU24,P24)*4</f>
        <v>0.056417952304139714</v>
      </c>
      <c r="L24" s="15"/>
      <c r="M24" s="15">
        <f>E24*K24</f>
        <v>12242695.649998318</v>
      </c>
      <c r="N24" s="21">
        <v>15</v>
      </c>
      <c r="O24" s="13">
        <v>160</v>
      </c>
      <c r="P24" s="26">
        <f>(0.0825/4)*0.63</f>
        <v>0.01299375</v>
      </c>
      <c r="Q24">
        <f>-H24</f>
        <v>-207704360.3048</v>
      </c>
      <c r="R24">
        <f aca="true" t="shared" si="18" ref="R24:AW24">IF(R$8&gt;$O24,0,IF(R$8&lt;$O24,$P$24*$E$24,$P$24*$E$24+$E$24))+94315.78</f>
        <v>2913959.53</v>
      </c>
      <c r="S24">
        <f t="shared" si="18"/>
        <v>2913959.53</v>
      </c>
      <c r="T24">
        <f t="shared" si="18"/>
        <v>2913959.53</v>
      </c>
      <c r="U24">
        <f t="shared" si="18"/>
        <v>2913959.53</v>
      </c>
      <c r="V24">
        <f t="shared" si="18"/>
        <v>2913959.53</v>
      </c>
      <c r="W24">
        <f t="shared" si="18"/>
        <v>2913959.53</v>
      </c>
      <c r="X24">
        <f t="shared" si="18"/>
        <v>2913959.53</v>
      </c>
      <c r="Y24">
        <f t="shared" si="18"/>
        <v>2913959.53</v>
      </c>
      <c r="Z24">
        <f t="shared" si="18"/>
        <v>2913959.53</v>
      </c>
      <c r="AA24">
        <f t="shared" si="18"/>
        <v>2913959.53</v>
      </c>
      <c r="AB24">
        <f t="shared" si="18"/>
        <v>2913959.53</v>
      </c>
      <c r="AC24">
        <f t="shared" si="18"/>
        <v>2913959.53</v>
      </c>
      <c r="AD24">
        <f t="shared" si="18"/>
        <v>2913959.53</v>
      </c>
      <c r="AE24">
        <f t="shared" si="18"/>
        <v>2913959.53</v>
      </c>
      <c r="AF24">
        <f t="shared" si="18"/>
        <v>2913959.53</v>
      </c>
      <c r="AG24">
        <f t="shared" si="18"/>
        <v>2913959.53</v>
      </c>
      <c r="AH24">
        <f t="shared" si="18"/>
        <v>2913959.53</v>
      </c>
      <c r="AI24">
        <f t="shared" si="18"/>
        <v>2913959.53</v>
      </c>
      <c r="AJ24">
        <f t="shared" si="18"/>
        <v>2913959.53</v>
      </c>
      <c r="AK24">
        <f t="shared" si="18"/>
        <v>2913959.53</v>
      </c>
      <c r="AL24">
        <f t="shared" si="18"/>
        <v>2913959.53</v>
      </c>
      <c r="AM24">
        <f t="shared" si="18"/>
        <v>2913959.53</v>
      </c>
      <c r="AN24">
        <f t="shared" si="18"/>
        <v>2913959.53</v>
      </c>
      <c r="AO24">
        <f t="shared" si="18"/>
        <v>2913959.53</v>
      </c>
      <c r="AP24">
        <f t="shared" si="18"/>
        <v>2913959.53</v>
      </c>
      <c r="AQ24">
        <f t="shared" si="18"/>
        <v>2913959.53</v>
      </c>
      <c r="AR24">
        <f t="shared" si="18"/>
        <v>2913959.53</v>
      </c>
      <c r="AS24">
        <f t="shared" si="18"/>
        <v>2913959.53</v>
      </c>
      <c r="AT24">
        <f t="shared" si="18"/>
        <v>2913959.53</v>
      </c>
      <c r="AU24">
        <f t="shared" si="18"/>
        <v>2913959.53</v>
      </c>
      <c r="AV24">
        <f t="shared" si="18"/>
        <v>2913959.53</v>
      </c>
      <c r="AW24">
        <f t="shared" si="18"/>
        <v>2913959.53</v>
      </c>
      <c r="AX24">
        <f aca="true" t="shared" si="19" ref="AX24:CC24">IF(AX$8&gt;$O24,0,IF(AX$8&lt;$O24,$P$24*$E$24,$P$24*$E$24+$E$24))+94315.78</f>
        <v>2913959.53</v>
      </c>
      <c r="AY24">
        <f t="shared" si="19"/>
        <v>2913959.53</v>
      </c>
      <c r="AZ24">
        <f t="shared" si="19"/>
        <v>2913959.53</v>
      </c>
      <c r="BA24">
        <f t="shared" si="19"/>
        <v>2913959.53</v>
      </c>
      <c r="BB24">
        <f t="shared" si="19"/>
        <v>2913959.53</v>
      </c>
      <c r="BC24">
        <f t="shared" si="19"/>
        <v>2913959.53</v>
      </c>
      <c r="BD24">
        <f t="shared" si="19"/>
        <v>2913959.53</v>
      </c>
      <c r="BE24">
        <f t="shared" si="19"/>
        <v>2913959.53</v>
      </c>
      <c r="BF24">
        <f t="shared" si="19"/>
        <v>2913959.53</v>
      </c>
      <c r="BG24">
        <f t="shared" si="19"/>
        <v>2913959.53</v>
      </c>
      <c r="BH24">
        <f t="shared" si="19"/>
        <v>2913959.53</v>
      </c>
      <c r="BI24">
        <f t="shared" si="19"/>
        <v>2913959.53</v>
      </c>
      <c r="BJ24">
        <f t="shared" si="19"/>
        <v>2913959.53</v>
      </c>
      <c r="BK24">
        <f t="shared" si="19"/>
        <v>2913959.53</v>
      </c>
      <c r="BL24">
        <f t="shared" si="19"/>
        <v>2913959.53</v>
      </c>
      <c r="BM24">
        <f t="shared" si="19"/>
        <v>2913959.53</v>
      </c>
      <c r="BN24">
        <f t="shared" si="19"/>
        <v>2913959.53</v>
      </c>
      <c r="BO24">
        <f t="shared" si="19"/>
        <v>2913959.53</v>
      </c>
      <c r="BP24">
        <f t="shared" si="19"/>
        <v>2913959.53</v>
      </c>
      <c r="BQ24">
        <f t="shared" si="19"/>
        <v>2913959.53</v>
      </c>
      <c r="BR24">
        <f t="shared" si="19"/>
        <v>2913959.53</v>
      </c>
      <c r="BS24">
        <f t="shared" si="19"/>
        <v>2913959.53</v>
      </c>
      <c r="BT24">
        <f t="shared" si="19"/>
        <v>2913959.53</v>
      </c>
      <c r="BU24">
        <f t="shared" si="19"/>
        <v>2913959.53</v>
      </c>
      <c r="BV24">
        <f t="shared" si="19"/>
        <v>2913959.53</v>
      </c>
      <c r="BW24">
        <f t="shared" si="19"/>
        <v>2913959.53</v>
      </c>
      <c r="BX24">
        <f t="shared" si="19"/>
        <v>2913959.53</v>
      </c>
      <c r="BY24">
        <f t="shared" si="19"/>
        <v>2913959.53</v>
      </c>
      <c r="BZ24">
        <f t="shared" si="19"/>
        <v>2913959.53</v>
      </c>
      <c r="CA24">
        <f t="shared" si="19"/>
        <v>2913959.53</v>
      </c>
      <c r="CB24">
        <f t="shared" si="19"/>
        <v>2913959.53</v>
      </c>
      <c r="CC24">
        <f t="shared" si="19"/>
        <v>2913959.53</v>
      </c>
      <c r="CD24">
        <f aca="true" t="shared" si="20" ref="CD24:DI24">IF(CD$8&gt;$O24,0,IF(CD$8&lt;$O24,$P$24*$E$24,$P$24*$E$24+$E$24))+94315.78</f>
        <v>2913959.53</v>
      </c>
      <c r="CE24">
        <f t="shared" si="20"/>
        <v>2913959.53</v>
      </c>
      <c r="CF24">
        <f t="shared" si="20"/>
        <v>2913959.53</v>
      </c>
      <c r="CG24">
        <f t="shared" si="20"/>
        <v>2913959.53</v>
      </c>
      <c r="CH24">
        <f t="shared" si="20"/>
        <v>2913959.53</v>
      </c>
      <c r="CI24">
        <f t="shared" si="20"/>
        <v>2913959.53</v>
      </c>
      <c r="CJ24">
        <f t="shared" si="20"/>
        <v>2913959.53</v>
      </c>
      <c r="CK24">
        <f t="shared" si="20"/>
        <v>2913959.53</v>
      </c>
      <c r="CL24">
        <f t="shared" si="20"/>
        <v>2913959.53</v>
      </c>
      <c r="CM24">
        <f t="shared" si="20"/>
        <v>2913959.53</v>
      </c>
      <c r="CN24">
        <f t="shared" si="20"/>
        <v>2913959.53</v>
      </c>
      <c r="CO24">
        <f t="shared" si="20"/>
        <v>2913959.53</v>
      </c>
      <c r="CP24">
        <f t="shared" si="20"/>
        <v>2913959.53</v>
      </c>
      <c r="CQ24">
        <f t="shared" si="20"/>
        <v>2913959.53</v>
      </c>
      <c r="CR24">
        <f t="shared" si="20"/>
        <v>2913959.53</v>
      </c>
      <c r="CS24">
        <f t="shared" si="20"/>
        <v>2913959.53</v>
      </c>
      <c r="CT24">
        <f t="shared" si="20"/>
        <v>2913959.53</v>
      </c>
      <c r="CU24">
        <f t="shared" si="20"/>
        <v>2913959.53</v>
      </c>
      <c r="CV24">
        <f t="shared" si="20"/>
        <v>2913959.53</v>
      </c>
      <c r="CW24">
        <f t="shared" si="20"/>
        <v>2913959.53</v>
      </c>
      <c r="CX24">
        <f t="shared" si="20"/>
        <v>2913959.53</v>
      </c>
      <c r="CY24">
        <f t="shared" si="20"/>
        <v>2913959.53</v>
      </c>
      <c r="CZ24">
        <f t="shared" si="20"/>
        <v>2913959.53</v>
      </c>
      <c r="DA24">
        <f t="shared" si="20"/>
        <v>2913959.53</v>
      </c>
      <c r="DB24">
        <f t="shared" si="20"/>
        <v>2913959.53</v>
      </c>
      <c r="DC24">
        <f t="shared" si="20"/>
        <v>2913959.53</v>
      </c>
      <c r="DD24">
        <f t="shared" si="20"/>
        <v>2913959.53</v>
      </c>
      <c r="DE24">
        <f t="shared" si="20"/>
        <v>2913959.53</v>
      </c>
      <c r="DF24">
        <f t="shared" si="20"/>
        <v>2913959.53</v>
      </c>
      <c r="DG24">
        <f t="shared" si="20"/>
        <v>2913959.53</v>
      </c>
      <c r="DH24">
        <f t="shared" si="20"/>
        <v>2913959.53</v>
      </c>
      <c r="DI24">
        <f t="shared" si="20"/>
        <v>2913959.53</v>
      </c>
      <c r="DJ24">
        <f aca="true" t="shared" si="21" ref="DJ24:EO24">IF(DJ$8&gt;$O24,0,IF(DJ$8&lt;$O24,$P$24*$E$24,$P$24*$E$24+$E$24))+94315.78</f>
        <v>2913959.53</v>
      </c>
      <c r="DK24">
        <f t="shared" si="21"/>
        <v>2913959.53</v>
      </c>
      <c r="DL24">
        <f t="shared" si="21"/>
        <v>2913959.53</v>
      </c>
      <c r="DM24">
        <f t="shared" si="21"/>
        <v>2913959.53</v>
      </c>
      <c r="DN24">
        <f t="shared" si="21"/>
        <v>2913959.53</v>
      </c>
      <c r="DO24">
        <f t="shared" si="21"/>
        <v>2913959.53</v>
      </c>
      <c r="DP24">
        <f t="shared" si="21"/>
        <v>2913959.53</v>
      </c>
      <c r="DQ24">
        <f t="shared" si="21"/>
        <v>2913959.53</v>
      </c>
      <c r="DR24">
        <f t="shared" si="21"/>
        <v>2913959.53</v>
      </c>
      <c r="DS24">
        <f t="shared" si="21"/>
        <v>2913959.53</v>
      </c>
      <c r="DT24">
        <f t="shared" si="21"/>
        <v>2913959.53</v>
      </c>
      <c r="DU24">
        <f t="shared" si="21"/>
        <v>2913959.53</v>
      </c>
      <c r="DV24">
        <f t="shared" si="21"/>
        <v>2913959.53</v>
      </c>
      <c r="DW24">
        <f t="shared" si="21"/>
        <v>2913959.53</v>
      </c>
      <c r="DX24">
        <f t="shared" si="21"/>
        <v>2913959.53</v>
      </c>
      <c r="DY24">
        <f t="shared" si="21"/>
        <v>2913959.53</v>
      </c>
      <c r="DZ24">
        <f t="shared" si="21"/>
        <v>2913959.53</v>
      </c>
      <c r="EA24">
        <f t="shared" si="21"/>
        <v>2913959.53</v>
      </c>
      <c r="EB24">
        <f t="shared" si="21"/>
        <v>2913959.53</v>
      </c>
      <c r="EC24">
        <f t="shared" si="21"/>
        <v>2913959.53</v>
      </c>
      <c r="ED24">
        <f t="shared" si="21"/>
        <v>2913959.53</v>
      </c>
      <c r="EE24">
        <f t="shared" si="21"/>
        <v>2913959.53</v>
      </c>
      <c r="EF24">
        <f t="shared" si="21"/>
        <v>2913959.53</v>
      </c>
      <c r="EG24">
        <f t="shared" si="21"/>
        <v>2913959.53</v>
      </c>
      <c r="EH24">
        <f t="shared" si="21"/>
        <v>2913959.53</v>
      </c>
      <c r="EI24">
        <f t="shared" si="21"/>
        <v>2913959.53</v>
      </c>
      <c r="EJ24">
        <f t="shared" si="21"/>
        <v>2913959.53</v>
      </c>
      <c r="EK24">
        <f t="shared" si="21"/>
        <v>2913959.53</v>
      </c>
      <c r="EL24">
        <f t="shared" si="21"/>
        <v>2913959.53</v>
      </c>
      <c r="EM24">
        <f t="shared" si="21"/>
        <v>2913959.53</v>
      </c>
      <c r="EN24">
        <f t="shared" si="21"/>
        <v>2913959.53</v>
      </c>
      <c r="EO24">
        <f t="shared" si="21"/>
        <v>2913959.53</v>
      </c>
      <c r="EP24">
        <f aca="true" t="shared" si="22" ref="EP24:FU24">IF(EP$8&gt;$O24,0,IF(EP$8&lt;$O24,$P$24*$E$24,$P$24*$E$24+$E$24))+94315.78</f>
        <v>2913959.53</v>
      </c>
      <c r="EQ24">
        <f t="shared" si="22"/>
        <v>2913959.53</v>
      </c>
      <c r="ER24">
        <f t="shared" si="22"/>
        <v>2913959.53</v>
      </c>
      <c r="ES24">
        <f t="shared" si="22"/>
        <v>2913959.53</v>
      </c>
      <c r="ET24">
        <f t="shared" si="22"/>
        <v>2913959.53</v>
      </c>
      <c r="EU24">
        <f t="shared" si="22"/>
        <v>2913959.53</v>
      </c>
      <c r="EV24">
        <f t="shared" si="22"/>
        <v>2913959.53</v>
      </c>
      <c r="EW24">
        <f t="shared" si="22"/>
        <v>2913959.53</v>
      </c>
      <c r="EX24">
        <f t="shared" si="22"/>
        <v>2913959.53</v>
      </c>
      <c r="EY24">
        <f t="shared" si="22"/>
        <v>2913959.53</v>
      </c>
      <c r="EZ24">
        <f t="shared" si="22"/>
        <v>2913959.53</v>
      </c>
      <c r="FA24">
        <f t="shared" si="22"/>
        <v>2913959.53</v>
      </c>
      <c r="FB24">
        <f t="shared" si="22"/>
        <v>2913959.53</v>
      </c>
      <c r="FC24">
        <f t="shared" si="22"/>
        <v>2913959.53</v>
      </c>
      <c r="FD24">
        <f t="shared" si="22"/>
        <v>2913959.53</v>
      </c>
      <c r="FE24">
        <f t="shared" si="22"/>
        <v>2913959.53</v>
      </c>
      <c r="FF24">
        <f t="shared" si="22"/>
        <v>2913959.53</v>
      </c>
      <c r="FG24">
        <f t="shared" si="22"/>
        <v>2913959.53</v>
      </c>
      <c r="FH24">
        <f t="shared" si="22"/>
        <v>2913959.53</v>
      </c>
      <c r="FI24">
        <f t="shared" si="22"/>
        <v>2913959.53</v>
      </c>
      <c r="FJ24">
        <f t="shared" si="22"/>
        <v>2913959.53</v>
      </c>
      <c r="FK24">
        <f t="shared" si="22"/>
        <v>2913959.53</v>
      </c>
      <c r="FL24">
        <f t="shared" si="22"/>
        <v>2913959.53</v>
      </c>
      <c r="FM24">
        <f t="shared" si="22"/>
        <v>2913959.53</v>
      </c>
      <c r="FN24">
        <f t="shared" si="22"/>
        <v>2913959.53</v>
      </c>
      <c r="FO24">
        <f t="shared" si="22"/>
        <v>2913959.53</v>
      </c>
      <c r="FP24">
        <f t="shared" si="22"/>
        <v>2913959.53</v>
      </c>
      <c r="FQ24">
        <f t="shared" si="22"/>
        <v>2913959.53</v>
      </c>
      <c r="FR24">
        <f t="shared" si="22"/>
        <v>2913959.53</v>
      </c>
      <c r="FS24">
        <f t="shared" si="22"/>
        <v>2913959.53</v>
      </c>
      <c r="FT24">
        <f t="shared" si="22"/>
        <v>2913959.53</v>
      </c>
      <c r="FU24">
        <f t="shared" si="22"/>
        <v>219913959.53</v>
      </c>
      <c r="FW24" s="66" t="s">
        <v>54</v>
      </c>
      <c r="GA24" s="67">
        <f>(I24/(1-0.37))/E24</f>
        <v>0.0825</v>
      </c>
      <c r="GB24" s="67">
        <f>I24/E24</f>
        <v>0.051975</v>
      </c>
    </row>
    <row r="25" spans="1:184" ht="12.75">
      <c r="A25" s="17">
        <v>16</v>
      </c>
      <c r="B25" s="71" t="s">
        <v>86</v>
      </c>
      <c r="C25" s="61">
        <f>DATE(1997,8,4)</f>
        <v>35646</v>
      </c>
      <c r="D25" s="63">
        <v>5400000</v>
      </c>
      <c r="E25" s="62">
        <v>135000000</v>
      </c>
      <c r="F25" s="15">
        <f>-((4325066.48+74609.75+29329.64+1271.75+50751.62+2900+2150.3+99654.61+601.05+350.05)*0.63)</f>
        <v>-2889611.7075</v>
      </c>
      <c r="G25" s="15"/>
      <c r="H25" s="19">
        <f>E25+F25</f>
        <v>132110388.2925</v>
      </c>
      <c r="I25" s="19">
        <f>(+E25*(0.077*(1-0.37)))</f>
        <v>6548850</v>
      </c>
      <c r="J25" s="15"/>
      <c r="K25" s="20">
        <f>IRR(Q25:FU25,P25)*4</f>
        <v>0.05236201682192916</v>
      </c>
      <c r="L25" s="15"/>
      <c r="M25" s="15">
        <f>E25*K25</f>
        <v>7068872.270960437</v>
      </c>
      <c r="N25" s="21">
        <v>16</v>
      </c>
      <c r="O25" s="13">
        <v>160</v>
      </c>
      <c r="P25" s="26">
        <f>(0.077/4)*0.63</f>
        <v>0.0121275</v>
      </c>
      <c r="Q25">
        <f>-H25</f>
        <v>-132110388.2925</v>
      </c>
      <c r="R25">
        <f aca="true" t="shared" si="23" ref="R25:AW25">IF(R$8&gt;$O25,0,IF(R$8&lt;$O25,$P$25*$E$25,$P$25*$E$25+$E$25))+86784.25</f>
        <v>1723996.75</v>
      </c>
      <c r="S25">
        <f t="shared" si="23"/>
        <v>1723996.75</v>
      </c>
      <c r="T25">
        <f t="shared" si="23"/>
        <v>1723996.75</v>
      </c>
      <c r="U25">
        <f t="shared" si="23"/>
        <v>1723996.75</v>
      </c>
      <c r="V25">
        <f t="shared" si="23"/>
        <v>1723996.75</v>
      </c>
      <c r="W25">
        <f t="shared" si="23"/>
        <v>1723996.75</v>
      </c>
      <c r="X25">
        <f t="shared" si="23"/>
        <v>1723996.75</v>
      </c>
      <c r="Y25">
        <f t="shared" si="23"/>
        <v>1723996.75</v>
      </c>
      <c r="Z25">
        <f t="shared" si="23"/>
        <v>1723996.75</v>
      </c>
      <c r="AA25">
        <f t="shared" si="23"/>
        <v>1723996.75</v>
      </c>
      <c r="AB25">
        <f t="shared" si="23"/>
        <v>1723996.75</v>
      </c>
      <c r="AC25">
        <f t="shared" si="23"/>
        <v>1723996.75</v>
      </c>
      <c r="AD25">
        <f t="shared" si="23"/>
        <v>1723996.75</v>
      </c>
      <c r="AE25">
        <f t="shared" si="23"/>
        <v>1723996.75</v>
      </c>
      <c r="AF25">
        <f t="shared" si="23"/>
        <v>1723996.75</v>
      </c>
      <c r="AG25">
        <f t="shared" si="23"/>
        <v>1723996.75</v>
      </c>
      <c r="AH25">
        <f t="shared" si="23"/>
        <v>1723996.75</v>
      </c>
      <c r="AI25">
        <f t="shared" si="23"/>
        <v>1723996.75</v>
      </c>
      <c r="AJ25">
        <f t="shared" si="23"/>
        <v>1723996.75</v>
      </c>
      <c r="AK25">
        <f t="shared" si="23"/>
        <v>1723996.75</v>
      </c>
      <c r="AL25">
        <f t="shared" si="23"/>
        <v>1723996.75</v>
      </c>
      <c r="AM25">
        <f t="shared" si="23"/>
        <v>1723996.75</v>
      </c>
      <c r="AN25">
        <f t="shared" si="23"/>
        <v>1723996.75</v>
      </c>
      <c r="AO25">
        <f t="shared" si="23"/>
        <v>1723996.75</v>
      </c>
      <c r="AP25">
        <f t="shared" si="23"/>
        <v>1723996.75</v>
      </c>
      <c r="AQ25">
        <f t="shared" si="23"/>
        <v>1723996.75</v>
      </c>
      <c r="AR25">
        <f t="shared" si="23"/>
        <v>1723996.75</v>
      </c>
      <c r="AS25">
        <f t="shared" si="23"/>
        <v>1723996.75</v>
      </c>
      <c r="AT25">
        <f t="shared" si="23"/>
        <v>1723996.75</v>
      </c>
      <c r="AU25">
        <f t="shared" si="23"/>
        <v>1723996.75</v>
      </c>
      <c r="AV25">
        <f t="shared" si="23"/>
        <v>1723996.75</v>
      </c>
      <c r="AW25">
        <f t="shared" si="23"/>
        <v>1723996.75</v>
      </c>
      <c r="AX25">
        <f aca="true" t="shared" si="24" ref="AX25:CC25">IF(AX$8&gt;$O25,0,IF(AX$8&lt;$O25,$P$25*$E$25,$P$25*$E$25+$E$25))+86784.25</f>
        <v>1723996.75</v>
      </c>
      <c r="AY25">
        <f t="shared" si="24"/>
        <v>1723996.75</v>
      </c>
      <c r="AZ25">
        <f t="shared" si="24"/>
        <v>1723996.75</v>
      </c>
      <c r="BA25">
        <f t="shared" si="24"/>
        <v>1723996.75</v>
      </c>
      <c r="BB25">
        <f t="shared" si="24"/>
        <v>1723996.75</v>
      </c>
      <c r="BC25">
        <f t="shared" si="24"/>
        <v>1723996.75</v>
      </c>
      <c r="BD25">
        <f t="shared" si="24"/>
        <v>1723996.75</v>
      </c>
      <c r="BE25">
        <f t="shared" si="24"/>
        <v>1723996.75</v>
      </c>
      <c r="BF25">
        <f t="shared" si="24"/>
        <v>1723996.75</v>
      </c>
      <c r="BG25">
        <f t="shared" si="24"/>
        <v>1723996.75</v>
      </c>
      <c r="BH25">
        <f t="shared" si="24"/>
        <v>1723996.75</v>
      </c>
      <c r="BI25">
        <f t="shared" si="24"/>
        <v>1723996.75</v>
      </c>
      <c r="BJ25">
        <f t="shared" si="24"/>
        <v>1723996.75</v>
      </c>
      <c r="BK25">
        <f t="shared" si="24"/>
        <v>1723996.75</v>
      </c>
      <c r="BL25">
        <f t="shared" si="24"/>
        <v>1723996.75</v>
      </c>
      <c r="BM25">
        <f t="shared" si="24"/>
        <v>1723996.75</v>
      </c>
      <c r="BN25">
        <f t="shared" si="24"/>
        <v>1723996.75</v>
      </c>
      <c r="BO25">
        <f t="shared" si="24"/>
        <v>1723996.75</v>
      </c>
      <c r="BP25">
        <f t="shared" si="24"/>
        <v>1723996.75</v>
      </c>
      <c r="BQ25">
        <f t="shared" si="24"/>
        <v>1723996.75</v>
      </c>
      <c r="BR25">
        <f t="shared" si="24"/>
        <v>1723996.75</v>
      </c>
      <c r="BS25">
        <f t="shared" si="24"/>
        <v>1723996.75</v>
      </c>
      <c r="BT25">
        <f t="shared" si="24"/>
        <v>1723996.75</v>
      </c>
      <c r="BU25">
        <f t="shared" si="24"/>
        <v>1723996.75</v>
      </c>
      <c r="BV25">
        <f t="shared" si="24"/>
        <v>1723996.75</v>
      </c>
      <c r="BW25">
        <f t="shared" si="24"/>
        <v>1723996.75</v>
      </c>
      <c r="BX25">
        <f t="shared" si="24"/>
        <v>1723996.75</v>
      </c>
      <c r="BY25">
        <f t="shared" si="24"/>
        <v>1723996.75</v>
      </c>
      <c r="BZ25">
        <f t="shared" si="24"/>
        <v>1723996.75</v>
      </c>
      <c r="CA25">
        <f t="shared" si="24"/>
        <v>1723996.75</v>
      </c>
      <c r="CB25">
        <f t="shared" si="24"/>
        <v>1723996.75</v>
      </c>
      <c r="CC25">
        <f t="shared" si="24"/>
        <v>1723996.75</v>
      </c>
      <c r="CD25">
        <f aca="true" t="shared" si="25" ref="CD25:DI25">IF(CD$8&gt;$O25,0,IF(CD$8&lt;$O25,$P$25*$E$25,$P$25*$E$25+$E$25))+86784.25</f>
        <v>1723996.75</v>
      </c>
      <c r="CE25">
        <f t="shared" si="25"/>
        <v>1723996.75</v>
      </c>
      <c r="CF25">
        <f t="shared" si="25"/>
        <v>1723996.75</v>
      </c>
      <c r="CG25">
        <f t="shared" si="25"/>
        <v>1723996.75</v>
      </c>
      <c r="CH25">
        <f t="shared" si="25"/>
        <v>1723996.75</v>
      </c>
      <c r="CI25">
        <f t="shared" si="25"/>
        <v>1723996.75</v>
      </c>
      <c r="CJ25">
        <f t="shared" si="25"/>
        <v>1723996.75</v>
      </c>
      <c r="CK25">
        <f t="shared" si="25"/>
        <v>1723996.75</v>
      </c>
      <c r="CL25">
        <f t="shared" si="25"/>
        <v>1723996.75</v>
      </c>
      <c r="CM25">
        <f t="shared" si="25"/>
        <v>1723996.75</v>
      </c>
      <c r="CN25">
        <f t="shared" si="25"/>
        <v>1723996.75</v>
      </c>
      <c r="CO25">
        <f t="shared" si="25"/>
        <v>1723996.75</v>
      </c>
      <c r="CP25">
        <f t="shared" si="25"/>
        <v>1723996.75</v>
      </c>
      <c r="CQ25">
        <f t="shared" si="25"/>
        <v>1723996.75</v>
      </c>
      <c r="CR25">
        <f t="shared" si="25"/>
        <v>1723996.75</v>
      </c>
      <c r="CS25">
        <f t="shared" si="25"/>
        <v>1723996.75</v>
      </c>
      <c r="CT25">
        <f t="shared" si="25"/>
        <v>1723996.75</v>
      </c>
      <c r="CU25">
        <f t="shared" si="25"/>
        <v>1723996.75</v>
      </c>
      <c r="CV25">
        <f t="shared" si="25"/>
        <v>1723996.75</v>
      </c>
      <c r="CW25">
        <f t="shared" si="25"/>
        <v>1723996.75</v>
      </c>
      <c r="CX25">
        <f t="shared" si="25"/>
        <v>1723996.75</v>
      </c>
      <c r="CY25">
        <f t="shared" si="25"/>
        <v>1723996.75</v>
      </c>
      <c r="CZ25">
        <f t="shared" si="25"/>
        <v>1723996.75</v>
      </c>
      <c r="DA25">
        <f t="shared" si="25"/>
        <v>1723996.75</v>
      </c>
      <c r="DB25">
        <f t="shared" si="25"/>
        <v>1723996.75</v>
      </c>
      <c r="DC25">
        <f t="shared" si="25"/>
        <v>1723996.75</v>
      </c>
      <c r="DD25">
        <f t="shared" si="25"/>
        <v>1723996.75</v>
      </c>
      <c r="DE25">
        <f t="shared" si="25"/>
        <v>1723996.75</v>
      </c>
      <c r="DF25">
        <f t="shared" si="25"/>
        <v>1723996.75</v>
      </c>
      <c r="DG25">
        <f t="shared" si="25"/>
        <v>1723996.75</v>
      </c>
      <c r="DH25">
        <f t="shared" si="25"/>
        <v>1723996.75</v>
      </c>
      <c r="DI25">
        <f t="shared" si="25"/>
        <v>1723996.75</v>
      </c>
      <c r="DJ25">
        <f aca="true" t="shared" si="26" ref="DJ25:EO25">IF(DJ$8&gt;$O25,0,IF(DJ$8&lt;$O25,$P$25*$E$25,$P$25*$E$25+$E$25))+86784.25</f>
        <v>1723996.75</v>
      </c>
      <c r="DK25">
        <f t="shared" si="26"/>
        <v>1723996.75</v>
      </c>
      <c r="DL25">
        <f t="shared" si="26"/>
        <v>1723996.75</v>
      </c>
      <c r="DM25">
        <f t="shared" si="26"/>
        <v>1723996.75</v>
      </c>
      <c r="DN25">
        <f t="shared" si="26"/>
        <v>1723996.75</v>
      </c>
      <c r="DO25">
        <f t="shared" si="26"/>
        <v>1723996.75</v>
      </c>
      <c r="DP25">
        <f t="shared" si="26"/>
        <v>1723996.75</v>
      </c>
      <c r="DQ25">
        <f t="shared" si="26"/>
        <v>1723996.75</v>
      </c>
      <c r="DR25">
        <f t="shared" si="26"/>
        <v>1723996.75</v>
      </c>
      <c r="DS25">
        <f t="shared" si="26"/>
        <v>1723996.75</v>
      </c>
      <c r="DT25">
        <f t="shared" si="26"/>
        <v>1723996.75</v>
      </c>
      <c r="DU25">
        <f t="shared" si="26"/>
        <v>1723996.75</v>
      </c>
      <c r="DV25">
        <f t="shared" si="26"/>
        <v>1723996.75</v>
      </c>
      <c r="DW25">
        <f t="shared" si="26"/>
        <v>1723996.75</v>
      </c>
      <c r="DX25">
        <f t="shared" si="26"/>
        <v>1723996.75</v>
      </c>
      <c r="DY25">
        <f t="shared" si="26"/>
        <v>1723996.75</v>
      </c>
      <c r="DZ25">
        <f t="shared" si="26"/>
        <v>1723996.75</v>
      </c>
      <c r="EA25">
        <f t="shared" si="26"/>
        <v>1723996.75</v>
      </c>
      <c r="EB25">
        <f t="shared" si="26"/>
        <v>1723996.75</v>
      </c>
      <c r="EC25">
        <f t="shared" si="26"/>
        <v>1723996.75</v>
      </c>
      <c r="ED25">
        <f t="shared" si="26"/>
        <v>1723996.75</v>
      </c>
      <c r="EE25">
        <f t="shared" si="26"/>
        <v>1723996.75</v>
      </c>
      <c r="EF25">
        <f t="shared" si="26"/>
        <v>1723996.75</v>
      </c>
      <c r="EG25">
        <f t="shared" si="26"/>
        <v>1723996.75</v>
      </c>
      <c r="EH25">
        <f t="shared" si="26"/>
        <v>1723996.75</v>
      </c>
      <c r="EI25">
        <f t="shared" si="26"/>
        <v>1723996.75</v>
      </c>
      <c r="EJ25">
        <f t="shared" si="26"/>
        <v>1723996.75</v>
      </c>
      <c r="EK25">
        <f t="shared" si="26"/>
        <v>1723996.75</v>
      </c>
      <c r="EL25">
        <f t="shared" si="26"/>
        <v>1723996.75</v>
      </c>
      <c r="EM25">
        <f t="shared" si="26"/>
        <v>1723996.75</v>
      </c>
      <c r="EN25">
        <f t="shared" si="26"/>
        <v>1723996.75</v>
      </c>
      <c r="EO25">
        <f t="shared" si="26"/>
        <v>1723996.75</v>
      </c>
      <c r="EP25">
        <f aca="true" t="shared" si="27" ref="EP25:FU25">IF(EP$8&gt;$O25,0,IF(EP$8&lt;$O25,$P$25*$E$25,$P$25*$E$25+$E$25))+86784.25</f>
        <v>1723996.75</v>
      </c>
      <c r="EQ25">
        <f t="shared" si="27"/>
        <v>1723996.75</v>
      </c>
      <c r="ER25">
        <f t="shared" si="27"/>
        <v>1723996.75</v>
      </c>
      <c r="ES25">
        <f t="shared" si="27"/>
        <v>1723996.75</v>
      </c>
      <c r="ET25">
        <f t="shared" si="27"/>
        <v>1723996.75</v>
      </c>
      <c r="EU25">
        <f t="shared" si="27"/>
        <v>1723996.75</v>
      </c>
      <c r="EV25">
        <f t="shared" si="27"/>
        <v>1723996.75</v>
      </c>
      <c r="EW25">
        <f t="shared" si="27"/>
        <v>1723996.75</v>
      </c>
      <c r="EX25">
        <f t="shared" si="27"/>
        <v>1723996.75</v>
      </c>
      <c r="EY25">
        <f t="shared" si="27"/>
        <v>1723996.75</v>
      </c>
      <c r="EZ25">
        <f t="shared" si="27"/>
        <v>1723996.75</v>
      </c>
      <c r="FA25">
        <f t="shared" si="27"/>
        <v>1723996.75</v>
      </c>
      <c r="FB25">
        <f t="shared" si="27"/>
        <v>1723996.75</v>
      </c>
      <c r="FC25">
        <f t="shared" si="27"/>
        <v>1723996.75</v>
      </c>
      <c r="FD25">
        <f t="shared" si="27"/>
        <v>1723996.75</v>
      </c>
      <c r="FE25">
        <f t="shared" si="27"/>
        <v>1723996.75</v>
      </c>
      <c r="FF25">
        <f t="shared" si="27"/>
        <v>1723996.75</v>
      </c>
      <c r="FG25">
        <f t="shared" si="27"/>
        <v>1723996.75</v>
      </c>
      <c r="FH25">
        <f t="shared" si="27"/>
        <v>1723996.75</v>
      </c>
      <c r="FI25">
        <f t="shared" si="27"/>
        <v>1723996.75</v>
      </c>
      <c r="FJ25">
        <f t="shared" si="27"/>
        <v>1723996.75</v>
      </c>
      <c r="FK25">
        <f t="shared" si="27"/>
        <v>1723996.75</v>
      </c>
      <c r="FL25">
        <f t="shared" si="27"/>
        <v>1723996.75</v>
      </c>
      <c r="FM25">
        <f t="shared" si="27"/>
        <v>1723996.75</v>
      </c>
      <c r="FN25">
        <f t="shared" si="27"/>
        <v>1723996.75</v>
      </c>
      <c r="FO25">
        <f t="shared" si="27"/>
        <v>1723996.75</v>
      </c>
      <c r="FP25">
        <f t="shared" si="27"/>
        <v>1723996.75</v>
      </c>
      <c r="FQ25">
        <f t="shared" si="27"/>
        <v>1723996.75</v>
      </c>
      <c r="FR25">
        <f t="shared" si="27"/>
        <v>1723996.75</v>
      </c>
      <c r="FS25">
        <f t="shared" si="27"/>
        <v>1723996.75</v>
      </c>
      <c r="FT25">
        <f t="shared" si="27"/>
        <v>1723996.75</v>
      </c>
      <c r="FU25">
        <f t="shared" si="27"/>
        <v>136723996.75</v>
      </c>
      <c r="FW25" s="66" t="s">
        <v>55</v>
      </c>
      <c r="GA25" s="67">
        <f>(I25/(1-0.37))/E25</f>
        <v>0.077</v>
      </c>
      <c r="GB25" s="67">
        <f>I25/E25</f>
        <v>0.04851</v>
      </c>
    </row>
    <row r="26" spans="1:14" ht="12.75">
      <c r="A26" s="17">
        <v>17</v>
      </c>
      <c r="B26" s="15"/>
      <c r="C26" s="15"/>
      <c r="D26" s="18"/>
      <c r="E26" s="15"/>
      <c r="F26" s="15"/>
      <c r="G26" s="15"/>
      <c r="H26" s="15"/>
      <c r="I26" s="15"/>
      <c r="J26" s="15"/>
      <c r="K26" s="20"/>
      <c r="L26" s="15"/>
      <c r="M26" s="15"/>
      <c r="N26" s="21">
        <v>17</v>
      </c>
    </row>
    <row r="27" spans="1:14" ht="12.75">
      <c r="A27" s="17">
        <v>18</v>
      </c>
      <c r="B27" s="58" t="s">
        <v>56</v>
      </c>
      <c r="C27" s="15"/>
      <c r="D27" s="18"/>
      <c r="E27" s="15"/>
      <c r="F27" s="15"/>
      <c r="G27" s="15"/>
      <c r="H27" s="15"/>
      <c r="I27" s="15"/>
      <c r="J27" s="15"/>
      <c r="K27" s="15"/>
      <c r="L27" s="15"/>
      <c r="M27" s="15"/>
      <c r="N27" s="21">
        <v>18</v>
      </c>
    </row>
    <row r="28" spans="1:184" ht="12.75">
      <c r="A28" s="17">
        <v>19</v>
      </c>
      <c r="B28" s="56" t="s">
        <v>57</v>
      </c>
      <c r="C28" s="22">
        <v>33451</v>
      </c>
      <c r="D28" s="18">
        <v>1000000</v>
      </c>
      <c r="E28" s="15">
        <f>D28*100</f>
        <v>100000000</v>
      </c>
      <c r="F28" s="15">
        <v>-911507</v>
      </c>
      <c r="G28" s="15"/>
      <c r="H28" s="19">
        <f>E28+F28</f>
        <v>99088493</v>
      </c>
      <c r="I28" s="19">
        <f>E28*0.077</f>
        <v>7700000</v>
      </c>
      <c r="J28" s="15"/>
      <c r="K28" s="20">
        <f>IRR(Q28:BE28,P28)*4</f>
        <v>0.07832305267694796</v>
      </c>
      <c r="L28" s="15"/>
      <c r="M28" s="15">
        <f>E28*K28</f>
        <v>7832305.267694796</v>
      </c>
      <c r="N28" s="21">
        <v>19</v>
      </c>
      <c r="O28" s="23">
        <v>40</v>
      </c>
      <c r="P28" s="24">
        <f>0.077/4</f>
        <v>0.01925</v>
      </c>
      <c r="Q28">
        <f>-H28</f>
        <v>-99088493</v>
      </c>
      <c r="R28">
        <f aca="true" t="shared" si="28" ref="R28:AW28">IF(R$8&gt;$O28,0,IF(R$8&lt;$O28,$P$28*$E$28,$P$28*$E$28+$E$28))</f>
        <v>1925000</v>
      </c>
      <c r="S28">
        <f t="shared" si="28"/>
        <v>1925000</v>
      </c>
      <c r="T28">
        <f t="shared" si="28"/>
        <v>1925000</v>
      </c>
      <c r="U28">
        <f t="shared" si="28"/>
        <v>1925000</v>
      </c>
      <c r="V28">
        <f t="shared" si="28"/>
        <v>1925000</v>
      </c>
      <c r="W28">
        <f t="shared" si="28"/>
        <v>1925000</v>
      </c>
      <c r="X28">
        <f t="shared" si="28"/>
        <v>1925000</v>
      </c>
      <c r="Y28">
        <f t="shared" si="28"/>
        <v>1925000</v>
      </c>
      <c r="Z28">
        <f t="shared" si="28"/>
        <v>1925000</v>
      </c>
      <c r="AA28">
        <f t="shared" si="28"/>
        <v>1925000</v>
      </c>
      <c r="AB28">
        <f t="shared" si="28"/>
        <v>1925000</v>
      </c>
      <c r="AC28">
        <f t="shared" si="28"/>
        <v>1925000</v>
      </c>
      <c r="AD28">
        <f t="shared" si="28"/>
        <v>1925000</v>
      </c>
      <c r="AE28">
        <f t="shared" si="28"/>
        <v>1925000</v>
      </c>
      <c r="AF28">
        <f t="shared" si="28"/>
        <v>1925000</v>
      </c>
      <c r="AG28">
        <f t="shared" si="28"/>
        <v>1925000</v>
      </c>
      <c r="AH28">
        <f t="shared" si="28"/>
        <v>1925000</v>
      </c>
      <c r="AI28">
        <f t="shared" si="28"/>
        <v>1925000</v>
      </c>
      <c r="AJ28">
        <f t="shared" si="28"/>
        <v>1925000</v>
      </c>
      <c r="AK28">
        <f t="shared" si="28"/>
        <v>1925000</v>
      </c>
      <c r="AL28">
        <f t="shared" si="28"/>
        <v>1925000</v>
      </c>
      <c r="AM28">
        <f t="shared" si="28"/>
        <v>1925000</v>
      </c>
      <c r="AN28">
        <f t="shared" si="28"/>
        <v>1925000</v>
      </c>
      <c r="AO28">
        <f t="shared" si="28"/>
        <v>1925000</v>
      </c>
      <c r="AP28">
        <f t="shared" si="28"/>
        <v>1925000</v>
      </c>
      <c r="AQ28">
        <f t="shared" si="28"/>
        <v>1925000</v>
      </c>
      <c r="AR28">
        <f t="shared" si="28"/>
        <v>1925000</v>
      </c>
      <c r="AS28">
        <f t="shared" si="28"/>
        <v>1925000</v>
      </c>
      <c r="AT28">
        <f t="shared" si="28"/>
        <v>1925000</v>
      </c>
      <c r="AU28">
        <f t="shared" si="28"/>
        <v>1925000</v>
      </c>
      <c r="AV28">
        <f t="shared" si="28"/>
        <v>1925000</v>
      </c>
      <c r="AW28">
        <f t="shared" si="28"/>
        <v>1925000</v>
      </c>
      <c r="AX28">
        <f aca="true" t="shared" si="29" ref="AX28:CC28">IF(AX$8&gt;$O28,0,IF(AX$8&lt;$O28,$P$28*$E$28,$P$28*$E$28+$E$28))</f>
        <v>1925000</v>
      </c>
      <c r="AY28">
        <f t="shared" si="29"/>
        <v>1925000</v>
      </c>
      <c r="AZ28">
        <f t="shared" si="29"/>
        <v>1925000</v>
      </c>
      <c r="BA28">
        <f t="shared" si="29"/>
        <v>1925000</v>
      </c>
      <c r="BB28">
        <f t="shared" si="29"/>
        <v>1925000</v>
      </c>
      <c r="BC28">
        <f t="shared" si="29"/>
        <v>1925000</v>
      </c>
      <c r="BD28">
        <f t="shared" si="29"/>
        <v>1925000</v>
      </c>
      <c r="BE28">
        <f t="shared" si="29"/>
        <v>101925000</v>
      </c>
      <c r="BF28">
        <f t="shared" si="29"/>
        <v>0</v>
      </c>
      <c r="BG28">
        <f t="shared" si="29"/>
        <v>0</v>
      </c>
      <c r="BH28">
        <f t="shared" si="29"/>
        <v>0</v>
      </c>
      <c r="BI28">
        <f t="shared" si="29"/>
        <v>0</v>
      </c>
      <c r="BJ28">
        <f t="shared" si="29"/>
        <v>0</v>
      </c>
      <c r="BK28">
        <f t="shared" si="29"/>
        <v>0</v>
      </c>
      <c r="BL28">
        <f t="shared" si="29"/>
        <v>0</v>
      </c>
      <c r="BM28">
        <f t="shared" si="29"/>
        <v>0</v>
      </c>
      <c r="BN28">
        <f t="shared" si="29"/>
        <v>0</v>
      </c>
      <c r="BO28">
        <f t="shared" si="29"/>
        <v>0</v>
      </c>
      <c r="BP28">
        <f t="shared" si="29"/>
        <v>0</v>
      </c>
      <c r="BQ28">
        <f t="shared" si="29"/>
        <v>0</v>
      </c>
      <c r="BR28">
        <f t="shared" si="29"/>
        <v>0</v>
      </c>
      <c r="BS28">
        <f t="shared" si="29"/>
        <v>0</v>
      </c>
      <c r="BT28">
        <f t="shared" si="29"/>
        <v>0</v>
      </c>
      <c r="BU28">
        <f t="shared" si="29"/>
        <v>0</v>
      </c>
      <c r="BV28">
        <f t="shared" si="29"/>
        <v>0</v>
      </c>
      <c r="BW28">
        <f t="shared" si="29"/>
        <v>0</v>
      </c>
      <c r="BX28">
        <f t="shared" si="29"/>
        <v>0</v>
      </c>
      <c r="BY28">
        <f t="shared" si="29"/>
        <v>0</v>
      </c>
      <c r="BZ28">
        <f t="shared" si="29"/>
        <v>0</v>
      </c>
      <c r="CA28">
        <f t="shared" si="29"/>
        <v>0</v>
      </c>
      <c r="CB28">
        <f t="shared" si="29"/>
        <v>0</v>
      </c>
      <c r="CC28">
        <f t="shared" si="29"/>
        <v>0</v>
      </c>
      <c r="CD28">
        <f aca="true" t="shared" si="30" ref="CD28:DI28">IF(CD$8&gt;$O28,0,IF(CD$8&lt;$O28,$P$28*$E$28,$P$28*$E$28+$E$28))</f>
        <v>0</v>
      </c>
      <c r="CE28">
        <f t="shared" si="30"/>
        <v>0</v>
      </c>
      <c r="CF28">
        <f t="shared" si="30"/>
        <v>0</v>
      </c>
      <c r="CG28">
        <f t="shared" si="30"/>
        <v>0</v>
      </c>
      <c r="CH28">
        <f t="shared" si="30"/>
        <v>0</v>
      </c>
      <c r="CI28">
        <f t="shared" si="30"/>
        <v>0</v>
      </c>
      <c r="CJ28">
        <f t="shared" si="30"/>
        <v>0</v>
      </c>
      <c r="CK28">
        <f t="shared" si="30"/>
        <v>0</v>
      </c>
      <c r="CL28">
        <f t="shared" si="30"/>
        <v>0</v>
      </c>
      <c r="CM28">
        <f t="shared" si="30"/>
        <v>0</v>
      </c>
      <c r="CN28">
        <f t="shared" si="30"/>
        <v>0</v>
      </c>
      <c r="CO28">
        <f t="shared" si="30"/>
        <v>0</v>
      </c>
      <c r="CP28">
        <f t="shared" si="30"/>
        <v>0</v>
      </c>
      <c r="CQ28">
        <f t="shared" si="30"/>
        <v>0</v>
      </c>
      <c r="CR28">
        <f t="shared" si="30"/>
        <v>0</v>
      </c>
      <c r="CS28">
        <f t="shared" si="30"/>
        <v>0</v>
      </c>
      <c r="CT28">
        <f t="shared" si="30"/>
        <v>0</v>
      </c>
      <c r="CU28">
        <f t="shared" si="30"/>
        <v>0</v>
      </c>
      <c r="CV28">
        <f t="shared" si="30"/>
        <v>0</v>
      </c>
      <c r="CW28">
        <f t="shared" si="30"/>
        <v>0</v>
      </c>
      <c r="CX28">
        <f t="shared" si="30"/>
        <v>0</v>
      </c>
      <c r="CY28">
        <f t="shared" si="30"/>
        <v>0</v>
      </c>
      <c r="CZ28">
        <f t="shared" si="30"/>
        <v>0</v>
      </c>
      <c r="DA28">
        <f t="shared" si="30"/>
        <v>0</v>
      </c>
      <c r="DB28">
        <f t="shared" si="30"/>
        <v>0</v>
      </c>
      <c r="DC28">
        <f t="shared" si="30"/>
        <v>0</v>
      </c>
      <c r="DD28">
        <f t="shared" si="30"/>
        <v>0</v>
      </c>
      <c r="DE28">
        <f t="shared" si="30"/>
        <v>0</v>
      </c>
      <c r="DF28">
        <f t="shared" si="30"/>
        <v>0</v>
      </c>
      <c r="DG28">
        <f t="shared" si="30"/>
        <v>0</v>
      </c>
      <c r="DH28">
        <f t="shared" si="30"/>
        <v>0</v>
      </c>
      <c r="DI28">
        <f t="shared" si="30"/>
        <v>0</v>
      </c>
      <c r="DJ28">
        <f aca="true" t="shared" si="31" ref="DJ28:EO28">IF(DJ$8&gt;$O28,0,IF(DJ$8&lt;$O28,$P$28*$E$28,$P$28*$E$28+$E$28))</f>
        <v>0</v>
      </c>
      <c r="DK28">
        <f t="shared" si="31"/>
        <v>0</v>
      </c>
      <c r="DL28">
        <f t="shared" si="31"/>
        <v>0</v>
      </c>
      <c r="DM28">
        <f t="shared" si="31"/>
        <v>0</v>
      </c>
      <c r="DN28">
        <f t="shared" si="31"/>
        <v>0</v>
      </c>
      <c r="DO28">
        <f t="shared" si="31"/>
        <v>0</v>
      </c>
      <c r="DP28">
        <f t="shared" si="31"/>
        <v>0</v>
      </c>
      <c r="DQ28">
        <f t="shared" si="31"/>
        <v>0</v>
      </c>
      <c r="DR28">
        <f t="shared" si="31"/>
        <v>0</v>
      </c>
      <c r="DS28">
        <f t="shared" si="31"/>
        <v>0</v>
      </c>
      <c r="DT28">
        <f t="shared" si="31"/>
        <v>0</v>
      </c>
      <c r="DU28">
        <f t="shared" si="31"/>
        <v>0</v>
      </c>
      <c r="DV28">
        <f t="shared" si="31"/>
        <v>0</v>
      </c>
      <c r="DW28">
        <f t="shared" si="31"/>
        <v>0</v>
      </c>
      <c r="DX28">
        <f t="shared" si="31"/>
        <v>0</v>
      </c>
      <c r="DY28">
        <f t="shared" si="31"/>
        <v>0</v>
      </c>
      <c r="DZ28">
        <f t="shared" si="31"/>
        <v>0</v>
      </c>
      <c r="EA28">
        <f t="shared" si="31"/>
        <v>0</v>
      </c>
      <c r="EB28">
        <f t="shared" si="31"/>
        <v>0</v>
      </c>
      <c r="EC28">
        <f t="shared" si="31"/>
        <v>0</v>
      </c>
      <c r="ED28">
        <f t="shared" si="31"/>
        <v>0</v>
      </c>
      <c r="EE28">
        <f t="shared" si="31"/>
        <v>0</v>
      </c>
      <c r="EF28">
        <f t="shared" si="31"/>
        <v>0</v>
      </c>
      <c r="EG28">
        <f t="shared" si="31"/>
        <v>0</v>
      </c>
      <c r="EH28">
        <f t="shared" si="31"/>
        <v>0</v>
      </c>
      <c r="EI28">
        <f t="shared" si="31"/>
        <v>0</v>
      </c>
      <c r="EJ28">
        <f t="shared" si="31"/>
        <v>0</v>
      </c>
      <c r="EK28">
        <f t="shared" si="31"/>
        <v>0</v>
      </c>
      <c r="EL28">
        <f t="shared" si="31"/>
        <v>0</v>
      </c>
      <c r="EM28">
        <f t="shared" si="31"/>
        <v>0</v>
      </c>
      <c r="EN28">
        <f t="shared" si="31"/>
        <v>0</v>
      </c>
      <c r="EO28">
        <f t="shared" si="31"/>
        <v>0</v>
      </c>
      <c r="EP28">
        <f aca="true" t="shared" si="32" ref="EP28:FU28">IF(EP$8&gt;$O28,0,IF(EP$8&lt;$O28,$P$28*$E$28,$P$28*$E$28+$E$28))</f>
        <v>0</v>
      </c>
      <c r="EQ28">
        <f t="shared" si="32"/>
        <v>0</v>
      </c>
      <c r="ER28">
        <f t="shared" si="32"/>
        <v>0</v>
      </c>
      <c r="ES28">
        <f t="shared" si="32"/>
        <v>0</v>
      </c>
      <c r="ET28">
        <f t="shared" si="32"/>
        <v>0</v>
      </c>
      <c r="EU28">
        <f t="shared" si="32"/>
        <v>0</v>
      </c>
      <c r="EV28">
        <f t="shared" si="32"/>
        <v>0</v>
      </c>
      <c r="EW28">
        <f t="shared" si="32"/>
        <v>0</v>
      </c>
      <c r="EX28">
        <f t="shared" si="32"/>
        <v>0</v>
      </c>
      <c r="EY28">
        <f t="shared" si="32"/>
        <v>0</v>
      </c>
      <c r="EZ28">
        <f t="shared" si="32"/>
        <v>0</v>
      </c>
      <c r="FA28">
        <f t="shared" si="32"/>
        <v>0</v>
      </c>
      <c r="FB28">
        <f t="shared" si="32"/>
        <v>0</v>
      </c>
      <c r="FC28">
        <f t="shared" si="32"/>
        <v>0</v>
      </c>
      <c r="FD28">
        <f t="shared" si="32"/>
        <v>0</v>
      </c>
      <c r="FE28">
        <f t="shared" si="32"/>
        <v>0</v>
      </c>
      <c r="FF28">
        <f t="shared" si="32"/>
        <v>0</v>
      </c>
      <c r="FG28">
        <f t="shared" si="32"/>
        <v>0</v>
      </c>
      <c r="FH28">
        <f t="shared" si="32"/>
        <v>0</v>
      </c>
      <c r="FI28">
        <f t="shared" si="32"/>
        <v>0</v>
      </c>
      <c r="FJ28">
        <f t="shared" si="32"/>
        <v>0</v>
      </c>
      <c r="FK28">
        <f t="shared" si="32"/>
        <v>0</v>
      </c>
      <c r="FL28">
        <f t="shared" si="32"/>
        <v>0</v>
      </c>
      <c r="FM28">
        <f t="shared" si="32"/>
        <v>0</v>
      </c>
      <c r="FN28">
        <f t="shared" si="32"/>
        <v>0</v>
      </c>
      <c r="FO28">
        <f t="shared" si="32"/>
        <v>0</v>
      </c>
      <c r="FP28">
        <f t="shared" si="32"/>
        <v>0</v>
      </c>
      <c r="FQ28">
        <f t="shared" si="32"/>
        <v>0</v>
      </c>
      <c r="FR28">
        <f t="shared" si="32"/>
        <v>0</v>
      </c>
      <c r="FS28">
        <f t="shared" si="32"/>
        <v>0</v>
      </c>
      <c r="FT28">
        <f t="shared" si="32"/>
        <v>0</v>
      </c>
      <c r="FU28">
        <f t="shared" si="32"/>
        <v>0</v>
      </c>
      <c r="GA28" s="67">
        <f>I28/E28</f>
        <v>0.077</v>
      </c>
      <c r="GB28" s="67">
        <f>I28/E28</f>
        <v>0.077</v>
      </c>
    </row>
    <row r="29" spans="1:184" ht="12.75">
      <c r="A29" s="17">
        <v>20</v>
      </c>
      <c r="B29" s="70" t="s">
        <v>87</v>
      </c>
      <c r="C29" s="22">
        <v>33756</v>
      </c>
      <c r="D29" s="18">
        <v>750000</v>
      </c>
      <c r="E29" s="15">
        <f>D29*100</f>
        <v>75000000</v>
      </c>
      <c r="F29" s="15">
        <v>-840432.55</v>
      </c>
      <c r="G29" s="15"/>
      <c r="H29" s="19">
        <f>E29+F29</f>
        <v>74159567.45</v>
      </c>
      <c r="I29" s="19">
        <f>E29*0.0748</f>
        <v>5610000</v>
      </c>
      <c r="J29" s="15"/>
      <c r="K29" s="20">
        <f>IRR(Q29:BE29,P29)*4</f>
        <v>0.07673161248362902</v>
      </c>
      <c r="L29" s="15"/>
      <c r="M29" s="15">
        <f>E29*K29</f>
        <v>5754870.936272176</v>
      </c>
      <c r="N29" s="21">
        <v>20</v>
      </c>
      <c r="O29" s="23">
        <f>7.75*4</f>
        <v>31</v>
      </c>
      <c r="P29" s="24">
        <f>0.0748/4</f>
        <v>0.0187</v>
      </c>
      <c r="Q29">
        <f>-H29</f>
        <v>-74159567.45</v>
      </c>
      <c r="R29">
        <f aca="true" t="shared" si="33" ref="R29:AW29">IF(R$8&gt;$O29,0,IF(R$8&lt;$O29,$P$29*$E$29,$P$29*$E$29+$E$29))</f>
        <v>1402500</v>
      </c>
      <c r="S29">
        <f t="shared" si="33"/>
        <v>1402500</v>
      </c>
      <c r="T29">
        <f t="shared" si="33"/>
        <v>1402500</v>
      </c>
      <c r="U29">
        <f t="shared" si="33"/>
        <v>1402500</v>
      </c>
      <c r="V29">
        <f t="shared" si="33"/>
        <v>1402500</v>
      </c>
      <c r="W29">
        <f t="shared" si="33"/>
        <v>1402500</v>
      </c>
      <c r="X29">
        <f t="shared" si="33"/>
        <v>1402500</v>
      </c>
      <c r="Y29">
        <f t="shared" si="33"/>
        <v>1402500</v>
      </c>
      <c r="Z29">
        <f t="shared" si="33"/>
        <v>1402500</v>
      </c>
      <c r="AA29">
        <f t="shared" si="33"/>
        <v>1402500</v>
      </c>
      <c r="AB29">
        <f t="shared" si="33"/>
        <v>1402500</v>
      </c>
      <c r="AC29">
        <f t="shared" si="33"/>
        <v>1402500</v>
      </c>
      <c r="AD29">
        <f t="shared" si="33"/>
        <v>1402500</v>
      </c>
      <c r="AE29">
        <f t="shared" si="33"/>
        <v>1402500</v>
      </c>
      <c r="AF29">
        <f t="shared" si="33"/>
        <v>1402500</v>
      </c>
      <c r="AG29">
        <f t="shared" si="33"/>
        <v>1402500</v>
      </c>
      <c r="AH29">
        <f t="shared" si="33"/>
        <v>1402500</v>
      </c>
      <c r="AI29">
        <f t="shared" si="33"/>
        <v>1402500</v>
      </c>
      <c r="AJ29">
        <f t="shared" si="33"/>
        <v>1402500</v>
      </c>
      <c r="AK29">
        <f t="shared" si="33"/>
        <v>1402500</v>
      </c>
      <c r="AL29">
        <f t="shared" si="33"/>
        <v>1402500</v>
      </c>
      <c r="AM29">
        <f t="shared" si="33"/>
        <v>1402500</v>
      </c>
      <c r="AN29">
        <f t="shared" si="33"/>
        <v>1402500</v>
      </c>
      <c r="AO29">
        <f t="shared" si="33"/>
        <v>1402500</v>
      </c>
      <c r="AP29">
        <f t="shared" si="33"/>
        <v>1402500</v>
      </c>
      <c r="AQ29">
        <f t="shared" si="33"/>
        <v>1402500</v>
      </c>
      <c r="AR29">
        <f t="shared" si="33"/>
        <v>1402500</v>
      </c>
      <c r="AS29">
        <f t="shared" si="33"/>
        <v>1402500</v>
      </c>
      <c r="AT29">
        <f t="shared" si="33"/>
        <v>1402500</v>
      </c>
      <c r="AU29">
        <f t="shared" si="33"/>
        <v>1402500</v>
      </c>
      <c r="AV29">
        <f t="shared" si="33"/>
        <v>76402500</v>
      </c>
      <c r="AW29">
        <f t="shared" si="33"/>
        <v>0</v>
      </c>
      <c r="AX29">
        <f aca="true" t="shared" si="34" ref="AX29:CC29">IF(AX$8&gt;$O29,0,IF(AX$8&lt;$O29,$P$29*$E$29,$P$29*$E$29+$E$29))</f>
        <v>0</v>
      </c>
      <c r="AY29">
        <f t="shared" si="34"/>
        <v>0</v>
      </c>
      <c r="AZ29">
        <f t="shared" si="34"/>
        <v>0</v>
      </c>
      <c r="BA29">
        <f t="shared" si="34"/>
        <v>0</v>
      </c>
      <c r="BB29">
        <f t="shared" si="34"/>
        <v>0</v>
      </c>
      <c r="BC29">
        <f t="shared" si="34"/>
        <v>0</v>
      </c>
      <c r="BD29">
        <f t="shared" si="34"/>
        <v>0</v>
      </c>
      <c r="BE29">
        <f t="shared" si="34"/>
        <v>0</v>
      </c>
      <c r="BF29">
        <f t="shared" si="34"/>
        <v>0</v>
      </c>
      <c r="BG29">
        <f t="shared" si="34"/>
        <v>0</v>
      </c>
      <c r="BH29">
        <f t="shared" si="34"/>
        <v>0</v>
      </c>
      <c r="BI29">
        <f t="shared" si="34"/>
        <v>0</v>
      </c>
      <c r="BJ29">
        <f t="shared" si="34"/>
        <v>0</v>
      </c>
      <c r="BK29">
        <f t="shared" si="34"/>
        <v>0</v>
      </c>
      <c r="BL29">
        <f t="shared" si="34"/>
        <v>0</v>
      </c>
      <c r="BM29">
        <f t="shared" si="34"/>
        <v>0</v>
      </c>
      <c r="BN29">
        <f t="shared" si="34"/>
        <v>0</v>
      </c>
      <c r="BO29">
        <f t="shared" si="34"/>
        <v>0</v>
      </c>
      <c r="BP29">
        <f t="shared" si="34"/>
        <v>0</v>
      </c>
      <c r="BQ29">
        <f t="shared" si="34"/>
        <v>0</v>
      </c>
      <c r="BR29">
        <f t="shared" si="34"/>
        <v>0</v>
      </c>
      <c r="BS29">
        <f t="shared" si="34"/>
        <v>0</v>
      </c>
      <c r="BT29">
        <f t="shared" si="34"/>
        <v>0</v>
      </c>
      <c r="BU29">
        <f t="shared" si="34"/>
        <v>0</v>
      </c>
      <c r="BV29">
        <f t="shared" si="34"/>
        <v>0</v>
      </c>
      <c r="BW29">
        <f t="shared" si="34"/>
        <v>0</v>
      </c>
      <c r="BX29">
        <f t="shared" si="34"/>
        <v>0</v>
      </c>
      <c r="BY29">
        <f t="shared" si="34"/>
        <v>0</v>
      </c>
      <c r="BZ29">
        <f t="shared" si="34"/>
        <v>0</v>
      </c>
      <c r="CA29">
        <f t="shared" si="34"/>
        <v>0</v>
      </c>
      <c r="CB29">
        <f t="shared" si="34"/>
        <v>0</v>
      </c>
      <c r="CC29">
        <f t="shared" si="34"/>
        <v>0</v>
      </c>
      <c r="CD29">
        <f aca="true" t="shared" si="35" ref="CD29:DI29">IF(CD$8&gt;$O29,0,IF(CD$8&lt;$O29,$P$29*$E$29,$P$29*$E$29+$E$29))</f>
        <v>0</v>
      </c>
      <c r="CE29">
        <f t="shared" si="35"/>
        <v>0</v>
      </c>
      <c r="CF29">
        <f t="shared" si="35"/>
        <v>0</v>
      </c>
      <c r="CG29">
        <f t="shared" si="35"/>
        <v>0</v>
      </c>
      <c r="CH29">
        <f t="shared" si="35"/>
        <v>0</v>
      </c>
      <c r="CI29">
        <f t="shared" si="35"/>
        <v>0</v>
      </c>
      <c r="CJ29">
        <f t="shared" si="35"/>
        <v>0</v>
      </c>
      <c r="CK29">
        <f t="shared" si="35"/>
        <v>0</v>
      </c>
      <c r="CL29">
        <f t="shared" si="35"/>
        <v>0</v>
      </c>
      <c r="CM29">
        <f t="shared" si="35"/>
        <v>0</v>
      </c>
      <c r="CN29">
        <f t="shared" si="35"/>
        <v>0</v>
      </c>
      <c r="CO29">
        <f t="shared" si="35"/>
        <v>0</v>
      </c>
      <c r="CP29">
        <f t="shared" si="35"/>
        <v>0</v>
      </c>
      <c r="CQ29">
        <f t="shared" si="35"/>
        <v>0</v>
      </c>
      <c r="CR29">
        <f t="shared" si="35"/>
        <v>0</v>
      </c>
      <c r="CS29">
        <f t="shared" si="35"/>
        <v>0</v>
      </c>
      <c r="CT29">
        <f t="shared" si="35"/>
        <v>0</v>
      </c>
      <c r="CU29">
        <f t="shared" si="35"/>
        <v>0</v>
      </c>
      <c r="CV29">
        <f t="shared" si="35"/>
        <v>0</v>
      </c>
      <c r="CW29">
        <f t="shared" si="35"/>
        <v>0</v>
      </c>
      <c r="CX29">
        <f t="shared" si="35"/>
        <v>0</v>
      </c>
      <c r="CY29">
        <f t="shared" si="35"/>
        <v>0</v>
      </c>
      <c r="CZ29">
        <f t="shared" si="35"/>
        <v>0</v>
      </c>
      <c r="DA29">
        <f t="shared" si="35"/>
        <v>0</v>
      </c>
      <c r="DB29">
        <f t="shared" si="35"/>
        <v>0</v>
      </c>
      <c r="DC29">
        <f t="shared" si="35"/>
        <v>0</v>
      </c>
      <c r="DD29">
        <f t="shared" si="35"/>
        <v>0</v>
      </c>
      <c r="DE29">
        <f t="shared" si="35"/>
        <v>0</v>
      </c>
      <c r="DF29">
        <f t="shared" si="35"/>
        <v>0</v>
      </c>
      <c r="DG29">
        <f t="shared" si="35"/>
        <v>0</v>
      </c>
      <c r="DH29">
        <f t="shared" si="35"/>
        <v>0</v>
      </c>
      <c r="DI29">
        <f t="shared" si="35"/>
        <v>0</v>
      </c>
      <c r="DJ29">
        <f aca="true" t="shared" si="36" ref="DJ29:EO29">IF(DJ$8&gt;$O29,0,IF(DJ$8&lt;$O29,$P$29*$E$29,$P$29*$E$29+$E$29))</f>
        <v>0</v>
      </c>
      <c r="DK29">
        <f t="shared" si="36"/>
        <v>0</v>
      </c>
      <c r="DL29">
        <f t="shared" si="36"/>
        <v>0</v>
      </c>
      <c r="DM29">
        <f t="shared" si="36"/>
        <v>0</v>
      </c>
      <c r="DN29">
        <f t="shared" si="36"/>
        <v>0</v>
      </c>
      <c r="DO29">
        <f t="shared" si="36"/>
        <v>0</v>
      </c>
      <c r="DP29">
        <f t="shared" si="36"/>
        <v>0</v>
      </c>
      <c r="DQ29">
        <f t="shared" si="36"/>
        <v>0</v>
      </c>
      <c r="DR29">
        <f t="shared" si="36"/>
        <v>0</v>
      </c>
      <c r="DS29">
        <f t="shared" si="36"/>
        <v>0</v>
      </c>
      <c r="DT29">
        <f t="shared" si="36"/>
        <v>0</v>
      </c>
      <c r="DU29">
        <f t="shared" si="36"/>
        <v>0</v>
      </c>
      <c r="DV29">
        <f t="shared" si="36"/>
        <v>0</v>
      </c>
      <c r="DW29">
        <f t="shared" si="36"/>
        <v>0</v>
      </c>
      <c r="DX29">
        <f t="shared" si="36"/>
        <v>0</v>
      </c>
      <c r="DY29">
        <f t="shared" si="36"/>
        <v>0</v>
      </c>
      <c r="DZ29">
        <f t="shared" si="36"/>
        <v>0</v>
      </c>
      <c r="EA29">
        <f t="shared" si="36"/>
        <v>0</v>
      </c>
      <c r="EB29">
        <f t="shared" si="36"/>
        <v>0</v>
      </c>
      <c r="EC29">
        <f t="shared" si="36"/>
        <v>0</v>
      </c>
      <c r="ED29">
        <f t="shared" si="36"/>
        <v>0</v>
      </c>
      <c r="EE29">
        <f t="shared" si="36"/>
        <v>0</v>
      </c>
      <c r="EF29">
        <f t="shared" si="36"/>
        <v>0</v>
      </c>
      <c r="EG29">
        <f t="shared" si="36"/>
        <v>0</v>
      </c>
      <c r="EH29">
        <f t="shared" si="36"/>
        <v>0</v>
      </c>
      <c r="EI29">
        <f t="shared" si="36"/>
        <v>0</v>
      </c>
      <c r="EJ29">
        <f t="shared" si="36"/>
        <v>0</v>
      </c>
      <c r="EK29">
        <f t="shared" si="36"/>
        <v>0</v>
      </c>
      <c r="EL29">
        <f t="shared" si="36"/>
        <v>0</v>
      </c>
      <c r="EM29">
        <f t="shared" si="36"/>
        <v>0</v>
      </c>
      <c r="EN29">
        <f t="shared" si="36"/>
        <v>0</v>
      </c>
      <c r="EO29">
        <f t="shared" si="36"/>
        <v>0</v>
      </c>
      <c r="EP29">
        <f aca="true" t="shared" si="37" ref="EP29:FU29">IF(EP$8&gt;$O29,0,IF(EP$8&lt;$O29,$P$29*$E$29,$P$29*$E$29+$E$29))</f>
        <v>0</v>
      </c>
      <c r="EQ29">
        <f t="shared" si="37"/>
        <v>0</v>
      </c>
      <c r="ER29">
        <f t="shared" si="37"/>
        <v>0</v>
      </c>
      <c r="ES29">
        <f t="shared" si="37"/>
        <v>0</v>
      </c>
      <c r="ET29">
        <f t="shared" si="37"/>
        <v>0</v>
      </c>
      <c r="EU29">
        <f t="shared" si="37"/>
        <v>0</v>
      </c>
      <c r="EV29">
        <f t="shared" si="37"/>
        <v>0</v>
      </c>
      <c r="EW29">
        <f t="shared" si="37"/>
        <v>0</v>
      </c>
      <c r="EX29">
        <f t="shared" si="37"/>
        <v>0</v>
      </c>
      <c r="EY29">
        <f t="shared" si="37"/>
        <v>0</v>
      </c>
      <c r="EZ29">
        <f t="shared" si="37"/>
        <v>0</v>
      </c>
      <c r="FA29">
        <f t="shared" si="37"/>
        <v>0</v>
      </c>
      <c r="FB29">
        <f t="shared" si="37"/>
        <v>0</v>
      </c>
      <c r="FC29">
        <f t="shared" si="37"/>
        <v>0</v>
      </c>
      <c r="FD29">
        <f t="shared" si="37"/>
        <v>0</v>
      </c>
      <c r="FE29">
        <f t="shared" si="37"/>
        <v>0</v>
      </c>
      <c r="FF29">
        <f t="shared" si="37"/>
        <v>0</v>
      </c>
      <c r="FG29">
        <f t="shared" si="37"/>
        <v>0</v>
      </c>
      <c r="FH29">
        <f t="shared" si="37"/>
        <v>0</v>
      </c>
      <c r="FI29">
        <f t="shared" si="37"/>
        <v>0</v>
      </c>
      <c r="FJ29">
        <f t="shared" si="37"/>
        <v>0</v>
      </c>
      <c r="FK29">
        <f t="shared" si="37"/>
        <v>0</v>
      </c>
      <c r="FL29">
        <f t="shared" si="37"/>
        <v>0</v>
      </c>
      <c r="FM29">
        <f t="shared" si="37"/>
        <v>0</v>
      </c>
      <c r="FN29">
        <f t="shared" si="37"/>
        <v>0</v>
      </c>
      <c r="FO29">
        <f t="shared" si="37"/>
        <v>0</v>
      </c>
      <c r="FP29">
        <f t="shared" si="37"/>
        <v>0</v>
      </c>
      <c r="FQ29">
        <f t="shared" si="37"/>
        <v>0</v>
      </c>
      <c r="FR29">
        <f t="shared" si="37"/>
        <v>0</v>
      </c>
      <c r="FS29">
        <f t="shared" si="37"/>
        <v>0</v>
      </c>
      <c r="FT29">
        <f t="shared" si="37"/>
        <v>0</v>
      </c>
      <c r="FU29">
        <f t="shared" si="37"/>
        <v>0</v>
      </c>
      <c r="GA29" s="67">
        <f>I29/E29</f>
        <v>0.0748</v>
      </c>
      <c r="GB29" s="67">
        <f>I29/E29</f>
        <v>0.0748</v>
      </c>
    </row>
    <row r="30" spans="1:14" ht="12.75">
      <c r="A30" s="17">
        <v>21</v>
      </c>
      <c r="B30" s="15"/>
      <c r="C30" s="15"/>
      <c r="D30" s="18"/>
      <c r="E30" s="27"/>
      <c r="F30" s="27"/>
      <c r="G30" s="15"/>
      <c r="H30" s="27"/>
      <c r="I30" s="27"/>
      <c r="J30" s="15"/>
      <c r="K30" s="15"/>
      <c r="L30" s="15"/>
      <c r="M30" s="27"/>
      <c r="N30" s="21">
        <v>21</v>
      </c>
    </row>
    <row r="31" spans="1:184" ht="15.75" customHeight="1" thickBot="1">
      <c r="A31" s="17">
        <v>22</v>
      </c>
      <c r="B31" s="60" t="s">
        <v>58</v>
      </c>
      <c r="C31" s="15"/>
      <c r="D31" s="15"/>
      <c r="E31" s="28">
        <f>SUM(E10:E30)</f>
        <v>744289225</v>
      </c>
      <c r="F31" s="28">
        <f>SUM(F10:F30)</f>
        <v>-19368762.9483</v>
      </c>
      <c r="G31" s="29"/>
      <c r="H31" s="28">
        <f>SUM(H10:H30)</f>
        <v>724920462.0517001</v>
      </c>
      <c r="I31" s="28">
        <f>SUM(I10:I30)</f>
        <v>42559778.170125</v>
      </c>
      <c r="J31" s="29"/>
      <c r="K31" s="30"/>
      <c r="L31" s="29"/>
      <c r="M31" s="28">
        <f>SUM(M10:M29)</f>
        <v>45068720.88757947</v>
      </c>
      <c r="N31" s="21">
        <v>22</v>
      </c>
      <c r="GA31" s="67">
        <f>SUMPRODUCT(GA10:GA29,$E10:$E29)/$E31</f>
        <v>0.07861783342020033</v>
      </c>
      <c r="GB31" s="67">
        <f>SUMPRODUCT(GB10:GB29,$E10:$E29)/$E31</f>
        <v>0.05718177388652241</v>
      </c>
    </row>
    <row r="32" spans="1:14" ht="13.5" thickTop="1">
      <c r="A32" s="17">
        <v>23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1">
        <v>23</v>
      </c>
    </row>
    <row r="33" spans="1:14" ht="12.75">
      <c r="A33" s="17">
        <v>24</v>
      </c>
      <c r="B33" s="15" t="s">
        <v>59</v>
      </c>
      <c r="C33" s="68">
        <f>GA31</f>
        <v>0.07861783342020033</v>
      </c>
      <c r="D33" s="15"/>
      <c r="E33" s="15"/>
      <c r="F33" s="15"/>
      <c r="G33" s="15"/>
      <c r="H33" s="31"/>
      <c r="I33" s="32"/>
      <c r="J33" s="32"/>
      <c r="K33" s="33"/>
      <c r="L33" s="15"/>
      <c r="M33" s="15"/>
      <c r="N33" s="21">
        <v>24</v>
      </c>
    </row>
    <row r="34" spans="1:14" ht="13.5" thickBot="1">
      <c r="A34" s="17">
        <v>25</v>
      </c>
      <c r="B34" s="15" t="s">
        <v>60</v>
      </c>
      <c r="C34" s="68">
        <f>GB31</f>
        <v>0.05718177388652241</v>
      </c>
      <c r="D34" s="15"/>
      <c r="E34" s="15"/>
      <c r="F34" s="34"/>
      <c r="G34" s="35"/>
      <c r="H34" s="36" t="s">
        <v>61</v>
      </c>
      <c r="I34" s="37"/>
      <c r="J34" s="37"/>
      <c r="K34" s="38">
        <f>M31/E31</f>
        <v>0.06055269829759993</v>
      </c>
      <c r="L34" s="15"/>
      <c r="M34" s="15"/>
      <c r="N34" s="21">
        <v>25</v>
      </c>
    </row>
    <row r="35" spans="1:14" ht="13.5" thickTop="1">
      <c r="A35" s="17">
        <v>26</v>
      </c>
      <c r="B35" s="15"/>
      <c r="C35" s="15"/>
      <c r="D35" s="15"/>
      <c r="E35" s="15"/>
      <c r="F35" s="10"/>
      <c r="G35" s="10"/>
      <c r="H35" s="11"/>
      <c r="I35" s="39"/>
      <c r="J35" s="12"/>
      <c r="K35" s="40"/>
      <c r="L35" s="15"/>
      <c r="M35" s="15"/>
      <c r="N35" s="21">
        <v>26</v>
      </c>
    </row>
    <row r="36" spans="1:14" ht="13.5" customHeight="1" thickBot="1">
      <c r="A36" s="17">
        <v>27</v>
      </c>
      <c r="B36" s="4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1">
        <v>27</v>
      </c>
    </row>
    <row r="37" spans="1:14" ht="12.75">
      <c r="A37" s="17">
        <v>28</v>
      </c>
      <c r="B37" s="15" t="s">
        <v>62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1">
        <v>28</v>
      </c>
    </row>
    <row r="38" spans="1:14" ht="12.75">
      <c r="A38" s="17">
        <v>29</v>
      </c>
      <c r="B38" s="15" t="s">
        <v>63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1">
        <v>29</v>
      </c>
    </row>
    <row r="39" spans="1:14" ht="12.75">
      <c r="A39" s="17">
        <v>30</v>
      </c>
      <c r="B39" s="15" t="s">
        <v>64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1">
        <v>30</v>
      </c>
    </row>
    <row r="40" spans="1:14" ht="12.75">
      <c r="A40" s="17">
        <v>32</v>
      </c>
      <c r="B40" s="15" t="s">
        <v>77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1">
        <v>32</v>
      </c>
    </row>
    <row r="41" spans="1:14" ht="12.75">
      <c r="A41" s="17">
        <v>33</v>
      </c>
      <c r="B41" s="15" t="s">
        <v>78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1">
        <v>33</v>
      </c>
    </row>
    <row r="42" spans="1:14" ht="12.75">
      <c r="A42" s="17">
        <v>34</v>
      </c>
      <c r="B42" s="15" t="s">
        <v>79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1">
        <v>34</v>
      </c>
    </row>
    <row r="43" spans="1:14" ht="12.75">
      <c r="A43" s="17">
        <v>35</v>
      </c>
      <c r="B43" s="15" t="s">
        <v>80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1">
        <v>35</v>
      </c>
    </row>
    <row r="44" spans="1:14" ht="12.75">
      <c r="A44" s="17">
        <v>36</v>
      </c>
      <c r="B44" s="15" t="s">
        <v>81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1">
        <v>36</v>
      </c>
    </row>
    <row r="45" spans="1:14" ht="12.75">
      <c r="A45" s="17">
        <v>37</v>
      </c>
      <c r="B45" s="64" t="s">
        <v>82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21">
        <v>37</v>
      </c>
    </row>
    <row r="46" spans="1:14" ht="12.75">
      <c r="A46" s="42">
        <v>38</v>
      </c>
      <c r="B46" s="43" t="s">
        <v>76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4">
        <v>38</v>
      </c>
    </row>
    <row r="47" ht="12.75">
      <c r="A47" s="45"/>
    </row>
    <row r="48" ht="12.75">
      <c r="A48" s="45"/>
    </row>
    <row r="49" spans="1:13" ht="12.75">
      <c r="A49" s="45"/>
      <c r="E49">
        <v>744319125</v>
      </c>
      <c r="F49">
        <v>-19368933.9483</v>
      </c>
      <c r="H49">
        <v>724950191.0517001</v>
      </c>
      <c r="I49">
        <v>42561303.570125</v>
      </c>
      <c r="K49" s="67">
        <v>0.06055232680546379</v>
      </c>
      <c r="M49">
        <v>45070254.904556856</v>
      </c>
    </row>
    <row r="50" spans="1:2" ht="12.75">
      <c r="A50" s="45"/>
      <c r="B50" t="s">
        <v>65</v>
      </c>
    </row>
    <row r="51" spans="1:4" ht="12.75">
      <c r="A51" s="45"/>
      <c r="B51" t="s">
        <v>66</v>
      </c>
      <c r="C51" t="s">
        <v>67</v>
      </c>
      <c r="D51" s="69">
        <v>220</v>
      </c>
    </row>
    <row r="52" spans="1:4" ht="12.75">
      <c r="A52" s="45"/>
      <c r="B52" t="s">
        <v>68</v>
      </c>
      <c r="C52" t="s">
        <v>69</v>
      </c>
      <c r="D52" s="69">
        <v>62</v>
      </c>
    </row>
    <row r="53" spans="1:4" ht="12.75">
      <c r="A53" s="46"/>
      <c r="B53" t="s">
        <v>70</v>
      </c>
      <c r="C53" t="s">
        <v>71</v>
      </c>
      <c r="D53" s="69">
        <v>1</v>
      </c>
    </row>
    <row r="54" spans="1:4" ht="12.75">
      <c r="A54" s="45"/>
      <c r="B54" t="s">
        <v>72</v>
      </c>
      <c r="C54" t="s">
        <v>73</v>
      </c>
      <c r="D54" s="69">
        <v>2</v>
      </c>
    </row>
    <row r="55" spans="1:4" ht="12.75">
      <c r="A55" s="45"/>
      <c r="B55" t="s">
        <v>74</v>
      </c>
      <c r="C55" t="s">
        <v>75</v>
      </c>
      <c r="D55" s="69">
        <v>14</v>
      </c>
    </row>
    <row r="56" spans="1:4" ht="12.75">
      <c r="A56" s="45"/>
      <c r="D56" s="69">
        <v>299</v>
      </c>
    </row>
    <row r="57" ht="12.75">
      <c r="A57" s="46"/>
    </row>
    <row r="58" ht="12.75">
      <c r="A58" s="45"/>
    </row>
    <row r="59" ht="12.75">
      <c r="A59" s="45"/>
    </row>
    <row r="60" ht="12.75">
      <c r="A60" s="45"/>
    </row>
    <row r="61" ht="12.75">
      <c r="A61" s="45"/>
    </row>
    <row r="62" ht="12.75">
      <c r="A62" s="45"/>
    </row>
    <row r="63" ht="12.75">
      <c r="A63" s="46"/>
    </row>
  </sheetData>
  <printOptions horizontalCentered="1"/>
  <pageMargins left="0.4" right="0.217" top="0.7" bottom="0.5" header="0.5" footer="0.5"/>
  <pageSetup fitToHeight="1" fitToWidth="1" horizontalDpi="300" verticalDpi="300" orientation="landscape" scale="81" r:id="rId2"/>
  <headerFooter alignWithMargins="0">
    <oddHeader>&amp;R&amp;12BNW Exhibit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Staples</dc:creator>
  <cp:keywords/>
  <dc:description/>
  <cp:lastModifiedBy>Janna Nelson</cp:lastModifiedBy>
  <cp:lastPrinted>2000-12-04T19:17:18Z</cp:lastPrinted>
  <dcterms:created xsi:type="dcterms:W3CDTF">1997-02-11T16:26:18Z</dcterms:created>
  <cp:category/>
  <cp:version/>
  <cp:contentType/>
  <cp:contentStatus/>
</cp:coreProperties>
</file>