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GJS - 1" sheetId="1" r:id="rId1"/>
    <sheet name="GJS - 2" sheetId="2" r:id="rId2"/>
    <sheet name="GJS - 3" sheetId="3" r:id="rId3"/>
    <sheet name="GJS - 4" sheetId="4" r:id="rId4"/>
    <sheet name="Sheet3" sheetId="5" r:id="rId5"/>
  </sheets>
  <externalReferences>
    <externalReference r:id="rId8"/>
  </externalReferences>
  <definedNames>
    <definedName name="\COMP">#REF!</definedName>
    <definedName name="\COMPT">#REF!</definedName>
    <definedName name="\COMPTW">#REF!</definedName>
    <definedName name="\COMPW">#REF!</definedName>
    <definedName name="\PBLK" localSheetId="1">'[1]WRG4'!#REF!</definedName>
    <definedName name="\PCOMP" localSheetId="1">'[1]WRG4'!#REF!</definedName>
    <definedName name="\PCOMPW" localSheetId="1">'[1]WRG4'!#REF!</definedName>
    <definedName name="\PTBL" localSheetId="1">'[1]WRG4'!#REF!</definedName>
    <definedName name="\Q" localSheetId="1">'[1]WRG4'!#REF!</definedName>
    <definedName name="\Z" localSheetId="1">'[1]WRG4'!#REF!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" localSheetId="1">'[1]WRG4'!#REF!</definedName>
    <definedName name="_Sort" hidden="1">#REF!</definedName>
    <definedName name="COSSUM">'GJS - 4'!$A$1:$N$38</definedName>
    <definedName name="page1">'GJS - 4'!$A$1:$N$40</definedName>
    <definedName name="_xlnm.Print_Area" localSheetId="3">'GJS - 4'!$A$1:$N$41</definedName>
  </definedNames>
  <calcPr calcMode="manual" fullCalcOnLoad="1"/>
</workbook>
</file>

<file path=xl/comments4.xml><?xml version="1.0" encoding="utf-8"?>
<comments xmlns="http://schemas.openxmlformats.org/spreadsheetml/2006/main">
  <authors>
    <author>A satisfied Microsoft Office user</author>
  </authors>
  <commentList>
    <comment ref="G7" authorId="0">
      <text>
        <r>
          <rPr>
            <sz val="10"/>
            <rFont val="Tahoma"/>
            <family val="0"/>
          </rPr>
          <t xml:space="preserve">Indicates the actual rate of return developed from current revenues. </t>
        </r>
      </text>
    </comment>
  </commentList>
</comments>
</file>

<file path=xl/sharedStrings.xml><?xml version="1.0" encoding="utf-8"?>
<sst xmlns="http://schemas.openxmlformats.org/spreadsheetml/2006/main" count="318" uniqueCount="194">
  <si>
    <t>UNBUNDLED COST OF SERVICE: COST CHANGES FROM 1998 COS STUDY TO PRESENT</t>
  </si>
  <si>
    <t>1998 Study Results</t>
  </si>
  <si>
    <t>Generation</t>
  </si>
  <si>
    <t>Transmission</t>
  </si>
  <si>
    <t>Distribution</t>
  </si>
  <si>
    <t>1999 Study Results</t>
  </si>
  <si>
    <t>2000 Study Results</t>
  </si>
  <si>
    <t>Percent Change in Unit Costs</t>
  </si>
  <si>
    <t>Total Revenue Requirement</t>
  </si>
  <si>
    <t>Retail</t>
  </si>
  <si>
    <t>Miscellaneous</t>
  </si>
  <si>
    <t>N/A</t>
  </si>
  <si>
    <t>Change in Unit Costs</t>
  </si>
  <si>
    <t>Unitized Change in Functional Costs</t>
  </si>
  <si>
    <t>Utah Power &amp; Light Company</t>
  </si>
  <si>
    <t>Normalized 12 Months Ended September 30, 2000</t>
  </si>
  <si>
    <t>Present</t>
  </si>
  <si>
    <t>Average</t>
  </si>
  <si>
    <t>Total</t>
  </si>
  <si>
    <t>Revenues ($000)</t>
  </si>
  <si>
    <t>Line</t>
  </si>
  <si>
    <t>Schedule</t>
  </si>
  <si>
    <t>No. of</t>
  </si>
  <si>
    <t>Avg Cents/</t>
  </si>
  <si>
    <t>No.</t>
  </si>
  <si>
    <t>Description</t>
  </si>
  <si>
    <t>Number</t>
  </si>
  <si>
    <t>Customers</t>
  </si>
  <si>
    <t>(000)</t>
  </si>
  <si>
    <t>Amount</t>
  </si>
  <si>
    <t>Percent</t>
  </si>
  <si>
    <t>kWh</t>
  </si>
  <si>
    <t>Residential</t>
  </si>
  <si>
    <t>1/3</t>
  </si>
  <si>
    <t>Residential-Optional TOD</t>
  </si>
  <si>
    <t>Residential-Mobile Homes</t>
  </si>
  <si>
    <t>AGA</t>
  </si>
  <si>
    <t>--</t>
  </si>
  <si>
    <t>Total Residential</t>
  </si>
  <si>
    <t>Commercial &amp; Industrial ¹</t>
  </si>
  <si>
    <t>General Service-Distribution</t>
  </si>
  <si>
    <t>6/19/21</t>
  </si>
  <si>
    <t>General Service-Distribution-Energy TOD</t>
  </si>
  <si>
    <t>6A</t>
  </si>
  <si>
    <t>Subtotal Schedule 6</t>
  </si>
  <si>
    <t>General Service-High Voltage</t>
  </si>
  <si>
    <t>9/21</t>
  </si>
  <si>
    <t>General Service-High Voltage-Energy TOD</t>
  </si>
  <si>
    <t>9A</t>
  </si>
  <si>
    <t>General Service-High Voltage-Demand TOD</t>
  </si>
  <si>
    <t>9B</t>
  </si>
  <si>
    <t>Subtotal Schedule 9</t>
  </si>
  <si>
    <t>Irrigation</t>
  </si>
  <si>
    <t>Irrigation-Time of Day</t>
  </si>
  <si>
    <t>10TOD</t>
  </si>
  <si>
    <t>Subtotal Irrigation</t>
  </si>
  <si>
    <t>General Service-Distribution-Small</t>
  </si>
  <si>
    <t>19/23</t>
  </si>
  <si>
    <t>Back-up, Maintenance, &amp; Supplementary</t>
  </si>
  <si>
    <t>Generation Replacement</t>
  </si>
  <si>
    <t>Special Contracts</t>
  </si>
  <si>
    <t>Total Commercial &amp; Industrial</t>
  </si>
  <si>
    <t xml:space="preserve"> (excluding contracts, Sch. 33, AGA)</t>
  </si>
  <si>
    <t>Public Street Lighting</t>
  </si>
  <si>
    <t>Security Area Lighting</t>
  </si>
  <si>
    <t>Street Lighting - Company Owned</t>
  </si>
  <si>
    <t>Street Lighting - Customer Owned</t>
  </si>
  <si>
    <t>Traffic Signal Systems</t>
  </si>
  <si>
    <t>Metered Outdoor Lighting</t>
  </si>
  <si>
    <t>Decorative Street Lighting</t>
  </si>
  <si>
    <t>Subtotal Public Street Lighting</t>
  </si>
  <si>
    <t>Security Area Lighting-Contracts</t>
  </si>
  <si>
    <t>Street Lighting-Contracts</t>
  </si>
  <si>
    <t>Total Public Street Lighting</t>
  </si>
  <si>
    <t xml:space="preserve"> (including contracts, AGA)</t>
  </si>
  <si>
    <t>Total Sales to Ultimate Customers</t>
  </si>
  <si>
    <t>* Rounds to less than $1,000.</t>
  </si>
  <si>
    <t xml:space="preserve">Equal Percent </t>
  </si>
  <si>
    <t>Equal kWh Change</t>
  </si>
  <si>
    <t>50/50 Allocation</t>
  </si>
  <si>
    <t xml:space="preserve">Unitized </t>
  </si>
  <si>
    <t>Per kWh</t>
  </si>
  <si>
    <t>per kWh</t>
  </si>
  <si>
    <t>REALLOCATION OF REVENUES</t>
  </si>
  <si>
    <t>Total Utah</t>
  </si>
  <si>
    <t>Sch 1</t>
  </si>
  <si>
    <t>Sch 6</t>
  </si>
  <si>
    <t>Street &amp; Area</t>
  </si>
  <si>
    <t>Sch 9</t>
  </si>
  <si>
    <t>Sch 10</t>
  </si>
  <si>
    <t>Sch 12</t>
  </si>
  <si>
    <t>Sch 19</t>
  </si>
  <si>
    <t>Sch 23</t>
  </si>
  <si>
    <t>Sch 25</t>
  </si>
  <si>
    <t>I.INTERJURISDICTIONAL ALLOCATION OF SC REVENUE</t>
  </si>
  <si>
    <t>PacifiCorp Treatment</t>
  </si>
  <si>
    <t>System Generation - F10</t>
  </si>
  <si>
    <t>System Energy - F30</t>
  </si>
  <si>
    <t>CCS Allocation Generation Basis</t>
  </si>
  <si>
    <t>System Generation Basis</t>
  </si>
  <si>
    <t>Remove Special Contract Credit</t>
  </si>
  <si>
    <t>Reallocation of Spec. Contract Credit</t>
  </si>
  <si>
    <t>CCS Proposed Allocation of Interstate Spec Contract Credit</t>
  </si>
  <si>
    <t>II.  Reallocation of Sales for Resale Revenue Credit</t>
  </si>
  <si>
    <t>Total PacifiCorp</t>
  </si>
  <si>
    <t>CCS Proposed Reallocation</t>
  </si>
  <si>
    <t>Total Reallocation</t>
  </si>
  <si>
    <t>PacifiCorp</t>
  </si>
  <si>
    <t>Cost Of Service By Rate Schedule</t>
  </si>
  <si>
    <t>State of Utah</t>
  </si>
  <si>
    <t>12 Months Ending September 30, 2000</t>
  </si>
  <si>
    <t>BaseCase - Full Functionalization</t>
  </si>
  <si>
    <t>BaseCase Allocation Factors</t>
  </si>
  <si>
    <t>5.055% = Earned Return on Rate Base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</si>
  <si>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</si>
  <si>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</si>
  <si>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</si>
  <si>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</si>
  <si>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</si>
  <si>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</si>
  <si>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</si>
  <si>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</si>
  <si>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</si>
  <si>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Return on</t>
  </si>
  <si>
    <t>Rate of</t>
  </si>
  <si>
    <t>PacifCorp</t>
  </si>
  <si>
    <t>Increase</t>
  </si>
  <si>
    <t xml:space="preserve">Cost </t>
  </si>
  <si>
    <t>Sch.</t>
  </si>
  <si>
    <t>Annual</t>
  </si>
  <si>
    <t>Rate</t>
  </si>
  <si>
    <t>Return</t>
  </si>
  <si>
    <t>Cost of</t>
  </si>
  <si>
    <t>(Decrease)</t>
  </si>
  <si>
    <t>Adjustment</t>
  </si>
  <si>
    <t>Revenue</t>
  </si>
  <si>
    <t>Base</t>
  </si>
  <si>
    <t>Index</t>
  </si>
  <si>
    <t>Service</t>
  </si>
  <si>
    <t>to = ROR</t>
  </si>
  <si>
    <t>from GJS -3</t>
  </si>
  <si>
    <t>1</t>
  </si>
  <si>
    <t>6</t>
  </si>
  <si>
    <t xml:space="preserve">General Service - Large </t>
  </si>
  <si>
    <t>7,11,12,13</t>
  </si>
  <si>
    <t>Street &amp; Area Lighting</t>
  </si>
  <si>
    <t>9</t>
  </si>
  <si>
    <t>General - Transmission</t>
  </si>
  <si>
    <t>10</t>
  </si>
  <si>
    <t>12</t>
  </si>
  <si>
    <t>Traffic Signals</t>
  </si>
  <si>
    <t>Outdoor Lighting</t>
  </si>
  <si>
    <t>19</t>
  </si>
  <si>
    <t>Commercial Space Heating</t>
  </si>
  <si>
    <t>21</t>
  </si>
  <si>
    <t>Electric Furnace</t>
  </si>
  <si>
    <t>23</t>
  </si>
  <si>
    <t xml:space="preserve">General Service - Small </t>
  </si>
  <si>
    <t>25</t>
  </si>
  <si>
    <t>Mobile Home Parks</t>
  </si>
  <si>
    <t>Firm Industrial Contracts</t>
  </si>
  <si>
    <t>Total Utah Jurisdiction - Firm</t>
  </si>
  <si>
    <t>Footnotes :</t>
  </si>
  <si>
    <t>Column C :  Annual revenues based on October 1999 thru September 2000 usage priced at Utah Tariff No. 43.</t>
  </si>
  <si>
    <t>Column E :  Rate of Return Index. Rate of return by rate schedule, divided by Utah Jurisdiction's normalized rate of return.</t>
  </si>
  <si>
    <t>Column F :  Calculated Full Cost of Service at Jurisdictional Rate of Return per the October 1999 thru September 2000 Embedded COS Study</t>
  </si>
  <si>
    <t>Column G :  Calculated Generation Cost of Service at Jurisdictional Rate of Return per the October 1999 thru September 2000 Embedded COS Study.</t>
  </si>
  <si>
    <t>Column H :  Calculated Transmission Cost of Service at Jurisdictional Rate of Return per the October 1999 thru September 2000 Embedded COS Study.</t>
  </si>
  <si>
    <t>Column I :  Calculated Distribution Cost of Service at Jurisdictional Rate of Return per the October 1999 thru September 2000 Embedded COS Study.</t>
  </si>
  <si>
    <t>Column K :  Increase or Decrease Required to Move From Annual Revenue at T-43 to Full Cost of Service Percent.</t>
  </si>
  <si>
    <t>Total Revenue Credit Change</t>
  </si>
  <si>
    <t>Net</t>
  </si>
  <si>
    <t xml:space="preserve">Increase </t>
  </si>
  <si>
    <t>to =ROR</t>
  </si>
  <si>
    <t xml:space="preserve">                             Equal Percent Change</t>
  </si>
  <si>
    <t>Sch 21</t>
  </si>
  <si>
    <t>kWh2</t>
  </si>
  <si>
    <t>Column J :  Increase or Decrease Required to Move From Annual Revenue at T-43 to Full Cost-of-Service Dollars.</t>
  </si>
  <si>
    <t xml:space="preserve">Column D :  Calculated Return on Ratebase per October 1999 thru September 2000 Embedded Cost-of-Service Study </t>
  </si>
  <si>
    <t>Reallocation of Special Contract Credit</t>
  </si>
  <si>
    <r>
      <t>Revenues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</si>
  <si>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 Includes OSPA and Interdepartmental.</t>
    </r>
  </si>
  <si>
    <r>
      <t>2</t>
    </r>
    <r>
      <rPr>
        <sz val="8"/>
        <rFont val="Times New Roman"/>
        <family val="1"/>
      </rPr>
      <t xml:space="preserve"> Includes weather normalization and unbilled revenues.</t>
    </r>
  </si>
  <si>
    <t>Alternative Revenue on Revenues from Electric Sales to Ultimate Consumers in Utah</t>
  </si>
  <si>
    <t>Present Tariffed</t>
  </si>
  <si>
    <t>Proposed Tariffed</t>
  </si>
  <si>
    <r>
      <t xml:space="preserve">Total Sales to Ultimate Customers </t>
    </r>
    <r>
      <rPr>
        <sz val="8"/>
        <rFont val="Times New Roman"/>
        <family val="1"/>
      </rPr>
      <t>(excluding contracts, Sch. 33, AGA)</t>
    </r>
    <r>
      <rPr>
        <b/>
        <sz val="8"/>
        <rFont val="Times New Roman"/>
        <family val="1"/>
      </rPr>
      <t xml:space="preserve">    </t>
    </r>
  </si>
  <si>
    <t>CCS Exhibit 9.2</t>
  </si>
  <si>
    <t>CCS Exhibit 9.1</t>
  </si>
  <si>
    <t>CCS Exhibit 9.3</t>
  </si>
  <si>
    <t>Special</t>
  </si>
  <si>
    <t xml:space="preserve"> Contracts</t>
  </si>
  <si>
    <t>Page 1 of 2</t>
  </si>
  <si>
    <t>Page 2 of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</si>
</sst>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General_)"/>
    <numFmt numFmtId="166" formatCode="0_)"/>
    <numFmt numFmtId="167" formatCode="0.0%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.0000_);_(* \(#,##0.0000\);_(* &quot;-&quot;??_);_(@_)"/>
  </numFmts>
  <fonts count="1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0"/>
    </font>
    <font>
      <sz val="10"/>
      <name val="SWISS"/>
      <family val="0"/>
    </font>
    <font>
      <b/>
      <sz val="10"/>
      <name val="Arial"/>
      <family val="2"/>
    </font>
    <font>
      <b/>
      <sz val="10"/>
      <color indexed="12"/>
      <name val="SWISS"/>
      <family val="0"/>
    </font>
    <font>
      <b/>
      <sz val="10"/>
      <color indexed="8"/>
      <name val="SWISS"/>
      <family val="0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name val="Tahoma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165" fontId="3" fillId="0" borderId="0" xfId="20" applyFont="1">
      <alignment/>
      <protection/>
    </xf>
    <xf numFmtId="43" fontId="3" fillId="0" borderId="0" xfId="15" applyNumberFormat="1" applyFont="1" applyAlignment="1">
      <alignment/>
    </xf>
    <xf numFmtId="3" fontId="0" fillId="0" borderId="0" xfId="0" applyNumberFormat="1" applyAlignment="1">
      <alignment/>
    </xf>
    <xf numFmtId="41" fontId="5" fillId="0" borderId="0" xfId="19" applyFont="1" applyAlignment="1">
      <alignment horizontal="centerContinuous"/>
    </xf>
    <xf numFmtId="41" fontId="0" fillId="0" borderId="0" xfId="19" applyFont="1" applyAlignment="1">
      <alignment/>
    </xf>
    <xf numFmtId="37" fontId="5" fillId="0" borderId="0" xfId="19" applyNumberFormat="1" applyFont="1" applyAlignment="1" applyProtection="1">
      <alignment horizontal="centerContinuous"/>
      <protection locked="0"/>
    </xf>
    <xf numFmtId="1" fontId="5" fillId="0" borderId="0" xfId="19" applyNumberFormat="1" applyFont="1" applyAlignment="1">
      <alignment horizontal="centerContinuous"/>
    </xf>
    <xf numFmtId="1" fontId="5" fillId="0" borderId="0" xfId="19" applyNumberFormat="1" applyFont="1" applyFill="1" applyAlignment="1">
      <alignment horizontal="centerContinuous"/>
    </xf>
    <xf numFmtId="41" fontId="5" fillId="0" borderId="0" xfId="19" applyFont="1" applyAlignment="1" applyProtection="1">
      <alignment horizontal="centerContinuous"/>
      <protection locked="0"/>
    </xf>
    <xf numFmtId="41" fontId="0" fillId="0" borderId="0" xfId="19" applyFont="1" applyAlignment="1" applyProtection="1">
      <alignment horizontal="centerContinuous"/>
      <protection locked="0"/>
    </xf>
    <xf numFmtId="41" fontId="0" fillId="0" borderId="0" xfId="19" applyFont="1" applyAlignment="1" applyProtection="1">
      <alignment/>
      <protection locked="0"/>
    </xf>
    <xf numFmtId="37" fontId="0" fillId="0" borderId="0" xfId="19" applyNumberFormat="1" applyFont="1" applyAlignment="1" applyProtection="1">
      <alignment/>
      <protection locked="0"/>
    </xf>
    <xf numFmtId="41" fontId="10" fillId="0" borderId="0" xfId="19" applyFont="1" applyAlignment="1" applyProtection="1">
      <alignment/>
      <protection locked="0"/>
    </xf>
    <xf numFmtId="41" fontId="11" fillId="0" borderId="0" xfId="19" applyFont="1" applyAlignment="1" applyProtection="1">
      <alignment/>
      <protection locked="0"/>
    </xf>
    <xf numFmtId="41" fontId="4" fillId="0" borderId="0" xfId="19" applyAlignment="1">
      <alignment/>
    </xf>
    <xf numFmtId="41" fontId="0" fillId="0" borderId="0" xfId="19" applyFont="1" applyBorder="1" applyAlignment="1" applyProtection="1">
      <alignment horizontal="center"/>
      <protection locked="0"/>
    </xf>
    <xf numFmtId="41" fontId="0" fillId="0" borderId="0" xfId="19" applyFont="1" applyBorder="1" applyAlignment="1" applyProtection="1">
      <alignment/>
      <protection locked="0"/>
    </xf>
    <xf numFmtId="41" fontId="8" fillId="0" borderId="0" xfId="19" applyFont="1" applyFill="1" applyBorder="1" applyAlignment="1" applyProtection="1">
      <alignment horizontal="center"/>
      <protection locked="0"/>
    </xf>
    <xf numFmtId="166" fontId="0" fillId="0" borderId="0" xfId="19" applyNumberFormat="1" applyFont="1" applyBorder="1" applyAlignment="1" applyProtection="1">
      <alignment horizontal="center"/>
      <protection locked="0"/>
    </xf>
    <xf numFmtId="37" fontId="0" fillId="0" borderId="0" xfId="19" applyNumberFormat="1" applyFont="1" applyBorder="1" applyAlignment="1" applyProtection="1">
      <alignment/>
      <protection locked="0"/>
    </xf>
    <xf numFmtId="10" fontId="0" fillId="0" borderId="0" xfId="19" applyNumberFormat="1" applyFont="1" applyBorder="1" applyAlignment="1" applyProtection="1">
      <alignment/>
      <protection locked="0"/>
    </xf>
    <xf numFmtId="39" fontId="0" fillId="0" borderId="0" xfId="19" applyNumberFormat="1" applyFont="1" applyBorder="1" applyAlignment="1" applyProtection="1">
      <alignment/>
      <protection locked="0"/>
    </xf>
    <xf numFmtId="37" fontId="0" fillId="2" borderId="0" xfId="19" applyNumberFormat="1" applyFont="1" applyFill="1" applyBorder="1" applyAlignment="1" applyProtection="1">
      <alignment horizontal="center"/>
      <protection locked="0"/>
    </xf>
    <xf numFmtId="41" fontId="0" fillId="2" borderId="0" xfId="19" applyFont="1" applyFill="1" applyBorder="1" applyAlignment="1" applyProtection="1">
      <alignment horizontal="center"/>
      <protection locked="0"/>
    </xf>
    <xf numFmtId="41" fontId="0" fillId="2" borderId="0" xfId="19" applyFont="1" applyFill="1" applyBorder="1" applyAlignment="1" applyProtection="1">
      <alignment/>
      <protection locked="0"/>
    </xf>
    <xf numFmtId="39" fontId="0" fillId="2" borderId="0" xfId="19" applyNumberFormat="1" applyFont="1" applyFill="1" applyBorder="1" applyAlignment="1" applyProtection="1">
      <alignment/>
      <protection locked="0"/>
    </xf>
    <xf numFmtId="37" fontId="0" fillId="2" borderId="0" xfId="19" applyNumberFormat="1" applyFont="1" applyFill="1" applyBorder="1" applyAlignment="1" applyProtection="1">
      <alignment/>
      <protection locked="0"/>
    </xf>
    <xf numFmtId="41" fontId="9" fillId="3" borderId="0" xfId="19" applyFont="1" applyFill="1" applyBorder="1" applyAlignment="1" applyProtection="1">
      <alignment horizontal="center"/>
      <protection locked="0"/>
    </xf>
    <xf numFmtId="41" fontId="0" fillId="3" borderId="0" xfId="19" applyFont="1" applyFill="1" applyBorder="1" applyAlignment="1" applyProtection="1">
      <alignment/>
      <protection locked="0"/>
    </xf>
    <xf numFmtId="39" fontId="0" fillId="3" borderId="0" xfId="19" applyNumberFormat="1" applyFont="1" applyFill="1" applyBorder="1" applyAlignment="1" applyProtection="1">
      <alignment/>
      <protection locked="0"/>
    </xf>
    <xf numFmtId="37" fontId="0" fillId="3" borderId="0" xfId="19" applyNumberFormat="1" applyFont="1" applyFill="1" applyBorder="1" applyAlignment="1" applyProtection="1">
      <alignment/>
      <protection locked="0"/>
    </xf>
    <xf numFmtId="41" fontId="0" fillId="3" borderId="0" xfId="19" applyFont="1" applyFill="1" applyBorder="1" applyAlignment="1" applyProtection="1">
      <alignment horizontal="center"/>
      <protection locked="0"/>
    </xf>
    <xf numFmtId="37" fontId="0" fillId="0" borderId="0" xfId="19" applyNumberFormat="1" applyFont="1" applyBorder="1" applyAlignment="1" applyProtection="1">
      <alignment horizontal="center"/>
      <protection locked="0"/>
    </xf>
    <xf numFmtId="41" fontId="0" fillId="4" borderId="0" xfId="19" applyFont="1" applyFill="1" applyBorder="1" applyAlignment="1" applyProtection="1">
      <alignment/>
      <protection locked="0"/>
    </xf>
    <xf numFmtId="10" fontId="0" fillId="0" borderId="0" xfId="21" applyNumberFormat="1" applyFont="1" applyBorder="1" applyAlignment="1" applyProtection="1">
      <alignment/>
      <protection locked="0"/>
    </xf>
    <xf numFmtId="37" fontId="0" fillId="4" borderId="0" xfId="19" applyNumberFormat="1" applyFont="1" applyFill="1" applyBorder="1" applyAlignment="1" applyProtection="1">
      <alignment horizontal="center"/>
      <protection locked="0"/>
    </xf>
    <xf numFmtId="41" fontId="5" fillId="0" borderId="0" xfId="19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" fontId="5" fillId="0" borderId="0" xfId="19" applyNumberFormat="1" applyFont="1" applyBorder="1" applyAlignment="1">
      <alignment horizontal="centerContinuous"/>
    </xf>
    <xf numFmtId="165" fontId="13" fillId="0" borderId="0" xfId="20" applyFont="1" applyAlignment="1">
      <alignment horizontal="center"/>
      <protection/>
    </xf>
    <xf numFmtId="165" fontId="14" fillId="0" borderId="0" xfId="20" applyFont="1">
      <alignment/>
      <protection/>
    </xf>
    <xf numFmtId="165" fontId="13" fillId="0" borderId="0" xfId="20" applyFont="1" applyAlignment="1">
      <alignment horizontal="centerContinuous"/>
      <protection/>
    </xf>
    <xf numFmtId="165" fontId="14" fillId="0" borderId="0" xfId="20" applyFont="1" applyAlignment="1">
      <alignment horizontal="centerContinuous"/>
      <protection/>
    </xf>
    <xf numFmtId="43" fontId="14" fillId="0" borderId="0" xfId="15" applyNumberFormat="1" applyFont="1" applyAlignment="1">
      <alignment horizontal="centerContinuous"/>
    </xf>
    <xf numFmtId="165" fontId="14" fillId="0" borderId="0" xfId="20" applyFont="1" applyAlignment="1">
      <alignment horizontal="center"/>
      <protection/>
    </xf>
    <xf numFmtId="43" fontId="14" fillId="0" borderId="0" xfId="15" applyNumberFormat="1" applyFont="1" applyAlignment="1">
      <alignment/>
    </xf>
    <xf numFmtId="165" fontId="13" fillId="0" borderId="1" xfId="20" applyFont="1" applyBorder="1" applyAlignment="1">
      <alignment horizontal="centerContinuous"/>
      <protection/>
    </xf>
    <xf numFmtId="165" fontId="14" fillId="0" borderId="1" xfId="20" applyFont="1" applyBorder="1" applyAlignment="1">
      <alignment horizontal="centerContinuous"/>
      <protection/>
    </xf>
    <xf numFmtId="165" fontId="16" fillId="0" borderId="0" xfId="20" applyFont="1" applyAlignment="1">
      <alignment horizontal="center"/>
      <protection/>
    </xf>
    <xf numFmtId="43" fontId="14" fillId="0" borderId="0" xfId="15" applyNumberFormat="1" applyFont="1" applyAlignment="1">
      <alignment horizontal="center"/>
    </xf>
    <xf numFmtId="165" fontId="14" fillId="0" borderId="0" xfId="20" applyFont="1" applyAlignment="1" quotePrefix="1">
      <alignment horizontal="center"/>
      <protection/>
    </xf>
    <xf numFmtId="37" fontId="14" fillId="0" borderId="0" xfId="20" applyNumberFormat="1" applyFont="1" applyAlignment="1" quotePrefix="1">
      <alignment horizontal="center"/>
      <protection/>
    </xf>
    <xf numFmtId="165" fontId="13" fillId="0" borderId="0" xfId="20" applyFont="1">
      <alignment/>
      <protection/>
    </xf>
    <xf numFmtId="169" fontId="14" fillId="0" borderId="0" xfId="17" applyNumberFormat="1" applyFont="1" applyAlignment="1">
      <alignment/>
    </xf>
    <xf numFmtId="165" fontId="14" fillId="0" borderId="0" xfId="20" applyFont="1" applyAlignment="1" quotePrefix="1">
      <alignment horizontal="right"/>
      <protection/>
    </xf>
    <xf numFmtId="168" fontId="14" fillId="0" borderId="0" xfId="15" applyNumberFormat="1" applyFont="1" applyAlignment="1">
      <alignment/>
    </xf>
    <xf numFmtId="167" fontId="14" fillId="0" borderId="0" xfId="21" applyNumberFormat="1" applyFont="1" applyAlignment="1">
      <alignment/>
    </xf>
    <xf numFmtId="43" fontId="14" fillId="0" borderId="0" xfId="15" applyFont="1" applyAlignment="1">
      <alignment/>
    </xf>
    <xf numFmtId="10" fontId="14" fillId="0" borderId="0" xfId="21" applyNumberFormat="1" applyFont="1" applyAlignment="1">
      <alignment/>
    </xf>
    <xf numFmtId="170" fontId="14" fillId="0" borderId="0" xfId="15" applyNumberFormat="1" applyFont="1" applyAlignment="1">
      <alignment/>
    </xf>
    <xf numFmtId="3" fontId="14" fillId="0" borderId="0" xfId="20" applyNumberFormat="1" applyFont="1">
      <alignment/>
      <protection/>
    </xf>
    <xf numFmtId="10" fontId="14" fillId="0" borderId="0" xfId="20" applyNumberFormat="1" applyFont="1">
      <alignment/>
      <protection/>
    </xf>
    <xf numFmtId="165" fontId="14" fillId="0" borderId="1" xfId="20" applyFont="1" applyBorder="1" applyAlignment="1">
      <alignment horizontal="right"/>
      <protection/>
    </xf>
    <xf numFmtId="169" fontId="14" fillId="0" borderId="1" xfId="17" applyNumberFormat="1" applyFont="1" applyBorder="1" applyAlignment="1">
      <alignment/>
    </xf>
    <xf numFmtId="167" fontId="14" fillId="0" borderId="0" xfId="21" applyNumberFormat="1" applyFont="1" applyBorder="1" applyAlignment="1">
      <alignment/>
    </xf>
    <xf numFmtId="10" fontId="14" fillId="0" borderId="1" xfId="21" applyNumberFormat="1" applyFont="1" applyBorder="1" applyAlignment="1">
      <alignment/>
    </xf>
    <xf numFmtId="170" fontId="14" fillId="0" borderId="1" xfId="15" applyNumberFormat="1" applyFont="1" applyBorder="1" applyAlignment="1">
      <alignment/>
    </xf>
    <xf numFmtId="165" fontId="14" fillId="0" borderId="0" xfId="20" applyFont="1" applyAlignment="1">
      <alignment horizontal="right"/>
      <protection/>
    </xf>
    <xf numFmtId="168" fontId="14" fillId="0" borderId="1" xfId="15" applyNumberFormat="1" applyFont="1" applyBorder="1" applyAlignment="1">
      <alignment/>
    </xf>
    <xf numFmtId="43" fontId="14" fillId="0" borderId="0" xfId="15" applyFont="1" applyAlignment="1">
      <alignment horizontal="right"/>
    </xf>
    <xf numFmtId="170" fontId="14" fillId="0" borderId="0" xfId="15" applyNumberFormat="1" applyFont="1" applyAlignment="1">
      <alignment horizontal="right"/>
    </xf>
    <xf numFmtId="170" fontId="14" fillId="0" borderId="1" xfId="15" applyNumberFormat="1" applyFont="1" applyBorder="1" applyAlignment="1">
      <alignment horizontal="right"/>
    </xf>
    <xf numFmtId="165" fontId="14" fillId="0" borderId="1" xfId="20" applyFont="1" applyBorder="1">
      <alignment/>
      <protection/>
    </xf>
    <xf numFmtId="168" fontId="14" fillId="0" borderId="1" xfId="15" applyNumberFormat="1" applyFont="1" applyBorder="1" applyAlignment="1">
      <alignment horizontal="right"/>
    </xf>
    <xf numFmtId="169" fontId="14" fillId="0" borderId="0" xfId="20" applyNumberFormat="1" applyFont="1">
      <alignment/>
      <protection/>
    </xf>
    <xf numFmtId="165" fontId="14" fillId="0" borderId="0" xfId="20" applyFont="1" applyBorder="1">
      <alignment/>
      <protection/>
    </xf>
    <xf numFmtId="168" fontId="14" fillId="0" borderId="0" xfId="15" applyNumberFormat="1" applyFont="1" applyBorder="1" applyAlignment="1">
      <alignment/>
    </xf>
    <xf numFmtId="169" fontId="14" fillId="0" borderId="0" xfId="17" applyNumberFormat="1" applyFont="1" applyBorder="1" applyAlignment="1">
      <alignment/>
    </xf>
    <xf numFmtId="10" fontId="14" fillId="0" borderId="0" xfId="21" applyNumberFormat="1" applyFont="1" applyBorder="1" applyAlignment="1">
      <alignment/>
    </xf>
    <xf numFmtId="170" fontId="14" fillId="0" borderId="0" xfId="15" applyNumberFormat="1" applyFont="1" applyBorder="1" applyAlignment="1">
      <alignment/>
    </xf>
    <xf numFmtId="168" fontId="14" fillId="0" borderId="2" xfId="15" applyNumberFormat="1" applyFont="1" applyBorder="1" applyAlignment="1">
      <alignment/>
    </xf>
    <xf numFmtId="169" fontId="14" fillId="0" borderId="2" xfId="17" applyNumberFormat="1" applyFont="1" applyBorder="1" applyAlignment="1">
      <alignment/>
    </xf>
    <xf numFmtId="10" fontId="14" fillId="0" borderId="2" xfId="21" applyNumberFormat="1" applyFont="1" applyBorder="1" applyAlignment="1">
      <alignment/>
    </xf>
    <xf numFmtId="170" fontId="14" fillId="0" borderId="2" xfId="15" applyNumberFormat="1" applyFont="1" applyBorder="1" applyAlignment="1">
      <alignment/>
    </xf>
    <xf numFmtId="165" fontId="16" fillId="0" borderId="0" xfId="20" applyFont="1">
      <alignment/>
      <protection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41" fontId="0" fillId="0" borderId="0" xfId="19" applyFont="1" applyFill="1" applyAlignment="1" applyProtection="1">
      <alignment horizontal="centerContinuous"/>
      <protection locked="0"/>
    </xf>
    <xf numFmtId="41" fontId="0" fillId="0" borderId="0" xfId="19" applyFont="1" applyFill="1" applyAlignment="1">
      <alignment horizontal="centerContinuous"/>
    </xf>
    <xf numFmtId="164" fontId="6" fillId="0" borderId="0" xfId="21" applyNumberFormat="1" applyFont="1" applyFill="1" applyAlignment="1" quotePrefix="1">
      <alignment horizontal="centerContinuous"/>
    </xf>
    <xf numFmtId="1" fontId="7" fillId="0" borderId="0" xfId="19" applyNumberFormat="1" applyFont="1" applyFill="1" applyAlignment="1" quotePrefix="1">
      <alignment horizontal="centerContinuous"/>
    </xf>
    <xf numFmtId="0" fontId="1" fillId="0" borderId="0" xfId="0" applyFont="1" applyAlignment="1">
      <alignment horizontal="left" vertical="center"/>
    </xf>
    <xf numFmtId="165" fontId="13" fillId="0" borderId="0" xfId="20" applyFont="1" applyAlignment="1">
      <alignment horizontal="center"/>
      <protection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Ut98 COS Study 5 Function" xfId="19"/>
    <cellStyle name="Normal_WRG Exhibits 1 &amp; 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tah\PacifiCorp%202001\WRG%20Exhibits%201%20&amp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2"/>
      <sheetName val="Table 3"/>
      <sheetName val="Table4"/>
      <sheetName val="Table 5"/>
      <sheetName val="Table A (1)"/>
      <sheetName val="WRG1 (2)"/>
      <sheetName val="WRG4"/>
      <sheetName val="Weather"/>
      <sheetName val="Input"/>
      <sheetName val="Booked"/>
      <sheetName val="Cont Data"/>
      <sheetName val="Table 7"/>
      <sheetName val="23F"/>
      <sheetName val="PTLD"/>
      <sheetName val="Sch13"/>
      <sheetName val="Table A Interim (1)"/>
      <sheetName val="RevReq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B1">
      <selection activeCell="F12" sqref="F12"/>
    </sheetView>
  </sheetViews>
  <sheetFormatPr defaultColWidth="9.140625" defaultRowHeight="12.75"/>
  <cols>
    <col min="1" max="1" width="29.8515625" style="0" customWidth="1"/>
    <col min="2" max="2" width="28.7109375" style="0" customWidth="1"/>
    <col min="3" max="3" width="12.8515625" style="0" customWidth="1"/>
    <col min="4" max="4" width="14.7109375" style="0" customWidth="1"/>
    <col min="5" max="5" width="12.140625" style="0" customWidth="1"/>
    <col min="6" max="6" width="9.00390625" style="0" customWidth="1"/>
    <col min="7" max="7" width="15.421875" style="0" customWidth="1"/>
  </cols>
  <sheetData>
    <row r="1" spans="1:7" ht="40.5" customHeight="1">
      <c r="A1" s="99" t="s">
        <v>0</v>
      </c>
      <c r="B1" s="99"/>
      <c r="C1" s="99"/>
      <c r="D1" s="99"/>
      <c r="E1" s="99"/>
      <c r="F1" s="99"/>
      <c r="G1" s="99"/>
    </row>
    <row r="2" spans="1:7" ht="15">
      <c r="A2" s="1"/>
      <c r="B2" s="1" t="s">
        <v>8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10</v>
      </c>
    </row>
    <row r="3" spans="1:7" ht="15">
      <c r="A3" s="1" t="s">
        <v>1</v>
      </c>
      <c r="B3" s="1">
        <v>0.049</v>
      </c>
      <c r="C3" s="1">
        <v>0.026</v>
      </c>
      <c r="D3" s="1">
        <v>0.008</v>
      </c>
      <c r="E3" s="1">
        <v>0.013</v>
      </c>
      <c r="F3" s="1">
        <v>0.002</v>
      </c>
      <c r="G3" s="1">
        <v>0</v>
      </c>
    </row>
    <row r="4" spans="1:7" ht="15">
      <c r="A4" s="1" t="s">
        <v>5</v>
      </c>
      <c r="B4" s="1">
        <v>0.05</v>
      </c>
      <c r="C4" s="1">
        <v>0.027</v>
      </c>
      <c r="D4" s="1">
        <v>0.006</v>
      </c>
      <c r="E4" s="1">
        <v>0.015</v>
      </c>
      <c r="F4" s="1">
        <v>0.002</v>
      </c>
      <c r="G4" s="1">
        <v>0</v>
      </c>
    </row>
    <row r="5" spans="1:7" ht="15">
      <c r="A5" s="1" t="s">
        <v>6</v>
      </c>
      <c r="B5" s="1">
        <v>0.051</v>
      </c>
      <c r="C5" s="1">
        <v>0.031</v>
      </c>
      <c r="D5" s="1">
        <v>0.004</v>
      </c>
      <c r="E5" s="1">
        <v>0.013</v>
      </c>
      <c r="F5" s="1">
        <v>0.002</v>
      </c>
      <c r="G5" s="1">
        <v>0.001</v>
      </c>
    </row>
    <row r="6" spans="1:7" ht="15">
      <c r="A6" s="1" t="s">
        <v>7</v>
      </c>
      <c r="B6" s="2">
        <f>(B5-B3)/B3</f>
        <v>0.04081632653061214</v>
      </c>
      <c r="C6" s="2">
        <f>(C5-C3)/C3</f>
        <v>0.19230769230769235</v>
      </c>
      <c r="D6" s="2">
        <f>(D5-D3)/D3</f>
        <v>-0.5</v>
      </c>
      <c r="E6" s="2">
        <f>(E5-E3)/E3</f>
        <v>0</v>
      </c>
      <c r="F6" s="2">
        <f>(F5-F3)/F3</f>
        <v>0</v>
      </c>
      <c r="G6" s="3" t="s">
        <v>11</v>
      </c>
    </row>
    <row r="7" spans="1:7" ht="15">
      <c r="A7" s="1" t="s">
        <v>12</v>
      </c>
      <c r="B7" s="1">
        <f aca="true" t="shared" si="0" ref="B7:G7">B5-B3</f>
        <v>0.001999999999999995</v>
      </c>
      <c r="C7" s="1">
        <f t="shared" si="0"/>
        <v>0.005000000000000001</v>
      </c>
      <c r="D7" s="1">
        <f t="shared" si="0"/>
        <v>-0.004</v>
      </c>
      <c r="E7" s="1">
        <f t="shared" si="0"/>
        <v>0</v>
      </c>
      <c r="F7" s="1">
        <f t="shared" si="0"/>
        <v>0</v>
      </c>
      <c r="G7" s="1">
        <f t="shared" si="0"/>
        <v>0.001</v>
      </c>
    </row>
    <row r="8" spans="1:7" ht="15">
      <c r="A8" s="1" t="s">
        <v>13</v>
      </c>
      <c r="B8" s="1"/>
      <c r="C8" s="4">
        <f>C7/$B$7</f>
        <v>2.500000000000007</v>
      </c>
      <c r="D8" s="4">
        <f>D7/$B$7</f>
        <v>-2.0000000000000053</v>
      </c>
      <c r="E8" s="4">
        <f>E7/$B$7</f>
        <v>0</v>
      </c>
      <c r="F8" s="4">
        <f>F7/$B$7</f>
        <v>0</v>
      </c>
      <c r="G8" s="4">
        <f>G7/$B$7</f>
        <v>0.5000000000000013</v>
      </c>
    </row>
    <row r="14" ht="12.75">
      <c r="G14" t="s">
        <v>188</v>
      </c>
    </row>
  </sheetData>
  <mergeCells count="1">
    <mergeCell ref="A1:G1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2"/>
  <dimension ref="A1:AL53"/>
  <sheetViews>
    <sheetView view="pageBreakPreview" zoomScale="70" zoomScaleNormal="75" zoomScaleSheetLayoutView="70" workbookViewId="0" topLeftCell="AC1">
      <selection activeCell="AK4" sqref="AK4"/>
    </sheetView>
  </sheetViews>
  <sheetFormatPr defaultColWidth="9.140625" defaultRowHeight="12.75"/>
  <cols>
    <col min="1" max="1" width="5.28125" style="5" customWidth="1"/>
    <col min="2" max="2" width="3.7109375" style="5" customWidth="1"/>
    <col min="3" max="3" width="26.00390625" style="5" customWidth="1"/>
    <col min="4" max="4" width="6.421875" style="5" customWidth="1"/>
    <col min="5" max="5" width="12.7109375" style="5" customWidth="1"/>
    <col min="6" max="6" width="14.421875" style="5" customWidth="1"/>
    <col min="7" max="7" width="4.28125" style="5" customWidth="1"/>
    <col min="8" max="8" width="12.8515625" style="5" customWidth="1"/>
    <col min="9" max="9" width="3.28125" style="5" customWidth="1"/>
    <col min="10" max="10" width="16.8515625" style="5" customWidth="1"/>
    <col min="11" max="11" width="3.421875" style="5" customWidth="1"/>
    <col min="12" max="12" width="14.140625" style="5" customWidth="1"/>
    <col min="13" max="13" width="3.421875" style="5" customWidth="1"/>
    <col min="14" max="14" width="14.57421875" style="5" customWidth="1"/>
    <col min="15" max="15" width="4.8515625" style="5" hidden="1" customWidth="1"/>
    <col min="16" max="16" width="12.57421875" style="5" hidden="1" customWidth="1"/>
    <col min="17" max="17" width="0.2890625" style="5" customWidth="1"/>
    <col min="18" max="18" width="12.57421875" style="5" customWidth="1"/>
    <col min="19" max="19" width="2.57421875" style="5" customWidth="1"/>
    <col min="20" max="20" width="11.140625" style="5" customWidth="1"/>
    <col min="21" max="21" width="4.8515625" style="5" customWidth="1"/>
    <col min="22" max="22" width="15.7109375" style="6" customWidth="1"/>
    <col min="23" max="23" width="27.140625" style="5" customWidth="1"/>
    <col min="24" max="24" width="7.7109375" style="5" customWidth="1"/>
    <col min="25" max="25" width="5.28125" style="5" customWidth="1"/>
    <col min="26" max="26" width="47.7109375" style="5" customWidth="1"/>
    <col min="27" max="27" width="0.2890625" style="5" hidden="1" customWidth="1"/>
    <col min="28" max="28" width="17.140625" style="5" hidden="1" customWidth="1"/>
    <col min="29" max="29" width="14.28125" style="5" customWidth="1"/>
    <col min="30" max="30" width="5.00390625" style="5" customWidth="1"/>
    <col min="31" max="31" width="12.57421875" style="5" customWidth="1"/>
    <col min="32" max="32" width="9.7109375" style="5" customWidth="1"/>
    <col min="33" max="33" width="11.421875" style="5" bestFit="1" customWidth="1"/>
    <col min="34" max="34" width="5.28125" style="5" customWidth="1"/>
    <col min="35" max="35" width="12.57421875" style="5" customWidth="1"/>
    <col min="36" max="36" width="11.8515625" style="5" customWidth="1"/>
    <col min="37" max="16384" width="10.28125" style="5" customWidth="1"/>
  </cols>
  <sheetData>
    <row r="1" spans="1:38" ht="15.75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38" ht="15.75">
      <c r="A2" s="47" t="s">
        <v>183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48"/>
      <c r="P2" s="48"/>
      <c r="Q2" s="48"/>
      <c r="R2" s="48"/>
      <c r="S2" s="48"/>
      <c r="T2" s="48"/>
      <c r="U2" s="48"/>
      <c r="V2" s="49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38" ht="15.75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8"/>
      <c r="P3" s="48"/>
      <c r="Q3" s="48"/>
      <c r="R3" s="48"/>
      <c r="S3" s="48"/>
      <c r="T3" s="48"/>
      <c r="U3" s="48"/>
      <c r="V3" s="49"/>
      <c r="W3" s="5" t="s">
        <v>187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 t="s">
        <v>187</v>
      </c>
      <c r="AL3" s="46"/>
    </row>
    <row r="4" spans="1:38" ht="15.75">
      <c r="A4" s="46"/>
      <c r="B4" s="46"/>
      <c r="C4" s="46"/>
      <c r="D4" s="46"/>
      <c r="E4" s="50"/>
      <c r="F4" s="50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1"/>
      <c r="W4" s="5" t="s">
        <v>192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 t="s">
        <v>193</v>
      </c>
      <c r="AL4" s="46"/>
    </row>
    <row r="5" spans="1:38" ht="15.75">
      <c r="A5" s="46"/>
      <c r="B5" s="46"/>
      <c r="C5" s="46"/>
      <c r="D5" s="46"/>
      <c r="E5" s="50" t="s">
        <v>184</v>
      </c>
      <c r="F5" s="50" t="s">
        <v>185</v>
      </c>
      <c r="G5" s="46"/>
      <c r="H5" s="50" t="s">
        <v>17</v>
      </c>
      <c r="I5" s="46"/>
      <c r="J5" s="50" t="s">
        <v>18</v>
      </c>
      <c r="K5" s="46"/>
      <c r="L5" s="52" t="s">
        <v>19</v>
      </c>
      <c r="M5" s="53"/>
      <c r="N5" s="53"/>
      <c r="O5" s="53"/>
      <c r="P5" s="53"/>
      <c r="Q5" s="46"/>
      <c r="R5" s="52" t="s">
        <v>174</v>
      </c>
      <c r="S5" s="46"/>
      <c r="T5" s="53"/>
      <c r="U5" s="53"/>
      <c r="V5" s="53"/>
      <c r="W5" s="46"/>
      <c r="X5" s="46"/>
      <c r="Y5" s="46"/>
      <c r="Z5" s="46"/>
      <c r="AA5" s="46"/>
      <c r="AB5" s="46"/>
      <c r="AC5" s="100" t="s">
        <v>78</v>
      </c>
      <c r="AD5" s="100"/>
      <c r="AE5" s="100"/>
      <c r="AF5" s="45"/>
      <c r="AG5" s="100" t="s">
        <v>79</v>
      </c>
      <c r="AH5" s="101"/>
      <c r="AI5" s="101"/>
      <c r="AJ5" s="46"/>
      <c r="AK5" s="46"/>
      <c r="AL5" s="46"/>
    </row>
    <row r="6" spans="1:38" ht="15.75">
      <c r="A6" s="46" t="s">
        <v>20</v>
      </c>
      <c r="B6" s="46"/>
      <c r="C6" s="46"/>
      <c r="D6" s="46"/>
      <c r="E6" s="50" t="s">
        <v>21</v>
      </c>
      <c r="F6" s="50" t="s">
        <v>21</v>
      </c>
      <c r="G6" s="46"/>
      <c r="H6" s="50" t="s">
        <v>22</v>
      </c>
      <c r="I6" s="46"/>
      <c r="J6" s="54" t="s">
        <v>176</v>
      </c>
      <c r="K6" s="46"/>
      <c r="L6" s="50" t="s">
        <v>16</v>
      </c>
      <c r="M6" s="46"/>
      <c r="N6" s="50" t="s">
        <v>77</v>
      </c>
      <c r="O6" s="46"/>
      <c r="P6" s="46"/>
      <c r="Q6" s="46"/>
      <c r="R6" s="50"/>
      <c r="S6" s="46"/>
      <c r="T6" s="46"/>
      <c r="U6" s="46"/>
      <c r="V6" s="55" t="s">
        <v>23</v>
      </c>
      <c r="W6" s="46"/>
      <c r="X6" s="46"/>
      <c r="Y6" s="46" t="s">
        <v>20</v>
      </c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5.75">
      <c r="A7" s="46" t="s">
        <v>24</v>
      </c>
      <c r="B7" s="46"/>
      <c r="C7" s="50" t="s">
        <v>25</v>
      </c>
      <c r="D7" s="46"/>
      <c r="E7" s="50" t="s">
        <v>26</v>
      </c>
      <c r="F7" s="50" t="s">
        <v>26</v>
      </c>
      <c r="G7" s="46"/>
      <c r="H7" s="50" t="s">
        <v>27</v>
      </c>
      <c r="I7" s="46"/>
      <c r="J7" s="56" t="s">
        <v>28</v>
      </c>
      <c r="K7" s="46"/>
      <c r="L7" s="50" t="s">
        <v>180</v>
      </c>
      <c r="M7" s="50"/>
      <c r="N7" s="50" t="s">
        <v>180</v>
      </c>
      <c r="O7" s="50"/>
      <c r="P7" s="50" t="s">
        <v>23</v>
      </c>
      <c r="Q7" s="46"/>
      <c r="R7" s="50" t="s">
        <v>29</v>
      </c>
      <c r="S7" s="46"/>
      <c r="T7" s="50" t="s">
        <v>30</v>
      </c>
      <c r="U7" s="50"/>
      <c r="V7" s="55" t="s">
        <v>31</v>
      </c>
      <c r="W7" s="46"/>
      <c r="X7" s="46"/>
      <c r="Y7" s="46" t="s">
        <v>24</v>
      </c>
      <c r="Z7" s="50" t="s">
        <v>25</v>
      </c>
      <c r="AA7" s="46"/>
      <c r="AB7" s="46"/>
      <c r="AC7" s="50" t="s">
        <v>29</v>
      </c>
      <c r="AD7" s="46"/>
      <c r="AE7" s="50" t="s">
        <v>30</v>
      </c>
      <c r="AF7" s="50"/>
      <c r="AG7" s="55" t="s">
        <v>29</v>
      </c>
      <c r="AH7" s="46"/>
      <c r="AI7" s="46" t="s">
        <v>30</v>
      </c>
      <c r="AJ7" s="46" t="s">
        <v>80</v>
      </c>
      <c r="AK7" s="46" t="s">
        <v>81</v>
      </c>
      <c r="AL7" s="46" t="s">
        <v>80</v>
      </c>
    </row>
    <row r="8" spans="1:38" ht="15.75">
      <c r="A8" s="46"/>
      <c r="B8" s="46"/>
      <c r="C8" s="57">
        <v>-1</v>
      </c>
      <c r="D8" s="46"/>
      <c r="E8" s="57">
        <f>MIN($A8:D8)-1</f>
        <v>-2</v>
      </c>
      <c r="F8" s="57">
        <f>MIN($A8:E8)-1</f>
        <v>-3</v>
      </c>
      <c r="G8" s="46"/>
      <c r="H8" s="57">
        <f>MIN($A8:G8)-1</f>
        <v>-4</v>
      </c>
      <c r="I8" s="46"/>
      <c r="J8" s="57">
        <f>MIN($A8:I8)-1</f>
        <v>-5</v>
      </c>
      <c r="K8" s="46"/>
      <c r="L8" s="57">
        <f>MIN($A8:K8)-1</f>
        <v>-6</v>
      </c>
      <c r="M8" s="46"/>
      <c r="N8" s="57">
        <f>MIN($A8:M8)-1</f>
        <v>-7</v>
      </c>
      <c r="O8" s="56"/>
      <c r="P8" s="50" t="s">
        <v>31</v>
      </c>
      <c r="Q8" s="46"/>
      <c r="R8" s="57">
        <f>MIN($A8:Q8)-1</f>
        <v>-8</v>
      </c>
      <c r="S8" s="46"/>
      <c r="T8" s="57">
        <f>MIN($A8:S8)-1</f>
        <v>-9</v>
      </c>
      <c r="U8" s="56"/>
      <c r="V8" s="57">
        <f>MIN($A8:U8)-1</f>
        <v>-10</v>
      </c>
      <c r="W8" s="46"/>
      <c r="X8" s="46"/>
      <c r="Y8" s="46"/>
      <c r="Z8" s="57">
        <v>-1</v>
      </c>
      <c r="AA8" s="46"/>
      <c r="AB8" s="46"/>
      <c r="AC8" s="46"/>
      <c r="AD8" s="46"/>
      <c r="AE8" s="46"/>
      <c r="AF8" s="46"/>
      <c r="AG8" s="46"/>
      <c r="AH8" s="46"/>
      <c r="AI8" s="46"/>
      <c r="AJ8" s="46" t="s">
        <v>30</v>
      </c>
      <c r="AK8" s="46"/>
      <c r="AL8" s="46" t="s">
        <v>82</v>
      </c>
    </row>
    <row r="9" spans="1:38" ht="15.75">
      <c r="A9" s="46"/>
      <c r="B9" s="46"/>
      <c r="C9" s="58" t="s">
        <v>32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51"/>
      <c r="W9" s="46"/>
      <c r="X9" s="46"/>
      <c r="Y9" s="46"/>
      <c r="Z9" s="58" t="s">
        <v>32</v>
      </c>
      <c r="AA9" s="46"/>
      <c r="AB9" s="46"/>
      <c r="AC9" s="46"/>
      <c r="AD9" s="46"/>
      <c r="AE9" s="46"/>
      <c r="AF9" s="46"/>
      <c r="AG9" s="46"/>
      <c r="AH9" s="59"/>
      <c r="AI9" s="46"/>
      <c r="AJ9" s="46"/>
      <c r="AK9" s="46"/>
      <c r="AL9" s="46"/>
    </row>
    <row r="10" spans="1:38" ht="15.75">
      <c r="A10" s="46">
        <v>1</v>
      </c>
      <c r="B10" s="46"/>
      <c r="C10" s="46" t="s">
        <v>32</v>
      </c>
      <c r="D10" s="46"/>
      <c r="E10" s="60" t="s">
        <v>33</v>
      </c>
      <c r="F10" s="60" t="s">
        <v>33</v>
      </c>
      <c r="G10" s="46"/>
      <c r="H10" s="61">
        <v>581639.1666666666</v>
      </c>
      <c r="I10" s="46"/>
      <c r="J10" s="61">
        <v>4922210.0258733835</v>
      </c>
      <c r="K10" s="46"/>
      <c r="L10" s="59">
        <v>309817.3934593052</v>
      </c>
      <c r="M10" s="46"/>
      <c r="N10" s="59">
        <v>365443.6664593052</v>
      </c>
      <c r="O10" s="62"/>
      <c r="P10" s="63">
        <f>(N10/$J10)*100</f>
        <v>7.424381823172242</v>
      </c>
      <c r="Q10" s="46"/>
      <c r="R10" s="59">
        <f>N10-L10</f>
        <v>55626.27299999999</v>
      </c>
      <c r="S10" s="46"/>
      <c r="T10" s="64">
        <f>R10/L10</f>
        <v>0.17954535211499204</v>
      </c>
      <c r="U10" s="62"/>
      <c r="V10" s="65">
        <f>(R10/$J10)*100</f>
        <v>1.1301076692705696</v>
      </c>
      <c r="W10" s="46"/>
      <c r="X10" s="46"/>
      <c r="Y10" s="46">
        <v>1</v>
      </c>
      <c r="Z10" s="46" t="s">
        <v>32</v>
      </c>
      <c r="AA10" s="46"/>
      <c r="AB10" s="46"/>
      <c r="AC10" s="66">
        <f>$R$50*(J10/$J$50)</f>
        <v>44985.00911557484</v>
      </c>
      <c r="AD10" s="46"/>
      <c r="AE10" s="67">
        <f>AC10/L10</f>
        <v>0.14519846227253105</v>
      </c>
      <c r="AF10" s="46"/>
      <c r="AG10" s="59">
        <f>(AC10+R10)/2</f>
        <v>50305.64105778741</v>
      </c>
      <c r="AH10" s="59"/>
      <c r="AI10" s="67">
        <f>AG10/L10</f>
        <v>0.16237190719376154</v>
      </c>
      <c r="AJ10" s="67">
        <f>AI10/$AI$49</f>
        <v>0.9044056820682178</v>
      </c>
      <c r="AK10" s="46">
        <f>AG10/J10</f>
        <v>0.010220132987694143</v>
      </c>
      <c r="AL10" s="67">
        <f>AK10/$AK$49</f>
        <v>1.2233904865874492</v>
      </c>
    </row>
    <row r="11" spans="1:38" ht="15.75">
      <c r="A11" s="46">
        <f>MAX(A$9:A10)+1</f>
        <v>2</v>
      </c>
      <c r="B11" s="46"/>
      <c r="C11" s="46" t="s">
        <v>34</v>
      </c>
      <c r="D11" s="46"/>
      <c r="E11" s="46">
        <v>2</v>
      </c>
      <c r="F11" s="46">
        <v>2</v>
      </c>
      <c r="G11" s="46"/>
      <c r="H11" s="61">
        <v>7.166666666666667</v>
      </c>
      <c r="I11" s="46"/>
      <c r="J11" s="61">
        <v>88.97060827699464</v>
      </c>
      <c r="K11" s="46"/>
      <c r="L11" s="59">
        <v>6.8628720173934745</v>
      </c>
      <c r="M11" s="46"/>
      <c r="N11" s="59">
        <v>8.095872017393475</v>
      </c>
      <c r="O11" s="62"/>
      <c r="P11" s="63">
        <f>(N11/$J11)*100</f>
        <v>9.099490465647234</v>
      </c>
      <c r="Q11" s="46"/>
      <c r="R11" s="59">
        <f>N11-L11</f>
        <v>1.2330000000000005</v>
      </c>
      <c r="S11" s="46"/>
      <c r="T11" s="64">
        <f>R11/L11</f>
        <v>0.1796623916160825</v>
      </c>
      <c r="U11" s="62"/>
      <c r="V11" s="65">
        <f>(R11/$J11)*100</f>
        <v>1.3858509274897477</v>
      </c>
      <c r="W11" s="46"/>
      <c r="X11" s="46"/>
      <c r="Y11" s="46">
        <f>MAX(Y$9:Y10)+1</f>
        <v>2</v>
      </c>
      <c r="Z11" s="46" t="s">
        <v>34</v>
      </c>
      <c r="AA11" s="46"/>
      <c r="AB11" s="46"/>
      <c r="AC11" s="66">
        <f>$R$50*(J11/$J$50)</f>
        <v>0.8131192296388606</v>
      </c>
      <c r="AD11" s="46"/>
      <c r="AE11" s="67">
        <f aca="true" t="shared" si="0" ref="AE11:AE49">AC11/L11</f>
        <v>0.1184808965660537</v>
      </c>
      <c r="AF11" s="46"/>
      <c r="AG11" s="59">
        <f aca="true" t="shared" si="1" ref="AG11:AG49">(AC11+R11)/2</f>
        <v>1.0230596148194306</v>
      </c>
      <c r="AH11" s="59"/>
      <c r="AI11" s="67">
        <f aca="true" t="shared" si="2" ref="AI11:AI49">AG11/L11</f>
        <v>0.1490716440910681</v>
      </c>
      <c r="AJ11" s="67">
        <f>AI11/$AI$49</f>
        <v>0.8303236950362863</v>
      </c>
      <c r="AK11" s="46">
        <f aca="true" t="shared" si="3" ref="AK11:AK49">AG11/J11</f>
        <v>0.011498849278790036</v>
      </c>
      <c r="AL11" s="67">
        <f>AK11/$AK$49</f>
        <v>1.3764579023886652</v>
      </c>
    </row>
    <row r="12" spans="1:38" ht="15.75">
      <c r="A12" s="46">
        <f>MAX(A$9:A11)+1</f>
        <v>3</v>
      </c>
      <c r="B12" s="46"/>
      <c r="C12" s="46" t="s">
        <v>35</v>
      </c>
      <c r="D12" s="46"/>
      <c r="E12" s="46">
        <v>25</v>
      </c>
      <c r="F12" s="46">
        <v>25</v>
      </c>
      <c r="G12" s="46"/>
      <c r="H12" s="61">
        <v>42.5</v>
      </c>
      <c r="I12" s="46"/>
      <c r="J12" s="61">
        <v>11558.153518339604</v>
      </c>
      <c r="K12" s="46"/>
      <c r="L12" s="59">
        <v>589.7636686773704</v>
      </c>
      <c r="M12" s="46"/>
      <c r="N12" s="59">
        <v>695.6506686773704</v>
      </c>
      <c r="O12" s="62"/>
      <c r="P12" s="63">
        <f>(N12/$J12)*100</f>
        <v>6.018700716974943</v>
      </c>
      <c r="Q12" s="46"/>
      <c r="R12" s="59">
        <f>N12-L12</f>
        <v>105.88699999999994</v>
      </c>
      <c r="S12" s="46"/>
      <c r="T12" s="64">
        <f>R12/L12</f>
        <v>0.17954140891294088</v>
      </c>
      <c r="U12" s="62"/>
      <c r="V12" s="65">
        <f>(R12/$J12)*100</f>
        <v>0.9161238413383803</v>
      </c>
      <c r="W12" s="46"/>
      <c r="X12" s="46"/>
      <c r="Y12" s="46">
        <f>MAX(Y$9:Y11)+1</f>
        <v>3</v>
      </c>
      <c r="Z12" s="46" t="s">
        <v>35</v>
      </c>
      <c r="AA12" s="46"/>
      <c r="AB12" s="46"/>
      <c r="AC12" s="66">
        <f>$R$50*(J12/$J$50)</f>
        <v>105.63215276240943</v>
      </c>
      <c r="AD12" s="46"/>
      <c r="AE12" s="67">
        <f t="shared" si="0"/>
        <v>0.17910929135276282</v>
      </c>
      <c r="AF12" s="46"/>
      <c r="AG12" s="59">
        <f t="shared" si="1"/>
        <v>105.75957638120468</v>
      </c>
      <c r="AH12" s="59"/>
      <c r="AI12" s="67">
        <f t="shared" si="2"/>
        <v>0.17932535013285184</v>
      </c>
      <c r="AJ12" s="67">
        <f>AI12/$AI$49</f>
        <v>0.998835749373122</v>
      </c>
      <c r="AK12" s="46">
        <f t="shared" si="3"/>
        <v>0.009150213848033198</v>
      </c>
      <c r="AL12" s="67">
        <f>AK12/$AK$49</f>
        <v>1.0953169186157719</v>
      </c>
    </row>
    <row r="13" spans="1:38" ht="15.75">
      <c r="A13" s="46">
        <f>MAX(A$9:A12)+1</f>
        <v>4</v>
      </c>
      <c r="B13" s="46"/>
      <c r="C13" s="46" t="s">
        <v>36</v>
      </c>
      <c r="D13" s="46"/>
      <c r="E13" s="68" t="s">
        <v>37</v>
      </c>
      <c r="F13" s="68" t="s">
        <v>37</v>
      </c>
      <c r="G13" s="46"/>
      <c r="H13" s="68" t="s">
        <v>37</v>
      </c>
      <c r="I13" s="46"/>
      <c r="J13" s="68" t="s">
        <v>37</v>
      </c>
      <c r="K13" s="46"/>
      <c r="L13" s="69">
        <v>74.96913999999967</v>
      </c>
      <c r="M13" s="46"/>
      <c r="N13" s="69">
        <v>74.96913999999967</v>
      </c>
      <c r="O13" s="70"/>
      <c r="P13" s="63">
        <v>0</v>
      </c>
      <c r="Q13" s="46"/>
      <c r="R13" s="69">
        <f>N13-L13</f>
        <v>0</v>
      </c>
      <c r="S13" s="46"/>
      <c r="T13" s="71">
        <f>R13/L13</f>
        <v>0</v>
      </c>
      <c r="U13" s="70"/>
      <c r="V13" s="72">
        <v>0</v>
      </c>
      <c r="W13" s="46"/>
      <c r="X13" s="46"/>
      <c r="Y13" s="46">
        <f>MAX(Y$9:Y12)+1</f>
        <v>4</v>
      </c>
      <c r="Z13" s="46" t="s">
        <v>36</v>
      </c>
      <c r="AA13" s="46"/>
      <c r="AB13" s="46"/>
      <c r="AC13" s="66"/>
      <c r="AD13" s="46"/>
      <c r="AE13" s="67"/>
      <c r="AF13" s="46"/>
      <c r="AG13" s="59"/>
      <c r="AH13" s="59"/>
      <c r="AI13" s="67"/>
      <c r="AJ13" s="67"/>
      <c r="AK13" s="46"/>
      <c r="AL13" s="67"/>
    </row>
    <row r="14" spans="1:38" ht="15.75">
      <c r="A14" s="46">
        <f>MAX(A$9:A13)+1</f>
        <v>5</v>
      </c>
      <c r="B14" s="46"/>
      <c r="C14" s="58" t="s">
        <v>38</v>
      </c>
      <c r="D14" s="46"/>
      <c r="E14" s="46"/>
      <c r="F14" s="46"/>
      <c r="G14" s="46"/>
      <c r="H14" s="61">
        <f>SUM(H10:H13)</f>
        <v>581688.8333333333</v>
      </c>
      <c r="I14" s="46"/>
      <c r="J14" s="61">
        <f>SUM(J10:J13)</f>
        <v>4933857.15</v>
      </c>
      <c r="K14" s="46"/>
      <c r="L14" s="59">
        <f>SUM(L10:L13)</f>
        <v>310488.98913999996</v>
      </c>
      <c r="M14" s="46"/>
      <c r="N14" s="59">
        <f>SUM(N10:N13)</f>
        <v>366222.38213999994</v>
      </c>
      <c r="O14" s="62"/>
      <c r="P14" s="63">
        <f>(N14/$J14)*100</f>
        <v>7.422638536261633</v>
      </c>
      <c r="Q14" s="46"/>
      <c r="R14" s="59">
        <f>SUM(R10:R13)</f>
        <v>55733.39299999999</v>
      </c>
      <c r="S14" s="46"/>
      <c r="T14" s="64">
        <f>R14/L14</f>
        <v>0.17950199507677136</v>
      </c>
      <c r="U14" s="62"/>
      <c r="V14" s="65">
        <f>(R14/$J14)*100</f>
        <v>1.129610998161955</v>
      </c>
      <c r="W14" s="46"/>
      <c r="X14" s="46"/>
      <c r="Y14" s="46">
        <f>MAX(Y$9:Y13)+1</f>
        <v>5</v>
      </c>
      <c r="Z14" s="58" t="s">
        <v>38</v>
      </c>
      <c r="AA14" s="46"/>
      <c r="AB14" s="46"/>
      <c r="AC14" s="66">
        <f>$R$50*(J14/$J$50)</f>
        <v>45091.4543875669</v>
      </c>
      <c r="AD14" s="46"/>
      <c r="AE14" s="67">
        <f t="shared" si="0"/>
        <v>0.14522722532757865</v>
      </c>
      <c r="AF14" s="46"/>
      <c r="AG14" s="59">
        <f t="shared" si="1"/>
        <v>50412.42369378344</v>
      </c>
      <c r="AH14" s="59"/>
      <c r="AI14" s="67">
        <f t="shared" si="2"/>
        <v>0.16236461020217502</v>
      </c>
      <c r="AJ14" s="67">
        <f>AI14/$AI$49</f>
        <v>0.9043650380875754</v>
      </c>
      <c r="AK14" s="46">
        <f t="shared" si="3"/>
        <v>0.010217649632151073</v>
      </c>
      <c r="AL14" s="67">
        <f>AK14/$AK$49</f>
        <v>1.2230932190714723</v>
      </c>
    </row>
    <row r="15" spans="1:38" ht="15.75">
      <c r="A15" s="46"/>
      <c r="B15" s="46"/>
      <c r="C15" s="46"/>
      <c r="D15" s="46"/>
      <c r="E15" s="46"/>
      <c r="F15" s="46"/>
      <c r="G15" s="46"/>
      <c r="H15" s="61"/>
      <c r="I15" s="46"/>
      <c r="J15" s="61"/>
      <c r="K15" s="46"/>
      <c r="L15" s="59"/>
      <c r="M15" s="46"/>
      <c r="N15" s="59"/>
      <c r="O15" s="62"/>
      <c r="P15" s="62"/>
      <c r="Q15" s="46"/>
      <c r="R15" s="59"/>
      <c r="S15" s="46"/>
      <c r="T15" s="64"/>
      <c r="U15" s="62"/>
      <c r="V15" s="65"/>
      <c r="W15" s="46"/>
      <c r="X15" s="46"/>
      <c r="Y15" s="46"/>
      <c r="Z15" s="46"/>
      <c r="AA15" s="46"/>
      <c r="AB15" s="46"/>
      <c r="AC15" s="66"/>
      <c r="AD15" s="46"/>
      <c r="AE15" s="67"/>
      <c r="AF15" s="46"/>
      <c r="AG15" s="59"/>
      <c r="AH15" s="59"/>
      <c r="AI15" s="67"/>
      <c r="AJ15" s="67"/>
      <c r="AK15" s="46"/>
      <c r="AL15" s="67"/>
    </row>
    <row r="16" spans="1:38" ht="15.75">
      <c r="A16" s="46"/>
      <c r="B16" s="46"/>
      <c r="C16" s="58" t="s">
        <v>39</v>
      </c>
      <c r="D16" s="46"/>
      <c r="E16" s="46"/>
      <c r="F16" s="46"/>
      <c r="G16" s="46"/>
      <c r="H16" s="61"/>
      <c r="I16" s="46"/>
      <c r="J16" s="61"/>
      <c r="K16" s="46"/>
      <c r="L16" s="59"/>
      <c r="M16" s="46"/>
      <c r="N16" s="59"/>
      <c r="O16" s="62"/>
      <c r="P16" s="62"/>
      <c r="Q16" s="46"/>
      <c r="R16" s="59"/>
      <c r="S16" s="46"/>
      <c r="T16" s="64"/>
      <c r="U16" s="62"/>
      <c r="V16" s="65"/>
      <c r="W16" s="46"/>
      <c r="X16" s="46"/>
      <c r="Y16" s="46"/>
      <c r="Z16" s="58" t="s">
        <v>39</v>
      </c>
      <c r="AA16" s="46"/>
      <c r="AB16" s="46"/>
      <c r="AC16" s="66"/>
      <c r="AD16" s="46"/>
      <c r="AE16" s="67"/>
      <c r="AF16" s="46"/>
      <c r="AG16" s="59"/>
      <c r="AH16" s="59"/>
      <c r="AI16" s="67"/>
      <c r="AJ16" s="67"/>
      <c r="AK16" s="46"/>
      <c r="AL16" s="67"/>
    </row>
    <row r="17" spans="1:38" ht="15.75">
      <c r="A17" s="46">
        <f>MAX(A$9:A16)+1</f>
        <v>6</v>
      </c>
      <c r="B17" s="46"/>
      <c r="C17" s="46" t="s">
        <v>40</v>
      </c>
      <c r="D17" s="46"/>
      <c r="E17" s="60" t="s">
        <v>41</v>
      </c>
      <c r="F17" s="46">
        <v>6</v>
      </c>
      <c r="G17" s="46"/>
      <c r="H17" s="61">
        <v>10751.166666666666</v>
      </c>
      <c r="I17" s="46"/>
      <c r="J17" s="61">
        <v>6345709.303450659</v>
      </c>
      <c r="K17" s="46"/>
      <c r="L17" s="59">
        <v>301634.5221367203</v>
      </c>
      <c r="M17" s="46"/>
      <c r="N17" s="59">
        <v>355790.4741367203</v>
      </c>
      <c r="O17" s="62"/>
      <c r="P17" s="63">
        <f>(N17/$J17)*100</f>
        <v>5.606788100791966</v>
      </c>
      <c r="Q17" s="46"/>
      <c r="R17" s="59">
        <f aca="true" t="shared" si="4" ref="R17:R22">N17-L17</f>
        <v>54155.95199999999</v>
      </c>
      <c r="S17" s="46"/>
      <c r="T17" s="64">
        <f aca="true" t="shared" si="5" ref="T17:T22">R17/L17</f>
        <v>0.17954162413628838</v>
      </c>
      <c r="U17" s="62"/>
      <c r="V17" s="65">
        <f aca="true" t="shared" si="6" ref="V17:V22">(R17/$J17)*100</f>
        <v>0.8534262981531657</v>
      </c>
      <c r="W17" s="46"/>
      <c r="X17" s="46"/>
      <c r="Y17" s="46">
        <f>MAX(Y$9:Y16)+1</f>
        <v>6</v>
      </c>
      <c r="Z17" s="46" t="s">
        <v>40</v>
      </c>
      <c r="AA17" s="46"/>
      <c r="AB17" s="46"/>
      <c r="AC17" s="66">
        <f aca="true" t="shared" si="7" ref="AC17:AC28">$R$50*(J17/$J$50)</f>
        <v>57994.63845711549</v>
      </c>
      <c r="AD17" s="46"/>
      <c r="AE17" s="67">
        <f t="shared" si="0"/>
        <v>0.19226790768607238</v>
      </c>
      <c r="AF17" s="46"/>
      <c r="AG17" s="59">
        <f t="shared" si="1"/>
        <v>56075.29522855774</v>
      </c>
      <c r="AH17" s="59"/>
      <c r="AI17" s="67">
        <f t="shared" si="2"/>
        <v>0.18590476591118038</v>
      </c>
      <c r="AJ17" s="67">
        <f aca="true" t="shared" si="8" ref="AJ17:AJ22">AI17/$AI$49</f>
        <v>1.0354828585772335</v>
      </c>
      <c r="AK17" s="46">
        <f t="shared" si="3"/>
        <v>0.008836726132107125</v>
      </c>
      <c r="AL17" s="67">
        <f aca="true" t="shared" si="9" ref="AL17:AL22">AK17/$AK$49</f>
        <v>1.057791194656233</v>
      </c>
    </row>
    <row r="18" spans="1:38" ht="15.75">
      <c r="A18" s="46">
        <f>MAX(A$9:A17)+1</f>
        <v>7</v>
      </c>
      <c r="B18" s="46"/>
      <c r="C18" s="46" t="s">
        <v>42</v>
      </c>
      <c r="D18" s="46"/>
      <c r="E18" s="73" t="s">
        <v>43</v>
      </c>
      <c r="F18" s="73" t="s">
        <v>43</v>
      </c>
      <c r="G18" s="46"/>
      <c r="H18" s="61">
        <v>1296.6666666666667</v>
      </c>
      <c r="I18" s="46"/>
      <c r="J18" s="61">
        <v>148907.22106335982</v>
      </c>
      <c r="K18" s="46"/>
      <c r="L18" s="59">
        <v>9778.41681958191</v>
      </c>
      <c r="M18" s="46"/>
      <c r="N18" s="59">
        <v>11534.04481958191</v>
      </c>
      <c r="O18" s="62"/>
      <c r="P18" s="63">
        <f>(N18/$J18)*100</f>
        <v>7.745792807908349</v>
      </c>
      <c r="Q18" s="46"/>
      <c r="R18" s="59">
        <f t="shared" si="4"/>
        <v>1755.6280000000006</v>
      </c>
      <c r="S18" s="46"/>
      <c r="T18" s="64">
        <f t="shared" si="5"/>
        <v>0.17954112944789208</v>
      </c>
      <c r="U18" s="62"/>
      <c r="V18" s="65">
        <f t="shared" si="6"/>
        <v>1.1790079671508902</v>
      </c>
      <c r="W18" s="46"/>
      <c r="X18" s="46"/>
      <c r="Y18" s="46">
        <f>MAX(Y$9:Y17)+1</f>
        <v>7</v>
      </c>
      <c r="Z18" s="46" t="s">
        <v>42</v>
      </c>
      <c r="AA18" s="46"/>
      <c r="AB18" s="46"/>
      <c r="AC18" s="66">
        <f t="shared" si="7"/>
        <v>1360.8912788563057</v>
      </c>
      <c r="AD18" s="46"/>
      <c r="AE18" s="67">
        <f t="shared" si="0"/>
        <v>0.13917296674560173</v>
      </c>
      <c r="AF18" s="46"/>
      <c r="AG18" s="59">
        <f t="shared" si="1"/>
        <v>1558.2596394281532</v>
      </c>
      <c r="AH18" s="59"/>
      <c r="AI18" s="67">
        <f t="shared" si="2"/>
        <v>0.1593570480967469</v>
      </c>
      <c r="AJ18" s="67">
        <f t="shared" si="8"/>
        <v>0.8876130253513059</v>
      </c>
      <c r="AK18" s="46">
        <f t="shared" si="3"/>
        <v>0.010464634477095747</v>
      </c>
      <c r="AL18" s="67">
        <f t="shared" si="9"/>
        <v>1.2526582853969705</v>
      </c>
    </row>
    <row r="19" spans="1:38" ht="15.75">
      <c r="A19" s="46">
        <f>MAX(A$9:A18)+1</f>
        <v>8</v>
      </c>
      <c r="B19" s="46"/>
      <c r="C19" s="58" t="s">
        <v>44</v>
      </c>
      <c r="D19" s="46"/>
      <c r="E19" s="46"/>
      <c r="F19" s="46"/>
      <c r="G19" s="46"/>
      <c r="H19" s="61">
        <f>SUM(H17:H18)</f>
        <v>12047.833333333332</v>
      </c>
      <c r="I19" s="46"/>
      <c r="J19" s="61">
        <f>SUM(J17:J18)</f>
        <v>6494616.524514019</v>
      </c>
      <c r="K19" s="46"/>
      <c r="L19" s="59">
        <f>SUM(L17:L18)</f>
        <v>311412.93895630224</v>
      </c>
      <c r="M19" s="46"/>
      <c r="N19" s="59">
        <f>SUM(N17:N18)</f>
        <v>367324.5189563022</v>
      </c>
      <c r="O19" s="62"/>
      <c r="P19" s="63"/>
      <c r="Q19" s="46"/>
      <c r="R19" s="59">
        <f t="shared" si="4"/>
        <v>55911.57999999996</v>
      </c>
      <c r="S19" s="46"/>
      <c r="T19" s="64">
        <f t="shared" si="5"/>
        <v>0.17954160860299231</v>
      </c>
      <c r="U19" s="62"/>
      <c r="V19" s="65">
        <f t="shared" si="6"/>
        <v>0.8608911671529942</v>
      </c>
      <c r="W19" s="46"/>
      <c r="X19" s="46"/>
      <c r="Y19" s="46">
        <f>MAX(Y$9:Y18)+1</f>
        <v>8</v>
      </c>
      <c r="Z19" s="58" t="s">
        <v>44</v>
      </c>
      <c r="AA19" s="46"/>
      <c r="AB19" s="46"/>
      <c r="AC19" s="66">
        <f t="shared" si="7"/>
        <v>59355.5297359718</v>
      </c>
      <c r="AD19" s="46"/>
      <c r="AE19" s="67">
        <f t="shared" si="0"/>
        <v>0.19060071792424985</v>
      </c>
      <c r="AF19" s="46"/>
      <c r="AG19" s="59">
        <f t="shared" si="1"/>
        <v>57633.55486798588</v>
      </c>
      <c r="AH19" s="59"/>
      <c r="AI19" s="67">
        <f t="shared" si="2"/>
        <v>0.18507116326362108</v>
      </c>
      <c r="AJ19" s="67">
        <f t="shared" si="8"/>
        <v>1.0308397218174978</v>
      </c>
      <c r="AK19" s="46">
        <f t="shared" si="3"/>
        <v>0.008874050477106267</v>
      </c>
      <c r="AL19" s="67">
        <f t="shared" si="9"/>
        <v>1.0622590669084864</v>
      </c>
    </row>
    <row r="20" spans="1:38" ht="15.75">
      <c r="A20" s="46">
        <f>MAX(A$9:A19)+1</f>
        <v>9</v>
      </c>
      <c r="B20" s="46"/>
      <c r="C20" s="46" t="s">
        <v>45</v>
      </c>
      <c r="D20" s="46"/>
      <c r="E20" s="60" t="s">
        <v>46</v>
      </c>
      <c r="F20" s="46">
        <v>9</v>
      </c>
      <c r="G20" s="46"/>
      <c r="H20" s="61">
        <v>137.16666666666666</v>
      </c>
      <c r="I20" s="46"/>
      <c r="J20" s="61">
        <v>2801942.9986147243</v>
      </c>
      <c r="K20" s="46"/>
      <c r="L20" s="59">
        <v>87760.45240680772</v>
      </c>
      <c r="M20" s="46"/>
      <c r="N20" s="59">
        <v>103521.90740680772</v>
      </c>
      <c r="O20" s="62"/>
      <c r="P20" s="63">
        <f>(N20/$J20)*100</f>
        <v>3.6946471594171886</v>
      </c>
      <c r="Q20" s="46"/>
      <c r="R20" s="59">
        <f t="shared" si="4"/>
        <v>15761.455000000002</v>
      </c>
      <c r="S20" s="46"/>
      <c r="T20" s="64">
        <f t="shared" si="5"/>
        <v>0.17959632804692974</v>
      </c>
      <c r="U20" s="62"/>
      <c r="V20" s="65">
        <f t="shared" si="6"/>
        <v>0.5625187595819201</v>
      </c>
      <c r="W20" s="46"/>
      <c r="X20" s="46"/>
      <c r="Y20" s="46">
        <f>MAX(Y$9:Y19)+1</f>
        <v>9</v>
      </c>
      <c r="Z20" s="46" t="s">
        <v>45</v>
      </c>
      <c r="AA20" s="46"/>
      <c r="AB20" s="46"/>
      <c r="AC20" s="66">
        <f t="shared" si="7"/>
        <v>25607.48742362722</v>
      </c>
      <c r="AD20" s="46"/>
      <c r="AE20" s="67">
        <f t="shared" si="0"/>
        <v>0.29178846190224067</v>
      </c>
      <c r="AF20" s="46"/>
      <c r="AG20" s="59">
        <f t="shared" si="1"/>
        <v>20684.47121181361</v>
      </c>
      <c r="AH20" s="59"/>
      <c r="AI20" s="67">
        <f t="shared" si="2"/>
        <v>0.2356923949745852</v>
      </c>
      <c r="AJ20" s="67">
        <f t="shared" si="8"/>
        <v>1.3127981614511168</v>
      </c>
      <c r="AK20" s="46">
        <f t="shared" si="3"/>
        <v>0.0073821884392508965</v>
      </c>
      <c r="AL20" s="67">
        <f t="shared" si="9"/>
        <v>0.8836772591560014</v>
      </c>
    </row>
    <row r="21" spans="1:38" ht="15.75">
      <c r="A21" s="46">
        <f>MAX(A$9:A20)+1</f>
        <v>10</v>
      </c>
      <c r="B21" s="46"/>
      <c r="C21" s="46" t="s">
        <v>47</v>
      </c>
      <c r="D21" s="46"/>
      <c r="E21" s="73" t="s">
        <v>48</v>
      </c>
      <c r="F21" s="73" t="s">
        <v>48</v>
      </c>
      <c r="G21" s="46"/>
      <c r="H21" s="61">
        <v>4.166666666666666</v>
      </c>
      <c r="I21" s="46"/>
      <c r="J21" s="61">
        <v>17057.233967391778</v>
      </c>
      <c r="K21" s="46"/>
      <c r="L21" s="59">
        <v>795.7498281578468</v>
      </c>
      <c r="M21" s="46"/>
      <c r="N21" s="59">
        <v>938.6078281578468</v>
      </c>
      <c r="O21" s="62"/>
      <c r="P21" s="63">
        <f>(N21/$J21)*100</f>
        <v>5.502696568225414</v>
      </c>
      <c r="Q21" s="46"/>
      <c r="R21" s="59">
        <f t="shared" si="4"/>
        <v>142.85800000000006</v>
      </c>
      <c r="S21" s="46"/>
      <c r="T21" s="64">
        <f t="shared" si="5"/>
        <v>0.17952627188210013</v>
      </c>
      <c r="U21" s="62"/>
      <c r="V21" s="65">
        <f t="shared" si="6"/>
        <v>0.837521489551594</v>
      </c>
      <c r="W21" s="46"/>
      <c r="X21" s="46"/>
      <c r="Y21" s="46">
        <f>MAX(Y$9:Y20)+1</f>
        <v>10</v>
      </c>
      <c r="Z21" s="46" t="s">
        <v>47</v>
      </c>
      <c r="AA21" s="46"/>
      <c r="AB21" s="46"/>
      <c r="AC21" s="66">
        <f t="shared" si="7"/>
        <v>155.88928986699645</v>
      </c>
      <c r="AD21" s="46"/>
      <c r="AE21" s="67">
        <f t="shared" si="0"/>
        <v>0.19590238583887434</v>
      </c>
      <c r="AF21" s="46"/>
      <c r="AG21" s="59">
        <f t="shared" si="1"/>
        <v>149.37364493349827</v>
      </c>
      <c r="AH21" s="59"/>
      <c r="AI21" s="67">
        <f t="shared" si="2"/>
        <v>0.18771432886048725</v>
      </c>
      <c r="AJ21" s="67">
        <f t="shared" si="8"/>
        <v>1.0455620591095047</v>
      </c>
      <c r="AK21" s="46">
        <f t="shared" si="3"/>
        <v>0.008757202089099268</v>
      </c>
      <c r="AL21" s="67">
        <f t="shared" si="9"/>
        <v>1.0482718510441755</v>
      </c>
    </row>
    <row r="22" spans="1:38" ht="15.75">
      <c r="A22" s="46">
        <f>MAX(A$9:A21)+1</f>
        <v>11</v>
      </c>
      <c r="B22" s="46"/>
      <c r="C22" s="46" t="s">
        <v>49</v>
      </c>
      <c r="D22" s="46"/>
      <c r="E22" s="73" t="s">
        <v>50</v>
      </c>
      <c r="F22" s="73" t="s">
        <v>50</v>
      </c>
      <c r="G22" s="46"/>
      <c r="H22" s="74">
        <v>7</v>
      </c>
      <c r="I22" s="46"/>
      <c r="J22" s="74">
        <v>41936.40621263936</v>
      </c>
      <c r="K22" s="46"/>
      <c r="L22" s="69">
        <v>1562.0784012905283</v>
      </c>
      <c r="M22" s="46"/>
      <c r="N22" s="69">
        <v>1839.6934012905283</v>
      </c>
      <c r="O22" s="62"/>
      <c r="P22" s="63">
        <f>(N22/$J22)*100</f>
        <v>4.3868647016683475</v>
      </c>
      <c r="Q22" s="46"/>
      <c r="R22" s="69">
        <f t="shared" si="4"/>
        <v>277.615</v>
      </c>
      <c r="S22" s="46"/>
      <c r="T22" s="71">
        <f t="shared" si="5"/>
        <v>0.17772155339363588</v>
      </c>
      <c r="U22" s="62"/>
      <c r="V22" s="72">
        <f t="shared" si="6"/>
        <v>0.661990439982739</v>
      </c>
      <c r="W22" s="46"/>
      <c r="X22" s="46"/>
      <c r="Y22" s="46">
        <f>MAX(Y$9:Y21)+1</f>
        <v>11</v>
      </c>
      <c r="Z22" s="46" t="s">
        <v>49</v>
      </c>
      <c r="AA22" s="46"/>
      <c r="AB22" s="46"/>
      <c r="AC22" s="66">
        <f t="shared" si="7"/>
        <v>383.2647542127774</v>
      </c>
      <c r="AD22" s="46"/>
      <c r="AE22" s="67">
        <f t="shared" si="0"/>
        <v>0.24535564533517587</v>
      </c>
      <c r="AF22" s="46"/>
      <c r="AG22" s="59">
        <f t="shared" si="1"/>
        <v>330.43987710638874</v>
      </c>
      <c r="AH22" s="59"/>
      <c r="AI22" s="67">
        <f t="shared" si="2"/>
        <v>0.2115385993644059</v>
      </c>
      <c r="AJ22" s="67">
        <f t="shared" si="8"/>
        <v>1.1782623887863743</v>
      </c>
      <c r="AK22" s="46">
        <f t="shared" si="3"/>
        <v>0.007879546841254992</v>
      </c>
      <c r="AL22" s="67">
        <f t="shared" si="9"/>
        <v>0.9432130340983417</v>
      </c>
    </row>
    <row r="23" spans="1:38" ht="15.75">
      <c r="A23" s="46"/>
      <c r="B23" s="46"/>
      <c r="C23" s="46"/>
      <c r="D23" s="46"/>
      <c r="E23" s="73"/>
      <c r="F23" s="73"/>
      <c r="G23" s="46"/>
      <c r="H23" s="61"/>
      <c r="I23" s="46"/>
      <c r="J23" s="61"/>
      <c r="K23" s="46"/>
      <c r="L23" s="59"/>
      <c r="M23" s="46"/>
      <c r="N23" s="59"/>
      <c r="O23" s="62"/>
      <c r="P23" s="63"/>
      <c r="Q23" s="46"/>
      <c r="R23" s="59"/>
      <c r="S23" s="46"/>
      <c r="T23" s="64"/>
      <c r="U23" s="62"/>
      <c r="V23" s="65"/>
      <c r="W23" s="46"/>
      <c r="X23" s="46"/>
      <c r="Y23" s="46"/>
      <c r="Z23" s="46"/>
      <c r="AA23" s="46"/>
      <c r="AB23" s="46"/>
      <c r="AC23" s="66">
        <f t="shared" si="7"/>
        <v>0</v>
      </c>
      <c r="AD23" s="46"/>
      <c r="AE23" s="67"/>
      <c r="AF23" s="46"/>
      <c r="AG23" s="59"/>
      <c r="AH23" s="59"/>
      <c r="AI23" s="67"/>
      <c r="AJ23" s="67"/>
      <c r="AK23" s="46"/>
      <c r="AL23" s="67"/>
    </row>
    <row r="24" spans="1:38" ht="15.75">
      <c r="A24" s="46">
        <f>MAX(A$9:A23)+1</f>
        <v>12</v>
      </c>
      <c r="B24" s="46"/>
      <c r="C24" s="58" t="s">
        <v>51</v>
      </c>
      <c r="D24" s="46"/>
      <c r="E24" s="46"/>
      <c r="F24" s="46"/>
      <c r="G24" s="46"/>
      <c r="H24" s="61">
        <f>SUM(H20:H22)</f>
        <v>148.33333333333331</v>
      </c>
      <c r="I24" s="46"/>
      <c r="J24" s="61">
        <f>SUM(J20:J22)</f>
        <v>2860936.6387947556</v>
      </c>
      <c r="K24" s="46"/>
      <c r="L24" s="59">
        <f>SUM(L20:L22)</f>
        <v>90118.2806362561</v>
      </c>
      <c r="M24" s="46"/>
      <c r="N24" s="59">
        <f>SUM(N20:N22)</f>
        <v>106300.2086362561</v>
      </c>
      <c r="O24" s="62"/>
      <c r="P24" s="63"/>
      <c r="Q24" s="46"/>
      <c r="R24" s="59">
        <f aca="true" t="shared" si="10" ref="R24:R32">N24-L24</f>
        <v>16181.928</v>
      </c>
      <c r="S24" s="46"/>
      <c r="T24" s="64">
        <f aca="true" t="shared" si="11" ref="T24:T29">R24/L24</f>
        <v>0.1795632127660649</v>
      </c>
      <c r="U24" s="62"/>
      <c r="V24" s="65">
        <f>(R24/$J24)*100</f>
        <v>0.5656164411532393</v>
      </c>
      <c r="W24" s="46"/>
      <c r="X24" s="46"/>
      <c r="Y24" s="46">
        <f>MAX(Y$9:Y23)+1</f>
        <v>12</v>
      </c>
      <c r="Z24" s="58" t="s">
        <v>51</v>
      </c>
      <c r="AA24" s="46"/>
      <c r="AB24" s="46"/>
      <c r="AC24" s="66">
        <f t="shared" si="7"/>
        <v>26146.641467706995</v>
      </c>
      <c r="AD24" s="46"/>
      <c r="AE24" s="67">
        <f t="shared" si="0"/>
        <v>0.29013693207533037</v>
      </c>
      <c r="AF24" s="46"/>
      <c r="AG24" s="59">
        <f t="shared" si="1"/>
        <v>21164.2847338535</v>
      </c>
      <c r="AH24" s="59"/>
      <c r="AI24" s="67">
        <f t="shared" si="2"/>
        <v>0.23485007242069766</v>
      </c>
      <c r="AJ24" s="67">
        <f aca="true" t="shared" si="12" ref="AJ24:AJ29">AI24/$AI$49</f>
        <v>1.3081064551268138</v>
      </c>
      <c r="AK24" s="46">
        <f t="shared" si="3"/>
        <v>0.007397676847107494</v>
      </c>
      <c r="AL24" s="67">
        <f>AK24/$AK$49</f>
        <v>0.8855312830563716</v>
      </c>
    </row>
    <row r="25" spans="1:38" ht="15.75">
      <c r="A25" s="46">
        <f>MAX(A$9:A24)+1</f>
        <v>13</v>
      </c>
      <c r="B25" s="46"/>
      <c r="C25" s="58" t="s">
        <v>52</v>
      </c>
      <c r="D25" s="46"/>
      <c r="E25" s="73">
        <v>10</v>
      </c>
      <c r="F25" s="73">
        <v>10</v>
      </c>
      <c r="G25" s="46"/>
      <c r="H25" s="61">
        <v>2052</v>
      </c>
      <c r="I25" s="46"/>
      <c r="J25" s="61">
        <v>164889.49161586753</v>
      </c>
      <c r="K25" s="46"/>
      <c r="L25" s="59">
        <v>6755.90508948908</v>
      </c>
      <c r="M25" s="46"/>
      <c r="N25" s="59">
        <v>8272.076089489081</v>
      </c>
      <c r="O25" s="62"/>
      <c r="P25" s="63">
        <f>(N25/$J25)*100</f>
        <v>5.016739398263175</v>
      </c>
      <c r="Q25" s="46"/>
      <c r="R25" s="59">
        <f t="shared" si="10"/>
        <v>1516.1710000000012</v>
      </c>
      <c r="S25" s="46"/>
      <c r="T25" s="64">
        <f t="shared" si="11"/>
        <v>0.22442159561401753</v>
      </c>
      <c r="U25" s="62"/>
      <c r="V25" s="65">
        <f>(R25/$J25)*100</f>
        <v>0.9195073531624002</v>
      </c>
      <c r="W25" s="46"/>
      <c r="X25" s="46"/>
      <c r="Y25" s="46">
        <f>MAX(Y$9:Y24)+1</f>
        <v>13</v>
      </c>
      <c r="Z25" s="58" t="s">
        <v>52</v>
      </c>
      <c r="AA25" s="46"/>
      <c r="AB25" s="46"/>
      <c r="AC25" s="66">
        <f t="shared" si="7"/>
        <v>1506.9562746027182</v>
      </c>
      <c r="AD25" s="46"/>
      <c r="AE25" s="67">
        <f t="shared" si="0"/>
        <v>0.22305764433358594</v>
      </c>
      <c r="AF25" s="46"/>
      <c r="AG25" s="59">
        <f t="shared" si="1"/>
        <v>1511.5636373013597</v>
      </c>
      <c r="AH25" s="59"/>
      <c r="AI25" s="67">
        <f t="shared" si="2"/>
        <v>0.22373961997380173</v>
      </c>
      <c r="AJ25" s="67">
        <f t="shared" si="12"/>
        <v>1.246221634673664</v>
      </c>
      <c r="AK25" s="46">
        <f t="shared" si="3"/>
        <v>0.009167131407153297</v>
      </c>
      <c r="AL25" s="67">
        <f>AK25/$AK$49</f>
        <v>1.0973420175952793</v>
      </c>
    </row>
    <row r="26" spans="1:38" ht="15.75">
      <c r="A26" s="46">
        <f>MAX(A$9:A25)+1</f>
        <v>14</v>
      </c>
      <c r="B26" s="46"/>
      <c r="C26" s="46" t="s">
        <v>53</v>
      </c>
      <c r="D26" s="46"/>
      <c r="E26" s="73" t="s">
        <v>54</v>
      </c>
      <c r="F26" s="73" t="s">
        <v>54</v>
      </c>
      <c r="G26" s="46"/>
      <c r="H26" s="74">
        <v>233</v>
      </c>
      <c r="I26" s="46"/>
      <c r="J26" s="74">
        <v>13280.532305717716</v>
      </c>
      <c r="K26" s="46"/>
      <c r="L26" s="69">
        <v>527.6381846046194</v>
      </c>
      <c r="M26" s="46"/>
      <c r="N26" s="69">
        <v>646.1261846046194</v>
      </c>
      <c r="O26" s="62"/>
      <c r="P26" s="63">
        <f>(N26/$J26)*100</f>
        <v>4.865213002994167</v>
      </c>
      <c r="Q26" s="46"/>
      <c r="R26" s="69">
        <f t="shared" si="10"/>
        <v>118.48800000000006</v>
      </c>
      <c r="S26" s="46"/>
      <c r="T26" s="71">
        <f t="shared" si="11"/>
        <v>0.22456297413119922</v>
      </c>
      <c r="U26" s="62"/>
      <c r="V26" s="72">
        <f>(R26/$J26)*100</f>
        <v>0.8921931536508292</v>
      </c>
      <c r="W26" s="46"/>
      <c r="X26" s="46"/>
      <c r="Y26" s="46">
        <f>MAX(Y$9:Y25)+1</f>
        <v>14</v>
      </c>
      <c r="Z26" s="46" t="s">
        <v>53</v>
      </c>
      <c r="AA26" s="46"/>
      <c r="AB26" s="46"/>
      <c r="AC26" s="66">
        <f t="shared" si="7"/>
        <v>121.3732985167353</v>
      </c>
      <c r="AD26" s="46"/>
      <c r="AE26" s="67">
        <f t="shared" si="0"/>
        <v>0.23003130186206144</v>
      </c>
      <c r="AF26" s="46"/>
      <c r="AG26" s="59">
        <f t="shared" si="1"/>
        <v>119.93064925836768</v>
      </c>
      <c r="AH26" s="59"/>
      <c r="AI26" s="67">
        <f t="shared" si="2"/>
        <v>0.22729713799663034</v>
      </c>
      <c r="AJ26" s="67">
        <f t="shared" si="12"/>
        <v>1.2660368820863022</v>
      </c>
      <c r="AK26" s="46">
        <f t="shared" si="3"/>
        <v>0.009030560409595443</v>
      </c>
      <c r="AL26" s="67">
        <f>AK26/$AK$49</f>
        <v>1.0809939270804871</v>
      </c>
    </row>
    <row r="27" spans="1:38" ht="15.75">
      <c r="A27" s="46">
        <f>MAX(A$9:A26)+1</f>
        <v>15</v>
      </c>
      <c r="B27" s="46"/>
      <c r="C27" s="58" t="s">
        <v>55</v>
      </c>
      <c r="D27" s="46"/>
      <c r="E27" s="46"/>
      <c r="F27" s="46"/>
      <c r="G27" s="46"/>
      <c r="H27" s="61">
        <f>SUM(H25:H26)</f>
        <v>2285</v>
      </c>
      <c r="I27" s="46"/>
      <c r="J27" s="61">
        <f>SUM(J25:J26)</f>
        <v>178170.02392158523</v>
      </c>
      <c r="K27" s="46"/>
      <c r="L27" s="59">
        <f>SUM(L25:L26)</f>
        <v>7283.543274093699</v>
      </c>
      <c r="M27" s="46"/>
      <c r="N27" s="59">
        <f>SUM(N25:N26)</f>
        <v>8918.2022740937</v>
      </c>
      <c r="O27" s="62"/>
      <c r="P27" s="63"/>
      <c r="Q27" s="46"/>
      <c r="R27" s="59">
        <f t="shared" si="10"/>
        <v>1634.6590000000015</v>
      </c>
      <c r="S27" s="46"/>
      <c r="T27" s="64">
        <f t="shared" si="11"/>
        <v>0.22443183742920841</v>
      </c>
      <c r="U27" s="62"/>
      <c r="V27" s="65">
        <f>(R27/$J27)*100</f>
        <v>0.9174713927857104</v>
      </c>
      <c r="W27" s="46"/>
      <c r="X27" s="46"/>
      <c r="Y27" s="46">
        <f>MAX(Y$9:Y26)+1</f>
        <v>15</v>
      </c>
      <c r="Z27" s="58" t="s">
        <v>55</v>
      </c>
      <c r="AA27" s="46"/>
      <c r="AB27" s="46"/>
      <c r="AC27" s="66">
        <f t="shared" si="7"/>
        <v>1628.329573119453</v>
      </c>
      <c r="AD27" s="46"/>
      <c r="AE27" s="67">
        <f t="shared" si="0"/>
        <v>0.22356283361576762</v>
      </c>
      <c r="AF27" s="46"/>
      <c r="AG27" s="59">
        <f t="shared" si="1"/>
        <v>1631.4942865597272</v>
      </c>
      <c r="AH27" s="59"/>
      <c r="AI27" s="67">
        <f t="shared" si="2"/>
        <v>0.22399733552248802</v>
      </c>
      <c r="AJ27" s="67">
        <f t="shared" si="12"/>
        <v>1.2476571010090511</v>
      </c>
      <c r="AK27" s="46">
        <f t="shared" si="3"/>
        <v>0.009156951605269848</v>
      </c>
      <c r="AL27" s="67">
        <f>AK27/$AK$49</f>
        <v>1.0961234549019607</v>
      </c>
    </row>
    <row r="28" spans="1:38" ht="15.75">
      <c r="A28" s="46">
        <f>MAX(A$9:A27)+1</f>
        <v>16</v>
      </c>
      <c r="B28" s="46"/>
      <c r="C28" s="46" t="s">
        <v>56</v>
      </c>
      <c r="D28" s="46"/>
      <c r="E28" s="60" t="s">
        <v>57</v>
      </c>
      <c r="F28" s="46">
        <v>23</v>
      </c>
      <c r="G28" s="46"/>
      <c r="H28" s="61">
        <v>52323.25</v>
      </c>
      <c r="I28" s="46"/>
      <c r="J28" s="61">
        <v>986935.7388258675</v>
      </c>
      <c r="K28" s="46"/>
      <c r="L28" s="59">
        <v>61880.82559735177</v>
      </c>
      <c r="M28" s="46"/>
      <c r="N28" s="59">
        <v>72991.40486233875</v>
      </c>
      <c r="O28" s="62"/>
      <c r="P28" s="63">
        <f>(N28/$J28)*100</f>
        <v>7.395760634747585</v>
      </c>
      <c r="Q28" s="46"/>
      <c r="R28" s="59">
        <f t="shared" si="10"/>
        <v>11110.579264986976</v>
      </c>
      <c r="S28" s="46"/>
      <c r="T28" s="64">
        <f t="shared" si="11"/>
        <v>0.1795480127767148</v>
      </c>
      <c r="U28" s="62"/>
      <c r="V28" s="65">
        <f>(R28/$J28)*100</f>
        <v>1.1257652173185004</v>
      </c>
      <c r="W28" s="46"/>
      <c r="X28" s="46"/>
      <c r="Y28" s="46">
        <f>MAX(Y$9:Y27)+1</f>
        <v>16</v>
      </c>
      <c r="Z28" s="46" t="s">
        <v>56</v>
      </c>
      <c r="AA28" s="46"/>
      <c r="AB28" s="46"/>
      <c r="AC28" s="66">
        <f t="shared" si="7"/>
        <v>9019.792526973797</v>
      </c>
      <c r="AD28" s="46"/>
      <c r="AE28" s="67">
        <f t="shared" si="0"/>
        <v>0.14576070115263304</v>
      </c>
      <c r="AF28" s="46"/>
      <c r="AG28" s="59">
        <f t="shared" si="1"/>
        <v>10065.185895980387</v>
      </c>
      <c r="AH28" s="59"/>
      <c r="AI28" s="67">
        <f t="shared" si="2"/>
        <v>0.16265435696467392</v>
      </c>
      <c r="AJ28" s="67">
        <f t="shared" si="12"/>
        <v>0.9059789171316404</v>
      </c>
      <c r="AK28" s="46">
        <f t="shared" si="3"/>
        <v>0.0101984207279338</v>
      </c>
      <c r="AL28" s="67">
        <f>AK28/$AK$49</f>
        <v>1.2207914429091424</v>
      </c>
    </row>
    <row r="29" spans="1:38" ht="15.75">
      <c r="A29" s="46">
        <f>MAX(A$9:A28)+1</f>
        <v>17</v>
      </c>
      <c r="B29" s="46"/>
      <c r="C29" s="46" t="s">
        <v>58</v>
      </c>
      <c r="D29" s="46"/>
      <c r="E29" s="46">
        <v>31</v>
      </c>
      <c r="F29" s="46">
        <v>31</v>
      </c>
      <c r="G29" s="46"/>
      <c r="H29" s="61">
        <v>2</v>
      </c>
      <c r="I29" s="46"/>
      <c r="J29" s="61">
        <v>0</v>
      </c>
      <c r="K29" s="46"/>
      <c r="L29" s="59">
        <v>176.43406377294008</v>
      </c>
      <c r="M29" s="46"/>
      <c r="N29" s="59">
        <v>208.2810637729401</v>
      </c>
      <c r="O29" s="62"/>
      <c r="P29" s="75">
        <v>0</v>
      </c>
      <c r="Q29" s="46"/>
      <c r="R29" s="59">
        <f t="shared" si="10"/>
        <v>31.84700000000001</v>
      </c>
      <c r="S29" s="46"/>
      <c r="T29" s="64">
        <f t="shared" si="11"/>
        <v>0.18050369253516238</v>
      </c>
      <c r="U29" s="62"/>
      <c r="V29" s="76">
        <v>0</v>
      </c>
      <c r="W29" s="46"/>
      <c r="X29" s="46"/>
      <c r="Y29" s="46">
        <f>MAX(Y$9:Y28)+1</f>
        <v>17</v>
      </c>
      <c r="Z29" s="46" t="s">
        <v>58</v>
      </c>
      <c r="AA29" s="46"/>
      <c r="AB29" s="46"/>
      <c r="AC29" s="66"/>
      <c r="AD29" s="46"/>
      <c r="AE29" s="67">
        <f t="shared" si="0"/>
        <v>0</v>
      </c>
      <c r="AF29" s="46"/>
      <c r="AG29" s="59">
        <f t="shared" si="1"/>
        <v>15.923500000000004</v>
      </c>
      <c r="AH29" s="59"/>
      <c r="AI29" s="67">
        <f t="shared" si="2"/>
        <v>0.09025184626758119</v>
      </c>
      <c r="AJ29" s="67">
        <f t="shared" si="12"/>
        <v>0.5026995370827533</v>
      </c>
      <c r="AK29" s="46"/>
      <c r="AL29" s="67"/>
    </row>
    <row r="30" spans="1:38" ht="15.75">
      <c r="A30" s="46">
        <f>MAX(A$9:A29)+1</f>
        <v>18</v>
      </c>
      <c r="B30" s="46"/>
      <c r="C30" s="46" t="s">
        <v>59</v>
      </c>
      <c r="D30" s="46"/>
      <c r="E30" s="46">
        <v>33</v>
      </c>
      <c r="F30" s="46">
        <v>33</v>
      </c>
      <c r="G30" s="46"/>
      <c r="H30" s="61">
        <v>0</v>
      </c>
      <c r="I30" s="46"/>
      <c r="J30" s="61">
        <v>0</v>
      </c>
      <c r="K30" s="46"/>
      <c r="L30" s="59">
        <v>0</v>
      </c>
      <c r="M30" s="46"/>
      <c r="N30" s="59">
        <v>0</v>
      </c>
      <c r="O30" s="62"/>
      <c r="P30" s="63" t="e">
        <f>(N30/$J30)*100</f>
        <v>#DIV/0!</v>
      </c>
      <c r="Q30" s="46"/>
      <c r="R30" s="59">
        <f t="shared" si="10"/>
        <v>0</v>
      </c>
      <c r="S30" s="46"/>
      <c r="T30" s="64">
        <v>0</v>
      </c>
      <c r="U30" s="62"/>
      <c r="V30" s="65">
        <v>0</v>
      </c>
      <c r="W30" s="46"/>
      <c r="X30" s="46"/>
      <c r="Y30" s="46">
        <f>MAX(Y$9:Y29)+1</f>
        <v>18</v>
      </c>
      <c r="Z30" s="46" t="s">
        <v>59</v>
      </c>
      <c r="AA30" s="46"/>
      <c r="AB30" s="46"/>
      <c r="AC30" s="66"/>
      <c r="AD30" s="46"/>
      <c r="AE30" s="67"/>
      <c r="AF30" s="46"/>
      <c r="AG30" s="59">
        <f t="shared" si="1"/>
        <v>0</v>
      </c>
      <c r="AH30" s="59"/>
      <c r="AI30" s="67"/>
      <c r="AJ30" s="67"/>
      <c r="AK30" s="46"/>
      <c r="AL30" s="67"/>
    </row>
    <row r="31" spans="1:38" ht="15.75">
      <c r="A31" s="46">
        <f>MAX(A$9:A30)+1</f>
        <v>19</v>
      </c>
      <c r="B31" s="46"/>
      <c r="C31" s="46" t="s">
        <v>60</v>
      </c>
      <c r="D31" s="46"/>
      <c r="E31" s="73" t="s">
        <v>37</v>
      </c>
      <c r="F31" s="73" t="s">
        <v>37</v>
      </c>
      <c r="G31" s="46"/>
      <c r="H31" s="61">
        <v>7.5</v>
      </c>
      <c r="I31" s="46"/>
      <c r="J31" s="61">
        <v>3224272.571</v>
      </c>
      <c r="K31" s="46"/>
      <c r="L31" s="59">
        <v>80294.586925194</v>
      </c>
      <c r="M31" s="46"/>
      <c r="N31" s="59">
        <v>80294.586925194</v>
      </c>
      <c r="O31" s="62"/>
      <c r="P31" s="63">
        <f>(N31/$J31)*100</f>
        <v>2.49031634755032</v>
      </c>
      <c r="Q31" s="46"/>
      <c r="R31" s="59">
        <f t="shared" si="10"/>
        <v>0</v>
      </c>
      <c r="S31" s="46"/>
      <c r="T31" s="64">
        <f>R31/L31</f>
        <v>0</v>
      </c>
      <c r="U31" s="62"/>
      <c r="V31" s="65">
        <f>(R31/$J31)*100</f>
        <v>0</v>
      </c>
      <c r="W31" s="46"/>
      <c r="X31" s="46"/>
      <c r="Y31" s="46">
        <f>MAX(Y$9:Y30)+1</f>
        <v>19</v>
      </c>
      <c r="Z31" s="46" t="s">
        <v>60</v>
      </c>
      <c r="AA31" s="46"/>
      <c r="AB31" s="46"/>
      <c r="AC31" s="66">
        <f>$R$50*(J31/$J$50)</f>
        <v>29467.237325330654</v>
      </c>
      <c r="AD31" s="46"/>
      <c r="AE31" s="67">
        <f t="shared" si="0"/>
        <v>0.36698908922445345</v>
      </c>
      <c r="AF31" s="46"/>
      <c r="AG31" s="59">
        <f t="shared" si="1"/>
        <v>14733.618662665327</v>
      </c>
      <c r="AH31" s="59"/>
      <c r="AI31" s="67">
        <f t="shared" si="2"/>
        <v>0.18349454461222672</v>
      </c>
      <c r="AJ31" s="67">
        <f>AI31/$AI$49</f>
        <v>1.0220580126448993</v>
      </c>
      <c r="AK31" s="46">
        <f t="shared" si="3"/>
        <v>0.0045695946413412975</v>
      </c>
      <c r="AL31" s="67">
        <f>AK31/$AK$49</f>
        <v>0.5469986171911086</v>
      </c>
    </row>
    <row r="32" spans="1:38" ht="15.75">
      <c r="A32" s="46">
        <f>MAX(A$9:A31)+1</f>
        <v>20</v>
      </c>
      <c r="B32" s="46"/>
      <c r="C32" s="46" t="s">
        <v>36</v>
      </c>
      <c r="D32" s="46"/>
      <c r="E32" s="68" t="s">
        <v>37</v>
      </c>
      <c r="F32" s="68" t="s">
        <v>37</v>
      </c>
      <c r="G32" s="46"/>
      <c r="H32" s="68" t="s">
        <v>37</v>
      </c>
      <c r="I32" s="46"/>
      <c r="J32" s="68" t="s">
        <v>37</v>
      </c>
      <c r="K32" s="46"/>
      <c r="L32" s="69">
        <v>1116.2094099999997</v>
      </c>
      <c r="M32" s="46"/>
      <c r="N32" s="69">
        <v>1116.2094099999997</v>
      </c>
      <c r="O32" s="70"/>
      <c r="P32" s="75">
        <v>0</v>
      </c>
      <c r="Q32" s="46"/>
      <c r="R32" s="69">
        <f t="shared" si="10"/>
        <v>0</v>
      </c>
      <c r="S32" s="46"/>
      <c r="T32" s="71">
        <f>R32/L32</f>
        <v>0</v>
      </c>
      <c r="U32" s="70"/>
      <c r="V32" s="77">
        <v>0</v>
      </c>
      <c r="W32" s="46"/>
      <c r="X32" s="46"/>
      <c r="Y32" s="46">
        <f>MAX(Y$9:Y31)+1</f>
        <v>20</v>
      </c>
      <c r="Z32" s="46" t="s">
        <v>36</v>
      </c>
      <c r="AA32" s="46"/>
      <c r="AB32" s="46"/>
      <c r="AC32" s="66"/>
      <c r="AD32" s="46"/>
      <c r="AE32" s="67"/>
      <c r="AF32" s="46"/>
      <c r="AG32" s="59"/>
      <c r="AH32" s="59"/>
      <c r="AI32" s="67">
        <f t="shared" si="2"/>
        <v>0</v>
      </c>
      <c r="AJ32" s="67"/>
      <c r="AK32" s="46"/>
      <c r="AL32" s="67"/>
    </row>
    <row r="33" spans="1:38" ht="15.75">
      <c r="A33" s="46">
        <f>MAX(A$9:A32)+1</f>
        <v>21</v>
      </c>
      <c r="B33" s="46"/>
      <c r="C33" s="58" t="s">
        <v>61</v>
      </c>
      <c r="D33" s="46"/>
      <c r="E33" s="46"/>
      <c r="F33" s="46"/>
      <c r="G33" s="46"/>
      <c r="H33" s="61">
        <f>SUM(H17:H32)+1-H27-H24-H19</f>
        <v>66814.91666666667</v>
      </c>
      <c r="I33" s="46"/>
      <c r="J33" s="61">
        <f>SUM(J17:J32)-J27-J24-J19</f>
        <v>13744931.497056223</v>
      </c>
      <c r="K33" s="46"/>
      <c r="L33" s="59">
        <f>SUM(L17:L32)-L27-L24-L19</f>
        <v>552282.8188629707</v>
      </c>
      <c r="M33" s="46"/>
      <c r="N33" s="59">
        <f>SUM(N17:N32)-N27-N24-N19</f>
        <v>637153.4121279578</v>
      </c>
      <c r="O33" s="62"/>
      <c r="P33" s="63">
        <f>(N33/$J33)*100</f>
        <v>4.635551746943359</v>
      </c>
      <c r="Q33" s="46"/>
      <c r="R33" s="59">
        <f>SUM(R17:R32)-R27-R24-R19</f>
        <v>84870.593264987</v>
      </c>
      <c r="S33" s="46"/>
      <c r="T33" s="64">
        <f>R33/L33</f>
        <v>0.15367234026891682</v>
      </c>
      <c r="U33" s="62"/>
      <c r="V33" s="65">
        <f>(R33/$J33)*100</f>
        <v>0.6174682884608328</v>
      </c>
      <c r="W33" s="46"/>
      <c r="X33" s="46"/>
      <c r="Y33" s="46">
        <f>MAX(Y$9:Y32)+1</f>
        <v>21</v>
      </c>
      <c r="Z33" s="58" t="s">
        <v>61</v>
      </c>
      <c r="AA33" s="46"/>
      <c r="AB33" s="46"/>
      <c r="AC33" s="66">
        <f>$R$50*(J33/$J$50)</f>
        <v>125617.53062910266</v>
      </c>
      <c r="AD33" s="46"/>
      <c r="AE33" s="67">
        <f t="shared" si="0"/>
        <v>0.2274514548320037</v>
      </c>
      <c r="AF33" s="46"/>
      <c r="AG33" s="59">
        <f t="shared" si="1"/>
        <v>105244.06194704483</v>
      </c>
      <c r="AH33" s="59"/>
      <c r="AI33" s="67">
        <f t="shared" si="2"/>
        <v>0.19056189755046027</v>
      </c>
      <c r="AJ33" s="67">
        <f>AI33/$AI$49</f>
        <v>1.0614229142771288</v>
      </c>
      <c r="AK33" s="46">
        <f t="shared" si="3"/>
        <v>0.007656936083645462</v>
      </c>
      <c r="AL33" s="67">
        <f>AK33/$AK$49</f>
        <v>0.9165656427777549</v>
      </c>
    </row>
    <row r="34" spans="1:38" ht="15.75">
      <c r="A34" s="46">
        <f>MAX(A$9:A33)+1</f>
        <v>22</v>
      </c>
      <c r="B34" s="46"/>
      <c r="C34" s="58" t="s">
        <v>61</v>
      </c>
      <c r="D34" s="46"/>
      <c r="E34" s="46"/>
      <c r="F34" s="46"/>
      <c r="G34" s="46"/>
      <c r="H34" s="61">
        <f>H33-H31-H30</f>
        <v>66807.41666666667</v>
      </c>
      <c r="I34" s="46"/>
      <c r="J34" s="61">
        <f>J33-J31-J30</f>
        <v>10520658.926056223</v>
      </c>
      <c r="K34" s="46"/>
      <c r="L34" s="59">
        <f>L33-L32-L31-L30</f>
        <v>470872.02252777666</v>
      </c>
      <c r="M34" s="46"/>
      <c r="N34" s="59">
        <f>N33-N32-N31-N30</f>
        <v>555742.6157927638</v>
      </c>
      <c r="O34" s="62"/>
      <c r="P34" s="63">
        <f>(N34/$J34)*100</f>
        <v>5.282393619057181</v>
      </c>
      <c r="Q34" s="46"/>
      <c r="R34" s="59">
        <f>R33-R32-R31-R30</f>
        <v>84870.593264987</v>
      </c>
      <c r="S34" s="46"/>
      <c r="T34" s="64">
        <f>R34/L34</f>
        <v>0.18024131654579348</v>
      </c>
      <c r="U34" s="62"/>
      <c r="V34" s="65">
        <f>(R34/$J34)*100</f>
        <v>0.8067041604665118</v>
      </c>
      <c r="W34" s="46"/>
      <c r="X34" s="46"/>
      <c r="Y34" s="46">
        <f>MAX(Y$9:Y33)+1</f>
        <v>22</v>
      </c>
      <c r="Z34" s="58" t="s">
        <v>61</v>
      </c>
      <c r="AA34" s="46"/>
      <c r="AB34" s="46"/>
      <c r="AC34" s="66">
        <f>$R$50*(J34/$J$50)</f>
        <v>96150.293303772</v>
      </c>
      <c r="AD34" s="46"/>
      <c r="AE34" s="67">
        <f t="shared" si="0"/>
        <v>0.2041962331667308</v>
      </c>
      <c r="AF34" s="46"/>
      <c r="AG34" s="59">
        <f t="shared" si="1"/>
        <v>90510.4432843795</v>
      </c>
      <c r="AH34" s="59"/>
      <c r="AI34" s="67">
        <f t="shared" si="2"/>
        <v>0.19221877485626213</v>
      </c>
      <c r="AJ34" s="67">
        <f>AI34/$AI$49</f>
        <v>1.0706516612676342</v>
      </c>
      <c r="AK34" s="46">
        <f t="shared" si="3"/>
        <v>0.008603115443673856</v>
      </c>
      <c r="AL34" s="67">
        <f>AK34/$AK$49</f>
        <v>1.0298270679527421</v>
      </c>
    </row>
    <row r="35" spans="1:38" ht="15.75">
      <c r="A35" s="46"/>
      <c r="B35" s="46"/>
      <c r="C35" s="46" t="s">
        <v>62</v>
      </c>
      <c r="D35" s="46"/>
      <c r="E35" s="46"/>
      <c r="F35" s="46"/>
      <c r="G35" s="46"/>
      <c r="H35" s="61"/>
      <c r="I35" s="46"/>
      <c r="J35" s="61"/>
      <c r="K35" s="46"/>
      <c r="L35" s="59"/>
      <c r="M35" s="46"/>
      <c r="N35" s="59"/>
      <c r="O35" s="62"/>
      <c r="P35" s="63"/>
      <c r="Q35" s="46"/>
      <c r="R35" s="59"/>
      <c r="S35" s="46"/>
      <c r="T35" s="64"/>
      <c r="U35" s="62"/>
      <c r="V35" s="65"/>
      <c r="W35" s="46"/>
      <c r="X35" s="46"/>
      <c r="Y35" s="46"/>
      <c r="Z35" s="46" t="s">
        <v>62</v>
      </c>
      <c r="AA35" s="46"/>
      <c r="AB35" s="46"/>
      <c r="AC35" s="66"/>
      <c r="AD35" s="46"/>
      <c r="AE35" s="67"/>
      <c r="AF35" s="46"/>
      <c r="AG35" s="59"/>
      <c r="AH35" s="59"/>
      <c r="AI35" s="67"/>
      <c r="AJ35" s="67"/>
      <c r="AK35" s="46"/>
      <c r="AL35" s="67"/>
    </row>
    <row r="36" spans="1:38" ht="15.75">
      <c r="A36" s="46"/>
      <c r="B36" s="46"/>
      <c r="C36" s="58" t="s">
        <v>63</v>
      </c>
      <c r="D36" s="46"/>
      <c r="E36" s="46"/>
      <c r="F36" s="46"/>
      <c r="G36" s="46"/>
      <c r="H36" s="61"/>
      <c r="I36" s="46"/>
      <c r="J36" s="61"/>
      <c r="K36" s="46"/>
      <c r="L36" s="59"/>
      <c r="M36" s="46"/>
      <c r="N36" s="59"/>
      <c r="O36" s="62"/>
      <c r="P36" s="62"/>
      <c r="Q36" s="46"/>
      <c r="R36" s="59"/>
      <c r="S36" s="46"/>
      <c r="T36" s="64"/>
      <c r="U36" s="62"/>
      <c r="V36" s="65"/>
      <c r="W36" s="46"/>
      <c r="X36" s="46"/>
      <c r="Y36" s="46"/>
      <c r="Z36" s="58" t="s">
        <v>63</v>
      </c>
      <c r="AA36" s="46"/>
      <c r="AB36" s="46"/>
      <c r="AC36" s="66"/>
      <c r="AD36" s="46"/>
      <c r="AE36" s="67"/>
      <c r="AF36" s="46"/>
      <c r="AG36" s="59"/>
      <c r="AH36" s="59"/>
      <c r="AI36" s="67"/>
      <c r="AJ36" s="67"/>
      <c r="AK36" s="46"/>
      <c r="AL36" s="67"/>
    </row>
    <row r="37" spans="1:38" ht="15.75">
      <c r="A37" s="46">
        <f>MAX(A$9:A36)+1</f>
        <v>23</v>
      </c>
      <c r="B37" s="46"/>
      <c r="C37" s="46" t="s">
        <v>64</v>
      </c>
      <c r="D37" s="46"/>
      <c r="E37" s="46">
        <v>7</v>
      </c>
      <c r="F37" s="46">
        <v>7</v>
      </c>
      <c r="G37" s="46"/>
      <c r="H37" s="61">
        <v>10994</v>
      </c>
      <c r="I37" s="46"/>
      <c r="J37" s="61">
        <v>15215.95339</v>
      </c>
      <c r="K37" s="46"/>
      <c r="L37" s="59">
        <v>2539.356064513101</v>
      </c>
      <c r="M37" s="46"/>
      <c r="N37" s="59">
        <v>2880.890064513101</v>
      </c>
      <c r="O37" s="62"/>
      <c r="P37" s="63">
        <f aca="true" t="shared" si="13" ref="P37:P42">(N37/$J37)*100</f>
        <v>18.933352322217523</v>
      </c>
      <c r="Q37" s="46"/>
      <c r="R37" s="59">
        <f aca="true" t="shared" si="14" ref="R37:R42">N37-L37</f>
        <v>341.5340000000001</v>
      </c>
      <c r="S37" s="46"/>
      <c r="T37" s="64">
        <f aca="true" t="shared" si="15" ref="T37:T42">R37/L37</f>
        <v>0.13449630194554313</v>
      </c>
      <c r="U37" s="62"/>
      <c r="V37" s="65">
        <f aca="true" t="shared" si="16" ref="V37:V42">(R37/$J37)*100</f>
        <v>2.2445783793242815</v>
      </c>
      <c r="W37" s="46"/>
      <c r="X37" s="46"/>
      <c r="Y37" s="46">
        <f>MAX(Y$9:Y36)+1</f>
        <v>23</v>
      </c>
      <c r="Z37" s="46" t="s">
        <v>64</v>
      </c>
      <c r="AA37" s="46"/>
      <c r="AB37" s="46"/>
      <c r="AC37" s="66">
        <f aca="true" t="shared" si="17" ref="AC37:AC44">$R$50*(J37/$J$50)</f>
        <v>139.0614781476859</v>
      </c>
      <c r="AD37" s="46"/>
      <c r="AE37" s="67">
        <f t="shared" si="0"/>
        <v>0.05476249671758801</v>
      </c>
      <c r="AF37" s="46"/>
      <c r="AG37" s="59">
        <f t="shared" si="1"/>
        <v>240.297739073843</v>
      </c>
      <c r="AH37" s="59"/>
      <c r="AI37" s="67">
        <f t="shared" si="2"/>
        <v>0.09462939933156556</v>
      </c>
      <c r="AJ37" s="67">
        <f aca="true" t="shared" si="18" ref="AJ37:AJ45">AI37/$AI$49</f>
        <v>0.5270823501755264</v>
      </c>
      <c r="AK37" s="46">
        <f t="shared" si="3"/>
        <v>0.015792486537962704</v>
      </c>
      <c r="AL37" s="67">
        <f aca="true" t="shared" si="19" ref="AL37:AL45">AK37/$AK$49</f>
        <v>1.8904233255445122</v>
      </c>
    </row>
    <row r="38" spans="1:38" ht="15.75">
      <c r="A38" s="46">
        <f>MAX(A$9:A37)+1</f>
        <v>24</v>
      </c>
      <c r="B38" s="46"/>
      <c r="C38" s="46" t="s">
        <v>65</v>
      </c>
      <c r="D38" s="46"/>
      <c r="E38" s="46">
        <v>11</v>
      </c>
      <c r="F38" s="46">
        <v>11</v>
      </c>
      <c r="G38" s="46"/>
      <c r="H38" s="61">
        <v>2463</v>
      </c>
      <c r="I38" s="46"/>
      <c r="J38" s="61">
        <v>24530.695170000003</v>
      </c>
      <c r="K38" s="46"/>
      <c r="L38" s="59">
        <v>4518.093161072296</v>
      </c>
      <c r="M38" s="46"/>
      <c r="N38" s="59">
        <v>5127.293161072296</v>
      </c>
      <c r="O38" s="62"/>
      <c r="P38" s="63">
        <f t="shared" si="13"/>
        <v>20.901540398833692</v>
      </c>
      <c r="Q38" s="46"/>
      <c r="R38" s="59">
        <f t="shared" si="14"/>
        <v>609.1999999999998</v>
      </c>
      <c r="S38" s="46"/>
      <c r="T38" s="64">
        <f t="shared" si="15"/>
        <v>0.13483564377309476</v>
      </c>
      <c r="U38" s="62"/>
      <c r="V38" s="65">
        <f t="shared" si="16"/>
        <v>2.4834192254976353</v>
      </c>
      <c r="W38" s="46"/>
      <c r="X38" s="46"/>
      <c r="Y38" s="46">
        <f>MAX(Y$9:Y37)+1</f>
        <v>24</v>
      </c>
      <c r="Z38" s="46" t="s">
        <v>65</v>
      </c>
      <c r="AA38" s="46"/>
      <c r="AB38" s="46"/>
      <c r="AC38" s="66">
        <f t="shared" si="17"/>
        <v>224.19066639441772</v>
      </c>
      <c r="AD38" s="46"/>
      <c r="AE38" s="67">
        <f t="shared" si="0"/>
        <v>0.04962063826528307</v>
      </c>
      <c r="AF38" s="46"/>
      <c r="AG38" s="59">
        <f t="shared" si="1"/>
        <v>416.69533319720875</v>
      </c>
      <c r="AH38" s="59"/>
      <c r="AI38" s="67">
        <f t="shared" si="2"/>
        <v>0.09222814101918891</v>
      </c>
      <c r="AJ38" s="67">
        <f t="shared" si="18"/>
        <v>0.5137074277560008</v>
      </c>
      <c r="AK38" s="46">
        <f t="shared" si="3"/>
        <v>0.01698669076882947</v>
      </c>
      <c r="AL38" s="67">
        <f t="shared" si="19"/>
        <v>2.0333743122727688</v>
      </c>
    </row>
    <row r="39" spans="1:38" ht="15.75">
      <c r="A39" s="46">
        <f>MAX(A$9:A38)+1</f>
        <v>25</v>
      </c>
      <c r="B39" s="46"/>
      <c r="C39" s="46" t="s">
        <v>66</v>
      </c>
      <c r="D39" s="46"/>
      <c r="E39" s="46">
        <v>12</v>
      </c>
      <c r="F39" s="46">
        <v>12</v>
      </c>
      <c r="G39" s="46"/>
      <c r="H39" s="61">
        <v>1680</v>
      </c>
      <c r="I39" s="46"/>
      <c r="J39" s="61">
        <v>23181.86581</v>
      </c>
      <c r="K39" s="46"/>
      <c r="L39" s="59">
        <v>1891.5426217818804</v>
      </c>
      <c r="M39" s="46"/>
      <c r="N39" s="59">
        <v>2146.17562178188</v>
      </c>
      <c r="O39" s="62"/>
      <c r="P39" s="63">
        <f t="shared" si="13"/>
        <v>9.257993465116519</v>
      </c>
      <c r="Q39" s="46"/>
      <c r="R39" s="59">
        <f t="shared" si="14"/>
        <v>254.6329999999998</v>
      </c>
      <c r="S39" s="46"/>
      <c r="T39" s="64">
        <f t="shared" si="15"/>
        <v>0.1346165807039173</v>
      </c>
      <c r="U39" s="62"/>
      <c r="V39" s="65">
        <f t="shared" si="16"/>
        <v>1.0984146059984454</v>
      </c>
      <c r="W39" s="46"/>
      <c r="X39" s="46"/>
      <c r="Y39" s="46">
        <f>MAX(Y$9:Y38)+1</f>
        <v>25</v>
      </c>
      <c r="Z39" s="46" t="s">
        <v>66</v>
      </c>
      <c r="AA39" s="46"/>
      <c r="AB39" s="46"/>
      <c r="AC39" s="66">
        <f t="shared" si="17"/>
        <v>211.86345956333804</v>
      </c>
      <c r="AD39" s="46"/>
      <c r="AE39" s="67">
        <f t="shared" si="0"/>
        <v>0.11200564931693549</v>
      </c>
      <c r="AF39" s="46"/>
      <c r="AG39" s="59">
        <f t="shared" si="1"/>
        <v>233.24822978166893</v>
      </c>
      <c r="AH39" s="59"/>
      <c r="AI39" s="67">
        <f t="shared" si="2"/>
        <v>0.1233111150104264</v>
      </c>
      <c r="AJ39" s="67">
        <f t="shared" si="18"/>
        <v>0.6868384747400562</v>
      </c>
      <c r="AK39" s="46">
        <f t="shared" si="3"/>
        <v>0.010061667671333523</v>
      </c>
      <c r="AL39" s="67">
        <f t="shared" si="19"/>
        <v>1.2044215592043044</v>
      </c>
    </row>
    <row r="40" spans="1:38" ht="15.75">
      <c r="A40" s="46">
        <f>MAX(A$9:A39)+1</f>
        <v>26</v>
      </c>
      <c r="B40" s="46"/>
      <c r="C40" s="46" t="s">
        <v>67</v>
      </c>
      <c r="D40" s="46"/>
      <c r="E40" s="46">
        <v>12</v>
      </c>
      <c r="F40" s="46">
        <v>12</v>
      </c>
      <c r="G40" s="46"/>
      <c r="H40" s="61">
        <v>1857.5</v>
      </c>
      <c r="I40" s="46"/>
      <c r="J40" s="61">
        <v>12896.87348</v>
      </c>
      <c r="K40" s="46"/>
      <c r="L40" s="59">
        <v>699.6486752031637</v>
      </c>
      <c r="M40" s="46"/>
      <c r="N40" s="59">
        <v>825.2756752031638</v>
      </c>
      <c r="O40" s="62"/>
      <c r="P40" s="63">
        <f t="shared" si="13"/>
        <v>6.3990367625376114</v>
      </c>
      <c r="Q40" s="46"/>
      <c r="R40" s="59">
        <f t="shared" si="14"/>
        <v>125.62700000000007</v>
      </c>
      <c r="S40" s="46"/>
      <c r="T40" s="64">
        <f t="shared" si="15"/>
        <v>0.17955726131192992</v>
      </c>
      <c r="U40" s="62"/>
      <c r="V40" s="65">
        <f t="shared" si="16"/>
        <v>0.9740887990784575</v>
      </c>
      <c r="W40" s="46"/>
      <c r="X40" s="46"/>
      <c r="Y40" s="46">
        <f>MAX(Y$9:Y39)+1</f>
        <v>26</v>
      </c>
      <c r="Z40" s="46" t="s">
        <v>67</v>
      </c>
      <c r="AA40" s="46"/>
      <c r="AB40" s="46"/>
      <c r="AC40" s="66">
        <f t="shared" si="17"/>
        <v>117.86696788852939</v>
      </c>
      <c r="AD40" s="46"/>
      <c r="AE40" s="67">
        <f t="shared" si="0"/>
        <v>0.16846593449820113</v>
      </c>
      <c r="AF40" s="46"/>
      <c r="AG40" s="59">
        <f t="shared" si="1"/>
        <v>121.74698394426473</v>
      </c>
      <c r="AH40" s="59"/>
      <c r="AI40" s="67">
        <f t="shared" si="2"/>
        <v>0.17401159790506554</v>
      </c>
      <c r="AJ40" s="67">
        <f t="shared" si="18"/>
        <v>0.969238340615844</v>
      </c>
      <c r="AK40" s="46">
        <f t="shared" si="3"/>
        <v>0.009440038636733586</v>
      </c>
      <c r="AL40" s="67">
        <f t="shared" si="19"/>
        <v>1.1300100962583914</v>
      </c>
    </row>
    <row r="41" spans="1:38" ht="15.75">
      <c r="A41" s="46">
        <f>MAX(A$9:A40)+1</f>
        <v>27</v>
      </c>
      <c r="B41" s="46"/>
      <c r="C41" s="46" t="s">
        <v>68</v>
      </c>
      <c r="D41" s="46"/>
      <c r="E41" s="46">
        <v>12</v>
      </c>
      <c r="F41" s="46">
        <v>12</v>
      </c>
      <c r="G41" s="46"/>
      <c r="H41" s="61">
        <v>248</v>
      </c>
      <c r="I41" s="46"/>
      <c r="J41" s="61">
        <v>7312.66681</v>
      </c>
      <c r="K41" s="46"/>
      <c r="L41" s="59">
        <v>575.879739226166</v>
      </c>
      <c r="M41" s="46"/>
      <c r="N41" s="59">
        <v>653.431739226166</v>
      </c>
      <c r="O41" s="62"/>
      <c r="P41" s="63">
        <f t="shared" si="13"/>
        <v>8.935614820199444</v>
      </c>
      <c r="Q41" s="46"/>
      <c r="R41" s="59">
        <f t="shared" si="14"/>
        <v>77.55200000000002</v>
      </c>
      <c r="S41" s="46"/>
      <c r="T41" s="64">
        <f t="shared" si="15"/>
        <v>0.1346670054831412</v>
      </c>
      <c r="U41" s="62"/>
      <c r="V41" s="65">
        <f t="shared" si="16"/>
        <v>1.0605159788484884</v>
      </c>
      <c r="W41" s="46"/>
      <c r="X41" s="46"/>
      <c r="Y41" s="46">
        <f>MAX(Y$9:Y40)+1</f>
        <v>27</v>
      </c>
      <c r="Z41" s="46" t="s">
        <v>68</v>
      </c>
      <c r="AA41" s="46"/>
      <c r="AB41" s="46"/>
      <c r="AC41" s="66">
        <f t="shared" si="17"/>
        <v>66.83184613778072</v>
      </c>
      <c r="AD41" s="46"/>
      <c r="AE41" s="67">
        <f t="shared" si="0"/>
        <v>0.11605174064221378</v>
      </c>
      <c r="AF41" s="46"/>
      <c r="AG41" s="59">
        <f t="shared" si="1"/>
        <v>72.19192306889036</v>
      </c>
      <c r="AH41" s="59"/>
      <c r="AI41" s="67">
        <f t="shared" si="2"/>
        <v>0.12535937306267747</v>
      </c>
      <c r="AJ41" s="67">
        <f t="shared" si="18"/>
        <v>0.698247198409153</v>
      </c>
      <c r="AK41" s="46">
        <f t="shared" si="3"/>
        <v>0.009872174535583738</v>
      </c>
      <c r="AL41" s="67">
        <f t="shared" si="19"/>
        <v>1.1817384786779506</v>
      </c>
    </row>
    <row r="42" spans="1:38" ht="15.75">
      <c r="A42" s="46">
        <f>MAX(A$9:A41)+1</f>
        <v>28</v>
      </c>
      <c r="B42" s="46"/>
      <c r="C42" s="46" t="s">
        <v>69</v>
      </c>
      <c r="D42" s="46"/>
      <c r="E42" s="78">
        <v>13</v>
      </c>
      <c r="F42" s="78">
        <v>13</v>
      </c>
      <c r="G42" s="46"/>
      <c r="H42" s="74">
        <v>22</v>
      </c>
      <c r="I42" s="46"/>
      <c r="J42" s="74">
        <v>3301.51336</v>
      </c>
      <c r="K42" s="46"/>
      <c r="L42" s="69">
        <v>145.16323743969917</v>
      </c>
      <c r="M42" s="46"/>
      <c r="N42" s="69">
        <v>164.36623743969918</v>
      </c>
      <c r="O42" s="62"/>
      <c r="P42" s="63">
        <f t="shared" si="13"/>
        <v>4.978511958518901</v>
      </c>
      <c r="Q42" s="46"/>
      <c r="R42" s="69">
        <f t="shared" si="14"/>
        <v>19.203000000000003</v>
      </c>
      <c r="S42" s="46"/>
      <c r="T42" s="71">
        <f t="shared" si="15"/>
        <v>0.1322855589244965</v>
      </c>
      <c r="U42" s="62"/>
      <c r="V42" s="72">
        <f t="shared" si="16"/>
        <v>0.5816423532509953</v>
      </c>
      <c r="W42" s="46"/>
      <c r="X42" s="46"/>
      <c r="Y42" s="46">
        <f>MAX(Y$9:Y41)+1</f>
        <v>28</v>
      </c>
      <c r="Z42" s="46" t="s">
        <v>69</v>
      </c>
      <c r="AA42" s="46"/>
      <c r="AB42" s="46"/>
      <c r="AC42" s="66">
        <f t="shared" si="17"/>
        <v>30.1731555163454</v>
      </c>
      <c r="AD42" s="46"/>
      <c r="AE42" s="67">
        <f t="shared" si="0"/>
        <v>0.20785672769856303</v>
      </c>
      <c r="AF42" s="46"/>
      <c r="AG42" s="59">
        <f t="shared" si="1"/>
        <v>24.688077758172703</v>
      </c>
      <c r="AH42" s="59"/>
      <c r="AI42" s="67">
        <f t="shared" si="2"/>
        <v>0.17007114331152978</v>
      </c>
      <c r="AJ42" s="67">
        <f t="shared" si="18"/>
        <v>0.947290150279736</v>
      </c>
      <c r="AK42" s="46">
        <f t="shared" si="3"/>
        <v>0.007477806407596274</v>
      </c>
      <c r="AL42" s="67">
        <f t="shared" si="19"/>
        <v>0.8951231095144464</v>
      </c>
    </row>
    <row r="43" spans="1:38" ht="15.75">
      <c r="A43" s="46">
        <f>MAX(A$9:A42)+1</f>
        <v>29</v>
      </c>
      <c r="B43" s="46"/>
      <c r="C43" s="58" t="s">
        <v>70</v>
      </c>
      <c r="D43" s="46"/>
      <c r="E43" s="46"/>
      <c r="F43" s="46"/>
      <c r="G43" s="46"/>
      <c r="H43" s="61">
        <f>SUM(H37:H42)</f>
        <v>17264.5</v>
      </c>
      <c r="I43" s="46"/>
      <c r="J43" s="61">
        <f>SUM(J37:J42)</f>
        <v>86439.56801999999</v>
      </c>
      <c r="K43" s="46"/>
      <c r="L43" s="59">
        <f>SUM(L37:L42)</f>
        <v>10369.683499236306</v>
      </c>
      <c r="M43" s="59"/>
      <c r="N43" s="59">
        <f>SUM(N37:N42)</f>
        <v>11797.432499236305</v>
      </c>
      <c r="O43" s="62"/>
      <c r="P43" s="63">
        <f>(N43/$J43)*100</f>
        <v>13.648185396422468</v>
      </c>
      <c r="Q43" s="46"/>
      <c r="R43" s="59">
        <f>SUM(R37:R42)</f>
        <v>1427.7489999999998</v>
      </c>
      <c r="S43" s="46"/>
      <c r="T43" s="64">
        <f>R43/L43</f>
        <v>0.13768491585159268</v>
      </c>
      <c r="U43" s="62"/>
      <c r="V43" s="65">
        <f>(R43/$J43)*100</f>
        <v>1.6517308365882322</v>
      </c>
      <c r="W43" s="46"/>
      <c r="X43" s="46"/>
      <c r="Y43" s="46">
        <f>MAX(Y$9:Y42)+1</f>
        <v>29</v>
      </c>
      <c r="Z43" s="58" t="s">
        <v>70</v>
      </c>
      <c r="AA43" s="46"/>
      <c r="AB43" s="46"/>
      <c r="AC43" s="66">
        <f t="shared" si="17"/>
        <v>789.987573648097</v>
      </c>
      <c r="AD43" s="46"/>
      <c r="AE43" s="67">
        <f t="shared" si="0"/>
        <v>0.07618241903972066</v>
      </c>
      <c r="AF43" s="46"/>
      <c r="AG43" s="59">
        <f t="shared" si="1"/>
        <v>1108.8682868240485</v>
      </c>
      <c r="AH43" s="59"/>
      <c r="AI43" s="67">
        <f t="shared" si="2"/>
        <v>0.10693366744565667</v>
      </c>
      <c r="AJ43" s="67">
        <f t="shared" si="18"/>
        <v>0.5956166809498487</v>
      </c>
      <c r="AK43" s="46">
        <f t="shared" si="3"/>
        <v>0.012828248824282459</v>
      </c>
      <c r="AL43" s="67">
        <f t="shared" si="19"/>
        <v>1.5355923049240718</v>
      </c>
    </row>
    <row r="44" spans="1:38" ht="15.75">
      <c r="A44" s="46">
        <f>MAX(A$9:A43)+1</f>
        <v>30</v>
      </c>
      <c r="B44" s="46"/>
      <c r="C44" s="46" t="s">
        <v>71</v>
      </c>
      <c r="D44" s="46"/>
      <c r="E44" s="73" t="s">
        <v>37</v>
      </c>
      <c r="F44" s="73" t="s">
        <v>37</v>
      </c>
      <c r="G44" s="46"/>
      <c r="H44" s="61">
        <v>97</v>
      </c>
      <c r="I44" s="46"/>
      <c r="J44" s="61">
        <v>422.34238999999997</v>
      </c>
      <c r="K44" s="46"/>
      <c r="L44" s="59">
        <v>41.73057652488305</v>
      </c>
      <c r="M44" s="46"/>
      <c r="N44" s="59">
        <v>41.73057652488305</v>
      </c>
      <c r="O44" s="62"/>
      <c r="P44" s="63">
        <f>(N44/$J44)*100</f>
        <v>9.880745459834865</v>
      </c>
      <c r="Q44" s="46"/>
      <c r="R44" s="59">
        <f>N44-L44</f>
        <v>0</v>
      </c>
      <c r="S44" s="46"/>
      <c r="T44" s="64">
        <f>R44/L44</f>
        <v>0</v>
      </c>
      <c r="U44" s="62"/>
      <c r="V44" s="65">
        <f>(R44/$J44)*100</f>
        <v>0</v>
      </c>
      <c r="W44" s="46"/>
      <c r="X44" s="46"/>
      <c r="Y44" s="46">
        <f>MAX(Y$9:Y43)+1</f>
        <v>30</v>
      </c>
      <c r="Z44" s="46" t="s">
        <v>71</v>
      </c>
      <c r="AA44" s="46"/>
      <c r="AB44" s="46"/>
      <c r="AC44" s="66">
        <f t="shared" si="17"/>
        <v>3.8598670443105525</v>
      </c>
      <c r="AD44" s="46"/>
      <c r="AE44" s="67">
        <f t="shared" si="0"/>
        <v>0.0924949369441133</v>
      </c>
      <c r="AF44" s="46"/>
      <c r="AG44" s="59">
        <f t="shared" si="1"/>
        <v>1.9299335221552762</v>
      </c>
      <c r="AH44" s="59"/>
      <c r="AI44" s="67">
        <f t="shared" si="2"/>
        <v>0.04624746847205665</v>
      </c>
      <c r="AJ44" s="67">
        <f t="shared" si="18"/>
        <v>0.25759673573019287</v>
      </c>
      <c r="AK44" s="46">
        <f t="shared" si="3"/>
        <v>0.0045695946413412975</v>
      </c>
      <c r="AL44" s="67">
        <f t="shared" si="19"/>
        <v>0.5469986171911086</v>
      </c>
    </row>
    <row r="45" spans="1:38" ht="15.75">
      <c r="A45" s="46">
        <f>MAX(A$9:A44)+1</f>
        <v>31</v>
      </c>
      <c r="B45" s="46"/>
      <c r="C45" s="46" t="s">
        <v>72</v>
      </c>
      <c r="D45" s="46"/>
      <c r="E45" s="73" t="s">
        <v>37</v>
      </c>
      <c r="F45" s="73" t="s">
        <v>37</v>
      </c>
      <c r="G45" s="46"/>
      <c r="H45" s="61">
        <v>2</v>
      </c>
      <c r="I45" s="46"/>
      <c r="J45" s="61">
        <v>34.4266</v>
      </c>
      <c r="K45" s="46"/>
      <c r="L45" s="59">
        <v>2.230924238810332</v>
      </c>
      <c r="M45" s="46"/>
      <c r="N45" s="59">
        <v>2.230924238810332</v>
      </c>
      <c r="O45" s="62"/>
      <c r="P45" s="63">
        <f>(N45/$J45)*100</f>
        <v>6.480234001645041</v>
      </c>
      <c r="Q45" s="46"/>
      <c r="R45" s="59">
        <f>N45-L45</f>
        <v>0</v>
      </c>
      <c r="S45" s="46"/>
      <c r="T45" s="64">
        <f>R45/L45</f>
        <v>0</v>
      </c>
      <c r="U45" s="62"/>
      <c r="V45" s="65">
        <f>(R45/$J45)*100</f>
        <v>0</v>
      </c>
      <c r="W45" s="46"/>
      <c r="X45" s="46"/>
      <c r="Y45" s="46">
        <f>MAX(Y$9:Y44)+1</f>
        <v>31</v>
      </c>
      <c r="Z45" s="46" t="s">
        <v>72</v>
      </c>
      <c r="AA45" s="46"/>
      <c r="AB45" s="46"/>
      <c r="AC45" s="66"/>
      <c r="AD45" s="46"/>
      <c r="AE45" s="67">
        <f t="shared" si="0"/>
        <v>0</v>
      </c>
      <c r="AF45" s="46"/>
      <c r="AG45" s="59">
        <f t="shared" si="1"/>
        <v>0</v>
      </c>
      <c r="AH45" s="59"/>
      <c r="AI45" s="67">
        <f t="shared" si="2"/>
        <v>0</v>
      </c>
      <c r="AJ45" s="67">
        <f t="shared" si="18"/>
        <v>0</v>
      </c>
      <c r="AK45" s="46">
        <f t="shared" si="3"/>
        <v>0</v>
      </c>
      <c r="AL45" s="67">
        <f t="shared" si="19"/>
        <v>0</v>
      </c>
    </row>
    <row r="46" spans="1:38" ht="15.75">
      <c r="A46" s="46">
        <f>MAX(A$9:A45)+1</f>
        <v>32</v>
      </c>
      <c r="B46" s="46"/>
      <c r="C46" s="46" t="s">
        <v>36</v>
      </c>
      <c r="D46" s="46"/>
      <c r="E46" s="68" t="s">
        <v>37</v>
      </c>
      <c r="F46" s="68" t="s">
        <v>37</v>
      </c>
      <c r="G46" s="46"/>
      <c r="H46" s="79" t="s">
        <v>37</v>
      </c>
      <c r="I46" s="73"/>
      <c r="J46" s="79" t="s">
        <v>37</v>
      </c>
      <c r="K46" s="46"/>
      <c r="L46" s="69">
        <v>3.5549600000000066</v>
      </c>
      <c r="M46" s="80"/>
      <c r="N46" s="69">
        <v>3.5549600000000066</v>
      </c>
      <c r="O46" s="70"/>
      <c r="P46" s="63">
        <v>0</v>
      </c>
      <c r="Q46" s="46"/>
      <c r="R46" s="69">
        <f>N46-L46</f>
        <v>0</v>
      </c>
      <c r="S46" s="46"/>
      <c r="T46" s="71">
        <f>R46/L46</f>
        <v>0</v>
      </c>
      <c r="U46" s="70"/>
      <c r="V46" s="72">
        <v>0</v>
      </c>
      <c r="W46" s="46"/>
      <c r="X46" s="46"/>
      <c r="Y46" s="46">
        <f>MAX(Y$9:Y45)+1</f>
        <v>32</v>
      </c>
      <c r="Z46" s="46" t="s">
        <v>36</v>
      </c>
      <c r="AA46" s="46"/>
      <c r="AB46" s="46"/>
      <c r="AC46" s="66"/>
      <c r="AD46" s="46"/>
      <c r="AE46" s="67"/>
      <c r="AF46" s="46"/>
      <c r="AG46" s="59"/>
      <c r="AH46" s="59"/>
      <c r="AI46" s="67">
        <f t="shared" si="2"/>
        <v>0</v>
      </c>
      <c r="AJ46" s="67"/>
      <c r="AK46" s="46"/>
      <c r="AL46" s="67"/>
    </row>
    <row r="47" spans="1:38" ht="15.75">
      <c r="A47" s="46">
        <f>MAX(A$9:A46)+1</f>
        <v>33</v>
      </c>
      <c r="B47" s="46"/>
      <c r="C47" s="58" t="s">
        <v>73</v>
      </c>
      <c r="D47" s="46"/>
      <c r="E47" s="81"/>
      <c r="F47" s="81"/>
      <c r="G47" s="46"/>
      <c r="H47" s="74">
        <f>SUM(H44:H46)+H43</f>
        <v>17363.5</v>
      </c>
      <c r="I47" s="46"/>
      <c r="J47" s="74">
        <f>SUM(J44:J46)+J43</f>
        <v>86896.33700999999</v>
      </c>
      <c r="K47" s="46"/>
      <c r="L47" s="69">
        <f>SUM(L44:L46)+L43</f>
        <v>10417.199959999998</v>
      </c>
      <c r="M47" s="46"/>
      <c r="N47" s="69">
        <f>SUM(N44:N46)+N43</f>
        <v>11844.948959999998</v>
      </c>
      <c r="O47" s="70"/>
      <c r="P47" s="63">
        <f>(N47/$J47)*100</f>
        <v>13.631125738518628</v>
      </c>
      <c r="Q47" s="46"/>
      <c r="R47" s="69">
        <f>SUM(R44:R46)+R43</f>
        <v>1427.7489999999998</v>
      </c>
      <c r="S47" s="46"/>
      <c r="T47" s="71">
        <f>R47/L47</f>
        <v>0.13705688721367312</v>
      </c>
      <c r="U47" s="70"/>
      <c r="V47" s="72">
        <f>(R47/$J47)*100</f>
        <v>1.6430485439630156</v>
      </c>
      <c r="W47" s="46"/>
      <c r="X47" s="46"/>
      <c r="Y47" s="46">
        <f>MAX(Y$9:Y46)+1</f>
        <v>33</v>
      </c>
      <c r="Z47" s="58" t="s">
        <v>73</v>
      </c>
      <c r="AA47" s="46"/>
      <c r="AB47" s="46"/>
      <c r="AC47" s="66">
        <f>$R$50*(J47/$J$50)</f>
        <v>794.1620719061667</v>
      </c>
      <c r="AD47" s="46"/>
      <c r="AE47" s="67">
        <f t="shared" si="0"/>
        <v>0.07623565593015331</v>
      </c>
      <c r="AF47" s="46"/>
      <c r="AG47" s="59">
        <f t="shared" si="1"/>
        <v>1110.9555359530832</v>
      </c>
      <c r="AH47" s="59"/>
      <c r="AI47" s="67">
        <f t="shared" si="2"/>
        <v>0.10664627157191321</v>
      </c>
      <c r="AJ47" s="67">
        <f>AI47/$AI$49</f>
        <v>0.594015896271583</v>
      </c>
      <c r="AK47" s="46">
        <f t="shared" si="3"/>
        <v>0.012784837361156374</v>
      </c>
      <c r="AL47" s="67">
        <f>AK47/$AK$49</f>
        <v>1.5303957804697186</v>
      </c>
    </row>
    <row r="48" spans="1:38" ht="15.75">
      <c r="A48" s="46"/>
      <c r="B48" s="46"/>
      <c r="C48" s="46" t="s">
        <v>74</v>
      </c>
      <c r="D48" s="46"/>
      <c r="E48" s="81"/>
      <c r="F48" s="81"/>
      <c r="G48" s="46"/>
      <c r="H48" s="82"/>
      <c r="I48" s="46"/>
      <c r="J48" s="82"/>
      <c r="K48" s="46"/>
      <c r="L48" s="83"/>
      <c r="M48" s="46"/>
      <c r="N48" s="83"/>
      <c r="O48" s="70"/>
      <c r="P48" s="63"/>
      <c r="Q48" s="46"/>
      <c r="R48" s="83"/>
      <c r="S48" s="46"/>
      <c r="T48" s="84"/>
      <c r="U48" s="70"/>
      <c r="V48" s="85"/>
      <c r="W48" s="46"/>
      <c r="X48" s="46"/>
      <c r="Y48" s="46"/>
      <c r="Z48" s="46" t="s">
        <v>74</v>
      </c>
      <c r="AA48" s="46"/>
      <c r="AB48" s="46"/>
      <c r="AC48" s="66"/>
      <c r="AD48" s="46"/>
      <c r="AE48" s="67"/>
      <c r="AF48" s="46"/>
      <c r="AG48" s="59"/>
      <c r="AH48" s="59"/>
      <c r="AI48" s="67"/>
      <c r="AJ48" s="67"/>
      <c r="AK48" s="46"/>
      <c r="AL48" s="67"/>
    </row>
    <row r="49" spans="1:38" ht="16.5" thickBot="1">
      <c r="A49" s="46">
        <f>MAX(A$9:A48)+1</f>
        <v>34</v>
      </c>
      <c r="B49" s="46"/>
      <c r="C49" s="58" t="s">
        <v>75</v>
      </c>
      <c r="D49" s="46"/>
      <c r="E49" s="81"/>
      <c r="F49" s="81"/>
      <c r="G49" s="46"/>
      <c r="H49" s="86">
        <f>H47+H33+H14</f>
        <v>665867.2499999999</v>
      </c>
      <c r="I49" s="46"/>
      <c r="J49" s="86">
        <f>J47+J33+J14</f>
        <v>18765684.984066226</v>
      </c>
      <c r="K49" s="46"/>
      <c r="L49" s="87">
        <f>L47+L33+L14</f>
        <v>873189.0079629706</v>
      </c>
      <c r="M49" s="46"/>
      <c r="N49" s="87">
        <f>N47+N33+N14</f>
        <v>1015220.7432279577</v>
      </c>
      <c r="O49" s="70"/>
      <c r="P49" s="63">
        <f>(N49/$J49)*100</f>
        <v>5.409985002359213</v>
      </c>
      <c r="Q49" s="46"/>
      <c r="R49" s="87">
        <f>R47+R33+R14</f>
        <v>142031.735264987</v>
      </c>
      <c r="S49" s="46"/>
      <c r="T49" s="88">
        <f>R49/L49</f>
        <v>0.16265863858768378</v>
      </c>
      <c r="U49" s="70"/>
      <c r="V49" s="89">
        <f>(R49/$J49)*100</f>
        <v>0.7568694422057327</v>
      </c>
      <c r="W49" s="46"/>
      <c r="X49" s="46"/>
      <c r="Y49" s="46">
        <f>MAX(Y$9:Y48)+1</f>
        <v>34</v>
      </c>
      <c r="Z49" s="58" t="s">
        <v>75</v>
      </c>
      <c r="AA49" s="46"/>
      <c r="AB49" s="46"/>
      <c r="AC49" s="66">
        <f>$R$50*(J49/$J$50)</f>
        <v>171503.14708857573</v>
      </c>
      <c r="AD49" s="46"/>
      <c r="AE49" s="67">
        <f t="shared" si="0"/>
        <v>0.19641010769096703</v>
      </c>
      <c r="AF49" s="46"/>
      <c r="AG49" s="59">
        <f t="shared" si="1"/>
        <v>156767.44117678137</v>
      </c>
      <c r="AH49" s="59"/>
      <c r="AI49" s="67">
        <f t="shared" si="2"/>
        <v>0.17953437313932544</v>
      </c>
      <c r="AJ49" s="67">
        <f>AI49/$AI$49</f>
        <v>1</v>
      </c>
      <c r="AK49" s="46">
        <f t="shared" si="3"/>
        <v>0.008353941852369961</v>
      </c>
      <c r="AL49" s="67">
        <f>AK49/$AK$49</f>
        <v>1</v>
      </c>
    </row>
    <row r="50" spans="1:37" ht="17.25" thickBot="1" thickTop="1">
      <c r="A50" s="46">
        <f>MAX(A$9:A49)+1</f>
        <v>35</v>
      </c>
      <c r="B50" s="46"/>
      <c r="C50" s="58" t="s">
        <v>75</v>
      </c>
      <c r="D50" s="46"/>
      <c r="E50" s="46" t="s">
        <v>62</v>
      </c>
      <c r="F50" s="81"/>
      <c r="G50" s="46"/>
      <c r="H50" s="86">
        <f>H43+H34+H14</f>
        <v>665760.7499999999</v>
      </c>
      <c r="I50" s="46"/>
      <c r="J50" s="86">
        <f>J43+J34+J14</f>
        <v>15540955.644076223</v>
      </c>
      <c r="K50" s="46"/>
      <c r="L50" s="87">
        <f>L43+L34+L14-L13</f>
        <v>791655.726027013</v>
      </c>
      <c r="M50" s="46"/>
      <c r="N50" s="87">
        <f>N43+N34+N14-N13</f>
        <v>933687.461292</v>
      </c>
      <c r="O50" s="70"/>
      <c r="P50" s="63">
        <f>(N50/$J50)*100</f>
        <v>6.007915360390952</v>
      </c>
      <c r="Q50" s="46"/>
      <c r="R50" s="87">
        <f>R43+R34+R14</f>
        <v>142031.735264987</v>
      </c>
      <c r="S50" s="46"/>
      <c r="T50" s="88">
        <f>R50/L50</f>
        <v>0.1794109871190909</v>
      </c>
      <c r="U50" s="70"/>
      <c r="V50" s="89">
        <f>(R50/$J50)*100</f>
        <v>0.9139189282682595</v>
      </c>
      <c r="W50" s="46"/>
      <c r="X50" s="46"/>
      <c r="Y50" s="46">
        <f>MAX(Y$9:Y49)+1</f>
        <v>35</v>
      </c>
      <c r="Z50" s="58" t="s">
        <v>186</v>
      </c>
      <c r="AA50" s="81"/>
      <c r="AB50" s="66">
        <f>$R$50*(J50/$J$50)</f>
        <v>142031.735264987</v>
      </c>
      <c r="AC50" s="46"/>
      <c r="AD50" s="46"/>
      <c r="AE50" s="46"/>
      <c r="AF50" s="59"/>
      <c r="AG50" s="59"/>
      <c r="AH50" s="46"/>
      <c r="AI50" s="67"/>
      <c r="AJ50" s="46"/>
      <c r="AK50" s="46"/>
    </row>
    <row r="51" spans="1:38" ht="16.5" thickTop="1">
      <c r="A51" s="46"/>
      <c r="B51" s="46"/>
      <c r="C51" s="90" t="s">
        <v>181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51"/>
      <c r="W51" s="46"/>
      <c r="X51" s="46"/>
      <c r="Y51" s="46"/>
      <c r="Z51" s="90" t="s">
        <v>181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ht="15.75">
      <c r="A52" s="46"/>
      <c r="B52" s="46"/>
      <c r="C52" s="90" t="s">
        <v>182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51"/>
      <c r="W52" s="46"/>
      <c r="X52" s="46"/>
      <c r="Y52" s="46"/>
      <c r="Z52" s="90" t="s">
        <v>182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5.75">
      <c r="A53" s="46"/>
      <c r="B53" s="46"/>
      <c r="C53" s="46" t="s">
        <v>76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 t="s">
        <v>76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</sheetData>
  <mergeCells count="3">
    <mergeCell ref="A1:V1"/>
    <mergeCell ref="AC5:AE5"/>
    <mergeCell ref="AG5:AI5"/>
  </mergeCells>
  <printOptions gridLines="1" horizontalCentered="1"/>
  <pageMargins left="0.51" right="0.5" top="0.75" bottom="0.75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="66" zoomScaleNormal="66" workbookViewId="0" topLeftCell="A1">
      <selection activeCell="F2" sqref="F2"/>
    </sheetView>
  </sheetViews>
  <sheetFormatPr defaultColWidth="9.140625" defaultRowHeight="12.75"/>
  <cols>
    <col min="1" max="1" width="50.140625" style="0" customWidth="1"/>
    <col min="2" max="2" width="13.8515625" style="0" customWidth="1"/>
    <col min="3" max="3" width="12.8515625" style="0" customWidth="1"/>
    <col min="4" max="4" width="13.00390625" style="0" customWidth="1"/>
    <col min="5" max="5" width="14.00390625" style="0" customWidth="1"/>
    <col min="6" max="6" width="14.57421875" style="0" customWidth="1"/>
    <col min="7" max="7" width="12.8515625" style="0" customWidth="1"/>
    <col min="8" max="8" width="55.7109375" style="0" customWidth="1"/>
    <col min="9" max="10" width="9.7109375" style="0" customWidth="1"/>
    <col min="11" max="11" width="10.00390625" style="0" customWidth="1"/>
    <col min="12" max="12" width="9.57421875" style="0" customWidth="1"/>
    <col min="13" max="13" width="11.28125" style="0" customWidth="1"/>
    <col min="15" max="15" width="10.8515625" style="0" customWidth="1"/>
    <col min="16" max="16" width="10.57421875" style="0" customWidth="1"/>
  </cols>
  <sheetData>
    <row r="1" spans="1:16" ht="15">
      <c r="A1" s="1" t="s">
        <v>83</v>
      </c>
      <c r="B1" s="1"/>
      <c r="C1" s="1"/>
      <c r="D1" s="1"/>
      <c r="E1" s="1"/>
      <c r="F1" s="1" t="s">
        <v>189</v>
      </c>
      <c r="G1" s="1"/>
      <c r="H1" s="92" t="s">
        <v>83</v>
      </c>
      <c r="I1" s="1"/>
      <c r="J1" s="1"/>
      <c r="K1" s="1"/>
      <c r="L1" s="1"/>
      <c r="M1" s="1"/>
      <c r="N1" s="1"/>
      <c r="O1" s="92" t="s">
        <v>189</v>
      </c>
      <c r="P1" s="1"/>
    </row>
    <row r="2" spans="1:16" ht="15">
      <c r="A2" s="1"/>
      <c r="B2" s="1"/>
      <c r="C2" s="1"/>
      <c r="D2" s="1"/>
      <c r="E2" s="1"/>
      <c r="F2" s="1" t="s">
        <v>192</v>
      </c>
      <c r="G2" s="1"/>
      <c r="H2" s="92"/>
      <c r="I2" s="1"/>
      <c r="J2" s="1"/>
      <c r="K2" s="1"/>
      <c r="L2" s="1"/>
      <c r="M2" s="1"/>
      <c r="N2" s="1"/>
      <c r="O2" s="1" t="s">
        <v>193</v>
      </c>
      <c r="P2" s="1"/>
    </row>
    <row r="3" spans="1:16" ht="15">
      <c r="A3" s="1" t="s">
        <v>94</v>
      </c>
      <c r="B3" s="1"/>
      <c r="C3" s="1"/>
      <c r="D3" s="1"/>
      <c r="E3" s="1"/>
      <c r="F3" s="1"/>
      <c r="G3" s="1"/>
      <c r="H3" s="92" t="s">
        <v>94</v>
      </c>
      <c r="I3" s="91"/>
      <c r="J3" s="91"/>
      <c r="K3" s="91"/>
      <c r="L3" s="91"/>
      <c r="M3" s="91"/>
      <c r="N3" s="91"/>
      <c r="O3" s="91" t="s">
        <v>190</v>
      </c>
      <c r="P3" s="91"/>
    </row>
    <row r="4" spans="1:16" ht="15">
      <c r="A4" s="42" t="s">
        <v>95</v>
      </c>
      <c r="B4" s="1" t="s">
        <v>84</v>
      </c>
      <c r="C4" s="1" t="s">
        <v>85</v>
      </c>
      <c r="D4" s="1" t="s">
        <v>86</v>
      </c>
      <c r="E4" s="1" t="s">
        <v>87</v>
      </c>
      <c r="F4" s="1" t="s">
        <v>88</v>
      </c>
      <c r="G4" s="1" t="s">
        <v>89</v>
      </c>
      <c r="H4" s="93" t="s">
        <v>95</v>
      </c>
      <c r="I4" s="92" t="s">
        <v>90</v>
      </c>
      <c r="J4" s="92" t="s">
        <v>90</v>
      </c>
      <c r="K4" s="92" t="s">
        <v>91</v>
      </c>
      <c r="L4" s="92" t="s">
        <v>175</v>
      </c>
      <c r="M4" s="92" t="s">
        <v>92</v>
      </c>
      <c r="N4" s="92" t="s">
        <v>93</v>
      </c>
      <c r="O4" s="92" t="s">
        <v>191</v>
      </c>
      <c r="P4" s="92"/>
    </row>
    <row r="5" spans="1:16" ht="15">
      <c r="A5" s="42" t="s">
        <v>96</v>
      </c>
      <c r="B5" s="43">
        <v>11544724</v>
      </c>
      <c r="C5" s="43">
        <v>3775534</v>
      </c>
      <c r="D5" s="43">
        <v>4834636</v>
      </c>
      <c r="E5" s="43">
        <v>20192</v>
      </c>
      <c r="F5" s="43">
        <v>1785492</v>
      </c>
      <c r="G5" s="43">
        <v>111982</v>
      </c>
      <c r="H5" s="93" t="s">
        <v>96</v>
      </c>
      <c r="I5" s="94">
        <v>8259</v>
      </c>
      <c r="J5" s="94">
        <v>2021</v>
      </c>
      <c r="K5" s="94">
        <v>17877</v>
      </c>
      <c r="L5" s="94">
        <v>3149</v>
      </c>
      <c r="M5" s="94">
        <v>828017</v>
      </c>
      <c r="N5" s="94">
        <v>8761</v>
      </c>
      <c r="O5" s="94">
        <v>148804</v>
      </c>
      <c r="P5" s="94">
        <f aca="true" t="shared" si="0" ref="P5:P14">(SUM(C5:O5)-B5)</f>
        <v>0</v>
      </c>
    </row>
    <row r="6" spans="1:16" ht="15">
      <c r="A6" s="42" t="s">
        <v>97</v>
      </c>
      <c r="B6" s="43">
        <v>36701351</v>
      </c>
      <c r="C6" s="43">
        <v>11558767</v>
      </c>
      <c r="D6" s="43">
        <v>15184184</v>
      </c>
      <c r="E6" s="43">
        <v>148808</v>
      </c>
      <c r="F6" s="43">
        <v>6398797</v>
      </c>
      <c r="G6" s="43">
        <v>418351</v>
      </c>
      <c r="H6" s="93" t="s">
        <v>97</v>
      </c>
      <c r="I6" s="94">
        <v>30282</v>
      </c>
      <c r="J6" s="94">
        <v>17170</v>
      </c>
      <c r="K6" s="94">
        <v>51157</v>
      </c>
      <c r="L6" s="94">
        <v>10330</v>
      </c>
      <c r="M6" s="94">
        <v>2300897</v>
      </c>
      <c r="N6" s="94">
        <v>27139</v>
      </c>
      <c r="O6" s="94">
        <v>555467</v>
      </c>
      <c r="P6" s="94">
        <f t="shared" si="0"/>
        <v>-2</v>
      </c>
    </row>
    <row r="7" spans="1:16" ht="15">
      <c r="A7" s="42"/>
      <c r="B7" s="43">
        <f>SUM(B5:B6)</f>
        <v>48246075</v>
      </c>
      <c r="C7" s="43">
        <f aca="true" t="shared" si="1" ref="C7:O7">SUM(C5:C6)</f>
        <v>15334301</v>
      </c>
      <c r="D7" s="43">
        <f t="shared" si="1"/>
        <v>20018820</v>
      </c>
      <c r="E7" s="43">
        <f t="shared" si="1"/>
        <v>169000</v>
      </c>
      <c r="F7" s="43">
        <f t="shared" si="1"/>
        <v>8184289</v>
      </c>
      <c r="G7" s="43">
        <f t="shared" si="1"/>
        <v>530333</v>
      </c>
      <c r="H7" s="93"/>
      <c r="I7" s="94">
        <f t="shared" si="1"/>
        <v>38541</v>
      </c>
      <c r="J7" s="94">
        <f t="shared" si="1"/>
        <v>19191</v>
      </c>
      <c r="K7" s="94">
        <f t="shared" si="1"/>
        <v>69034</v>
      </c>
      <c r="L7" s="94">
        <f t="shared" si="1"/>
        <v>13479</v>
      </c>
      <c r="M7" s="94">
        <f t="shared" si="1"/>
        <v>3128914</v>
      </c>
      <c r="N7" s="94">
        <f t="shared" si="1"/>
        <v>35900</v>
      </c>
      <c r="O7" s="94">
        <f t="shared" si="1"/>
        <v>704271</v>
      </c>
      <c r="P7" s="94">
        <f t="shared" si="0"/>
        <v>-2</v>
      </c>
    </row>
    <row r="8" spans="1:16" ht="15">
      <c r="A8" s="1"/>
      <c r="B8" s="43"/>
      <c r="C8" s="43"/>
      <c r="D8" s="43"/>
      <c r="E8" s="43"/>
      <c r="F8" s="43"/>
      <c r="G8" s="43"/>
      <c r="H8" s="92"/>
      <c r="I8" s="94"/>
      <c r="J8" s="94"/>
      <c r="K8" s="94"/>
      <c r="L8" s="94"/>
      <c r="M8" s="94"/>
      <c r="N8" s="94"/>
      <c r="O8" s="94"/>
      <c r="P8" s="94">
        <f t="shared" si="0"/>
        <v>0</v>
      </c>
    </row>
    <row r="9" spans="1:16" ht="15">
      <c r="A9" s="42" t="s">
        <v>98</v>
      </c>
      <c r="B9" s="43"/>
      <c r="C9" s="43"/>
      <c r="D9" s="43"/>
      <c r="E9" s="43"/>
      <c r="F9" s="43"/>
      <c r="G9" s="43"/>
      <c r="H9" s="93" t="s">
        <v>98</v>
      </c>
      <c r="I9" s="94"/>
      <c r="J9" s="94"/>
      <c r="K9" s="94"/>
      <c r="L9" s="94"/>
      <c r="M9" s="94"/>
      <c r="N9" s="94"/>
      <c r="O9" s="94"/>
      <c r="P9" s="94">
        <f t="shared" si="0"/>
        <v>0</v>
      </c>
    </row>
    <row r="10" spans="1:16" ht="15">
      <c r="A10" s="42" t="s">
        <v>99</v>
      </c>
      <c r="B10" s="43">
        <f>SUM(B7)</f>
        <v>48246075</v>
      </c>
      <c r="C10" s="43">
        <f>(C5/$B$5)*$B$7</f>
        <v>15778176.812979678</v>
      </c>
      <c r="D10" s="43">
        <f aca="true" t="shared" si="2" ref="D10:O10">(D5/$B$5)*$B$7</f>
        <v>20204225.84842219</v>
      </c>
      <c r="E10" s="43">
        <f t="shared" si="2"/>
        <v>84383.54579979565</v>
      </c>
      <c r="F10" s="43">
        <f t="shared" si="2"/>
        <v>7461675.215786883</v>
      </c>
      <c r="G10" s="43">
        <f t="shared" si="2"/>
        <v>467979.30991247605</v>
      </c>
      <c r="H10" s="93" t="s">
        <v>99</v>
      </c>
      <c r="I10" s="94">
        <f t="shared" si="2"/>
        <v>34514.84274764819</v>
      </c>
      <c r="J10" s="94">
        <f t="shared" si="2"/>
        <v>8445.876884973603</v>
      </c>
      <c r="K10" s="94">
        <f t="shared" si="2"/>
        <v>74709.0257657957</v>
      </c>
      <c r="L10" s="94">
        <f t="shared" si="2"/>
        <v>13159.85468123794</v>
      </c>
      <c r="M10" s="94">
        <f t="shared" si="2"/>
        <v>3460331.341249475</v>
      </c>
      <c r="N10" s="94">
        <f t="shared" si="2"/>
        <v>36612.73002931902</v>
      </c>
      <c r="O10" s="94">
        <f t="shared" si="2"/>
        <v>621860.5957405305</v>
      </c>
      <c r="P10" s="94">
        <f t="shared" si="0"/>
        <v>7.450580596923828E-09</v>
      </c>
    </row>
    <row r="11" spans="1:16" ht="15">
      <c r="A11" s="42"/>
      <c r="B11" s="43"/>
      <c r="C11" s="43"/>
      <c r="D11" s="43"/>
      <c r="E11" s="43"/>
      <c r="F11" s="43"/>
      <c r="G11" s="43"/>
      <c r="H11" s="93"/>
      <c r="I11" s="94"/>
      <c r="J11" s="94"/>
      <c r="K11" s="94"/>
      <c r="L11" s="94"/>
      <c r="M11" s="94"/>
      <c r="N11" s="94"/>
      <c r="O11" s="94"/>
      <c r="P11" s="94">
        <f t="shared" si="0"/>
        <v>0</v>
      </c>
    </row>
    <row r="12" spans="1:16" ht="15">
      <c r="A12" s="42" t="s">
        <v>100</v>
      </c>
      <c r="B12" s="43">
        <f>SUM(C12:N12)</f>
        <v>47624214.40425948</v>
      </c>
      <c r="C12" s="43">
        <f>C10</f>
        <v>15778176.812979678</v>
      </c>
      <c r="D12" s="43">
        <f aca="true" t="shared" si="3" ref="D12:N12">D10</f>
        <v>20204225.84842219</v>
      </c>
      <c r="E12" s="43">
        <f t="shared" si="3"/>
        <v>84383.54579979565</v>
      </c>
      <c r="F12" s="43">
        <f t="shared" si="3"/>
        <v>7461675.215786883</v>
      </c>
      <c r="G12" s="43">
        <f t="shared" si="3"/>
        <v>467979.30991247605</v>
      </c>
      <c r="H12" s="93" t="s">
        <v>100</v>
      </c>
      <c r="I12" s="94">
        <f t="shared" si="3"/>
        <v>34514.84274764819</v>
      </c>
      <c r="J12" s="94">
        <f t="shared" si="3"/>
        <v>8445.876884973603</v>
      </c>
      <c r="K12" s="94">
        <f t="shared" si="3"/>
        <v>74709.0257657957</v>
      </c>
      <c r="L12" s="94">
        <f t="shared" si="3"/>
        <v>13159.85468123794</v>
      </c>
      <c r="M12" s="94">
        <f t="shared" si="3"/>
        <v>3460331.341249475</v>
      </c>
      <c r="N12" s="94">
        <f t="shared" si="3"/>
        <v>36612.73002931902</v>
      </c>
      <c r="O12" s="94"/>
      <c r="P12" s="94">
        <f t="shared" si="0"/>
        <v>0</v>
      </c>
    </row>
    <row r="13" spans="1:16" ht="15">
      <c r="A13" s="42" t="s">
        <v>101</v>
      </c>
      <c r="B13" s="43"/>
      <c r="C13" s="43">
        <f>(C12/$B$12)*$O$10</f>
        <v>206026.00075102557</v>
      </c>
      <c r="D13" s="43">
        <f>(D12/$B$12)*$O$10</f>
        <v>263819.8252662896</v>
      </c>
      <c r="E13" s="43">
        <f>(E12/$B$12)*$O$10</f>
        <v>1101.8512896890106</v>
      </c>
      <c r="F13" s="43">
        <f>(F12/$B$12)*$O$10</f>
        <v>97431.98608010157</v>
      </c>
      <c r="G13" s="43">
        <f>(G12/$B$12)*$O$10</f>
        <v>6110.7127140429275</v>
      </c>
      <c r="H13" s="93" t="s">
        <v>101</v>
      </c>
      <c r="I13" s="94">
        <f aca="true" t="shared" si="4" ref="I13:N13">(I12/$B$12)*$O$10</f>
        <v>450.6829339115262</v>
      </c>
      <c r="J13" s="94">
        <f t="shared" si="4"/>
        <v>110.28335263775207</v>
      </c>
      <c r="K13" s="94">
        <f t="shared" si="4"/>
        <v>975.5247378055885</v>
      </c>
      <c r="L13" s="94">
        <f t="shared" si="4"/>
        <v>171.83685178440444</v>
      </c>
      <c r="M13" s="94">
        <f t="shared" si="4"/>
        <v>45183.81533946244</v>
      </c>
      <c r="N13" s="94">
        <f t="shared" si="4"/>
        <v>478.07642377998326</v>
      </c>
      <c r="O13" s="94"/>
      <c r="P13" s="94">
        <f t="shared" si="0"/>
        <v>621860.5957405305</v>
      </c>
    </row>
    <row r="14" spans="1:16" ht="15">
      <c r="A14" s="1" t="s">
        <v>102</v>
      </c>
      <c r="B14" s="43"/>
      <c r="C14" s="43">
        <f>SUM(C12:C13)</f>
        <v>15984202.813730704</v>
      </c>
      <c r="D14" s="43">
        <f aca="true" t="shared" si="5" ref="D14:N14">SUM(D12:D13)</f>
        <v>20468045.67368848</v>
      </c>
      <c r="E14" s="43">
        <f t="shared" si="5"/>
        <v>85485.39708948467</v>
      </c>
      <c r="F14" s="43">
        <f t="shared" si="5"/>
        <v>7559107.201866984</v>
      </c>
      <c r="G14" s="43">
        <f t="shared" si="5"/>
        <v>474090.02262651897</v>
      </c>
      <c r="H14" s="92" t="s">
        <v>102</v>
      </c>
      <c r="I14" s="94">
        <f t="shared" si="5"/>
        <v>34965.52568155972</v>
      </c>
      <c r="J14" s="94">
        <f t="shared" si="5"/>
        <v>8556.160237611355</v>
      </c>
      <c r="K14" s="94">
        <f t="shared" si="5"/>
        <v>75684.55050360129</v>
      </c>
      <c r="L14" s="94">
        <f t="shared" si="5"/>
        <v>13331.691533022346</v>
      </c>
      <c r="M14" s="94">
        <f t="shared" si="5"/>
        <v>3505515.156588937</v>
      </c>
      <c r="N14" s="94">
        <f t="shared" si="5"/>
        <v>37090.806453099</v>
      </c>
      <c r="O14" s="94"/>
      <c r="P14" s="94">
        <f t="shared" si="0"/>
        <v>48246075</v>
      </c>
    </row>
    <row r="15" spans="1:16" ht="15">
      <c r="A15" s="1"/>
      <c r="B15" s="43"/>
      <c r="C15" s="43"/>
      <c r="D15" s="43"/>
      <c r="E15" s="43"/>
      <c r="F15" s="43"/>
      <c r="G15" s="43"/>
      <c r="H15" s="92"/>
      <c r="I15" s="94"/>
      <c r="J15" s="94"/>
      <c r="K15" s="94"/>
      <c r="L15" s="94"/>
      <c r="M15" s="94"/>
      <c r="N15" s="94"/>
      <c r="O15" s="94"/>
      <c r="P15" s="92"/>
    </row>
    <row r="16" spans="1:16" ht="15">
      <c r="A16" s="1"/>
      <c r="B16" s="43"/>
      <c r="C16" s="43"/>
      <c r="D16" s="43"/>
      <c r="E16" s="43"/>
      <c r="F16" s="43"/>
      <c r="G16" s="43"/>
      <c r="H16" s="92"/>
      <c r="I16" s="94"/>
      <c r="J16" s="94"/>
      <c r="K16" s="94"/>
      <c r="L16" s="94"/>
      <c r="M16" s="94"/>
      <c r="N16" s="94"/>
      <c r="O16" s="94"/>
      <c r="P16" s="92"/>
    </row>
    <row r="17" spans="1:16" ht="15">
      <c r="A17" s="1" t="s">
        <v>103</v>
      </c>
      <c r="B17" s="43"/>
      <c r="C17" s="43"/>
      <c r="D17" s="43"/>
      <c r="E17" s="43"/>
      <c r="F17" s="43"/>
      <c r="G17" s="43"/>
      <c r="H17" s="92" t="s">
        <v>103</v>
      </c>
      <c r="I17" s="94"/>
      <c r="J17" s="94"/>
      <c r="K17" s="94"/>
      <c r="L17" s="94"/>
      <c r="M17" s="94"/>
      <c r="N17" s="94"/>
      <c r="O17" s="94"/>
      <c r="P17" s="92"/>
    </row>
    <row r="18" spans="1:16" ht="15">
      <c r="A18" s="42" t="s">
        <v>95</v>
      </c>
      <c r="B18" s="43"/>
      <c r="C18" s="43"/>
      <c r="D18" s="43"/>
      <c r="E18" s="43"/>
      <c r="F18" s="43"/>
      <c r="G18" s="43"/>
      <c r="H18" s="93" t="s">
        <v>95</v>
      </c>
      <c r="I18" s="94"/>
      <c r="J18" s="94"/>
      <c r="K18" s="94"/>
      <c r="L18" s="94"/>
      <c r="M18" s="94"/>
      <c r="N18" s="94"/>
      <c r="O18" s="94"/>
      <c r="P18" s="92"/>
    </row>
    <row r="19" spans="1:16" ht="15">
      <c r="A19" s="42" t="s">
        <v>96</v>
      </c>
      <c r="B19" s="43">
        <v>750574117</v>
      </c>
      <c r="C19" s="43">
        <v>245464360</v>
      </c>
      <c r="D19" s="43">
        <v>314321268</v>
      </c>
      <c r="E19" s="43">
        <v>1312800</v>
      </c>
      <c r="F19" s="43">
        <v>116082809</v>
      </c>
      <c r="G19" s="43">
        <v>7280457</v>
      </c>
      <c r="H19" s="93" t="s">
        <v>96</v>
      </c>
      <c r="I19" s="94">
        <v>536969</v>
      </c>
      <c r="J19" s="94">
        <v>131381</v>
      </c>
      <c r="K19" s="94">
        <v>1162239</v>
      </c>
      <c r="L19" s="94">
        <v>204721</v>
      </c>
      <c r="M19" s="94">
        <v>53833119</v>
      </c>
      <c r="N19" s="94">
        <v>569610</v>
      </c>
      <c r="O19" s="94">
        <v>9674382</v>
      </c>
      <c r="P19" s="94">
        <f>(SUM(C19:O19)-B19)</f>
        <v>-2</v>
      </c>
    </row>
    <row r="20" spans="1:16" ht="15">
      <c r="A20" s="42" t="s">
        <v>97</v>
      </c>
      <c r="B20" s="43">
        <v>111468230</v>
      </c>
      <c r="C20" s="43">
        <v>35105937</v>
      </c>
      <c r="D20" s="43">
        <v>46116942</v>
      </c>
      <c r="E20" s="43">
        <v>451954</v>
      </c>
      <c r="F20" s="43">
        <v>19434233</v>
      </c>
      <c r="G20" s="43">
        <v>1270604</v>
      </c>
      <c r="H20" s="93" t="s">
        <v>97</v>
      </c>
      <c r="I20" s="94">
        <v>91973</v>
      </c>
      <c r="J20" s="94">
        <v>52150</v>
      </c>
      <c r="K20" s="94">
        <v>155374</v>
      </c>
      <c r="L20" s="94">
        <v>31373</v>
      </c>
      <c r="M20" s="94">
        <v>6988215</v>
      </c>
      <c r="N20" s="94">
        <v>82426</v>
      </c>
      <c r="O20" s="94">
        <v>1687048</v>
      </c>
      <c r="P20" s="94">
        <f>(SUM(C20:O20)-B20)</f>
        <v>-1</v>
      </c>
    </row>
    <row r="21" spans="1:16" ht="15">
      <c r="A21" s="42" t="s">
        <v>104</v>
      </c>
      <c r="B21" s="43">
        <f>SUM(B19:B20)</f>
        <v>862042347</v>
      </c>
      <c r="C21" s="43">
        <f aca="true" t="shared" si="6" ref="C21:O21">SUM(C19:C20)</f>
        <v>280570297</v>
      </c>
      <c r="D21" s="43">
        <f t="shared" si="6"/>
        <v>360438210</v>
      </c>
      <c r="E21" s="43">
        <f t="shared" si="6"/>
        <v>1764754</v>
      </c>
      <c r="F21" s="43">
        <f t="shared" si="6"/>
        <v>135517042</v>
      </c>
      <c r="G21" s="43">
        <f t="shared" si="6"/>
        <v>8551061</v>
      </c>
      <c r="H21" s="93" t="s">
        <v>104</v>
      </c>
      <c r="I21" s="94">
        <f t="shared" si="6"/>
        <v>628942</v>
      </c>
      <c r="J21" s="94">
        <f t="shared" si="6"/>
        <v>183531</v>
      </c>
      <c r="K21" s="94">
        <f t="shared" si="6"/>
        <v>1317613</v>
      </c>
      <c r="L21" s="94">
        <f t="shared" si="6"/>
        <v>236094</v>
      </c>
      <c r="M21" s="94">
        <f t="shared" si="6"/>
        <v>60821334</v>
      </c>
      <c r="N21" s="94">
        <f t="shared" si="6"/>
        <v>652036</v>
      </c>
      <c r="O21" s="94">
        <f t="shared" si="6"/>
        <v>11361430</v>
      </c>
      <c r="P21" s="92"/>
    </row>
    <row r="22" spans="1:16" ht="15">
      <c r="A22" s="42"/>
      <c r="B22" s="43"/>
      <c r="C22" s="43"/>
      <c r="D22" s="43"/>
      <c r="E22" s="43"/>
      <c r="F22" s="43"/>
      <c r="G22" s="43"/>
      <c r="H22" s="93"/>
      <c r="I22" s="94"/>
      <c r="J22" s="94"/>
      <c r="K22" s="94"/>
      <c r="L22" s="94"/>
      <c r="M22" s="94"/>
      <c r="N22" s="94"/>
      <c r="O22" s="94"/>
      <c r="P22" s="92"/>
    </row>
    <row r="23" spans="1:16" ht="15">
      <c r="A23" s="42" t="s">
        <v>105</v>
      </c>
      <c r="B23" s="43"/>
      <c r="C23" s="43"/>
      <c r="D23" s="43"/>
      <c r="E23" s="43"/>
      <c r="F23" s="43"/>
      <c r="G23" s="43"/>
      <c r="H23" s="93" t="s">
        <v>105</v>
      </c>
      <c r="I23" s="94"/>
      <c r="J23" s="94"/>
      <c r="K23" s="94"/>
      <c r="L23" s="94"/>
      <c r="M23" s="94"/>
      <c r="N23" s="94"/>
      <c r="O23" s="94"/>
      <c r="P23" s="92"/>
    </row>
    <row r="24" spans="1:16" ht="15">
      <c r="A24" s="42" t="s">
        <v>96</v>
      </c>
      <c r="B24" s="43">
        <f>B21-B25</f>
        <v>846440506</v>
      </c>
      <c r="C24" s="43">
        <f>(C19/$B$19)*$B$24</f>
        <v>276816069.6958408</v>
      </c>
      <c r="D24" s="43">
        <f aca="true" t="shared" si="7" ref="D24:O24">(D19/$B$19)*$B$24</f>
        <v>354467662.96163344</v>
      </c>
      <c r="E24" s="43">
        <f t="shared" si="7"/>
        <v>1480476.1729837267</v>
      </c>
      <c r="F24" s="43">
        <f t="shared" si="7"/>
        <v>130909379.05051866</v>
      </c>
      <c r="G24" s="43">
        <f t="shared" si="7"/>
        <v>8210346.676517813</v>
      </c>
      <c r="H24" s="93" t="s">
        <v>96</v>
      </c>
      <c r="I24" s="94">
        <f t="shared" si="7"/>
        <v>605552.8718242678</v>
      </c>
      <c r="J24" s="94">
        <f t="shared" si="7"/>
        <v>148161.51743051113</v>
      </c>
      <c r="K24" s="94">
        <f t="shared" si="7"/>
        <v>1310684.9076877162</v>
      </c>
      <c r="L24" s="94">
        <f t="shared" si="7"/>
        <v>230868.8015001535</v>
      </c>
      <c r="M24" s="94">
        <f t="shared" si="7"/>
        <v>60708904.628959134</v>
      </c>
      <c r="N24" s="94">
        <f t="shared" si="7"/>
        <v>642362.9135384375</v>
      </c>
      <c r="O24" s="94">
        <f t="shared" si="7"/>
        <v>10910033.546117194</v>
      </c>
      <c r="P24" s="92"/>
    </row>
    <row r="25" spans="1:16" ht="15">
      <c r="A25" s="42" t="s">
        <v>97</v>
      </c>
      <c r="B25" s="43">
        <f>B21*(15601841/862042347)</f>
        <v>15601841.000000002</v>
      </c>
      <c r="C25" s="43">
        <f>(C20/$B$20)*$B$25</f>
        <v>4913662.370255786</v>
      </c>
      <c r="D25" s="43">
        <f aca="true" t="shared" si="8" ref="D25:O25">(D20/$B$20)*$B$25</f>
        <v>6454836.47215195</v>
      </c>
      <c r="E25" s="43">
        <f t="shared" si="8"/>
        <v>63258.512737790865</v>
      </c>
      <c r="F25" s="43">
        <f t="shared" si="8"/>
        <v>2720145.580700017</v>
      </c>
      <c r="G25" s="43">
        <f t="shared" si="8"/>
        <v>177842.25677544178</v>
      </c>
      <c r="H25" s="93" t="s">
        <v>97</v>
      </c>
      <c r="I25" s="94">
        <f t="shared" si="8"/>
        <v>12873.15787012138</v>
      </c>
      <c r="J25" s="94">
        <f t="shared" si="8"/>
        <v>7299.2637287772495</v>
      </c>
      <c r="K25" s="94">
        <f t="shared" si="8"/>
        <v>21747.187010451322</v>
      </c>
      <c r="L25" s="94">
        <f t="shared" si="8"/>
        <v>4391.175473881662</v>
      </c>
      <c r="M25" s="94">
        <f t="shared" si="8"/>
        <v>978117.4358273655</v>
      </c>
      <c r="N25" s="94">
        <f t="shared" si="8"/>
        <v>11536.895725948103</v>
      </c>
      <c r="O25" s="94">
        <f t="shared" si="8"/>
        <v>236130.5517757661</v>
      </c>
      <c r="P25" s="92"/>
    </row>
    <row r="26" spans="1:16" ht="15">
      <c r="A26" s="42"/>
      <c r="B26" s="43"/>
      <c r="C26" s="43">
        <f>SUM(C24:C25)</f>
        <v>281729732.06609654</v>
      </c>
      <c r="D26" s="43">
        <f aca="true" t="shared" si="9" ref="D26:O26">SUM(D24:D25)</f>
        <v>360922499.4337854</v>
      </c>
      <c r="E26" s="43">
        <f t="shared" si="9"/>
        <v>1543734.6857215175</v>
      </c>
      <c r="F26" s="43">
        <f t="shared" si="9"/>
        <v>133629524.63121867</v>
      </c>
      <c r="G26" s="43">
        <f t="shared" si="9"/>
        <v>8388188.933293254</v>
      </c>
      <c r="H26" s="93"/>
      <c r="I26" s="94">
        <f t="shared" si="9"/>
        <v>618426.0296943892</v>
      </c>
      <c r="J26" s="94">
        <f t="shared" si="9"/>
        <v>155460.78115928837</v>
      </c>
      <c r="K26" s="94">
        <f t="shared" si="9"/>
        <v>1332432.0946981674</v>
      </c>
      <c r="L26" s="94">
        <f t="shared" si="9"/>
        <v>235259.97697403515</v>
      </c>
      <c r="M26" s="94">
        <f t="shared" si="9"/>
        <v>61687022.0647865</v>
      </c>
      <c r="N26" s="94">
        <f t="shared" si="9"/>
        <v>653899.8092643856</v>
      </c>
      <c r="O26" s="94">
        <f t="shared" si="9"/>
        <v>11146164.09789296</v>
      </c>
      <c r="P26" s="92"/>
    </row>
    <row r="27" spans="1:16" ht="15">
      <c r="A27" s="42" t="s">
        <v>100</v>
      </c>
      <c r="B27" s="43">
        <f>SUM(C27:N27)</f>
        <v>850896180.5066923</v>
      </c>
      <c r="C27" s="43">
        <f>C26</f>
        <v>281729732.06609654</v>
      </c>
      <c r="D27" s="43">
        <f aca="true" t="shared" si="10" ref="D27:N27">D26</f>
        <v>360922499.4337854</v>
      </c>
      <c r="E27" s="43">
        <f t="shared" si="10"/>
        <v>1543734.6857215175</v>
      </c>
      <c r="F27" s="43">
        <f t="shared" si="10"/>
        <v>133629524.63121867</v>
      </c>
      <c r="G27" s="43">
        <f t="shared" si="10"/>
        <v>8388188.933293254</v>
      </c>
      <c r="H27" s="93" t="s">
        <v>100</v>
      </c>
      <c r="I27" s="94">
        <f t="shared" si="10"/>
        <v>618426.0296943892</v>
      </c>
      <c r="J27" s="94">
        <f t="shared" si="10"/>
        <v>155460.78115928837</v>
      </c>
      <c r="K27" s="94">
        <f t="shared" si="10"/>
        <v>1332432.0946981674</v>
      </c>
      <c r="L27" s="94">
        <f t="shared" si="10"/>
        <v>235259.97697403515</v>
      </c>
      <c r="M27" s="94">
        <f t="shared" si="10"/>
        <v>61687022.0647865</v>
      </c>
      <c r="N27" s="94">
        <f t="shared" si="10"/>
        <v>653899.8092643856</v>
      </c>
      <c r="O27" s="94"/>
      <c r="P27" s="92"/>
    </row>
    <row r="28" spans="1:16" ht="15">
      <c r="A28" s="42" t="s">
        <v>179</v>
      </c>
      <c r="B28" s="43"/>
      <c r="C28" s="43">
        <f>(C27/$B$27)*$O$26</f>
        <v>3690468.8219357105</v>
      </c>
      <c r="D28" s="43">
        <f>(D27/$B$27)*$O$26</f>
        <v>4727840.478629356</v>
      </c>
      <c r="E28" s="43">
        <f>(E27/$B$27)*$O$26</f>
        <v>20221.879619220974</v>
      </c>
      <c r="F28" s="43">
        <f>(F27/$B$27)*$O$26</f>
        <v>1750456.3353146676</v>
      </c>
      <c r="G28" s="43">
        <f>(G27/$B$27)*$O$26</f>
        <v>109879.5980949652</v>
      </c>
      <c r="H28" s="93" t="s">
        <v>179</v>
      </c>
      <c r="I28" s="94">
        <f aca="true" t="shared" si="11" ref="I28:N28">(I27/$B$27)*$O$26</f>
        <v>8100.962452643038</v>
      </c>
      <c r="J28" s="94">
        <f t="shared" si="11"/>
        <v>2036.4310209457167</v>
      </c>
      <c r="K28" s="94">
        <f t="shared" si="11"/>
        <v>17453.958681494187</v>
      </c>
      <c r="L28" s="94">
        <f t="shared" si="11"/>
        <v>3081.746479879153</v>
      </c>
      <c r="M28" s="94">
        <f t="shared" si="11"/>
        <v>808058.2407068949</v>
      </c>
      <c r="N28" s="94">
        <f t="shared" si="11"/>
        <v>8565.644957181032</v>
      </c>
      <c r="O28" s="94">
        <f>SUM(C28:N28)</f>
        <v>11146164.097892957</v>
      </c>
      <c r="P28" s="92"/>
    </row>
    <row r="29" spans="1:16" ht="15">
      <c r="A29" s="42" t="s">
        <v>106</v>
      </c>
      <c r="B29" s="43">
        <f>SUM(C29:O29)</f>
        <v>862042344.604585</v>
      </c>
      <c r="C29" s="43">
        <f>C27+C28</f>
        <v>285420200.88803226</v>
      </c>
      <c r="D29" s="43">
        <f aca="true" t="shared" si="12" ref="D29:N29">D27+D28</f>
        <v>365650339.9124147</v>
      </c>
      <c r="E29" s="43">
        <f t="shared" si="12"/>
        <v>1563956.5653407385</v>
      </c>
      <c r="F29" s="43">
        <f t="shared" si="12"/>
        <v>135379980.96653333</v>
      </c>
      <c r="G29" s="43">
        <f t="shared" si="12"/>
        <v>8498068.53138822</v>
      </c>
      <c r="H29" s="93" t="s">
        <v>106</v>
      </c>
      <c r="I29" s="94">
        <f t="shared" si="12"/>
        <v>626526.9921470323</v>
      </c>
      <c r="J29" s="94">
        <f t="shared" si="12"/>
        <v>157497.21218023408</v>
      </c>
      <c r="K29" s="94">
        <f t="shared" si="12"/>
        <v>1349886.0533796616</v>
      </c>
      <c r="L29" s="94">
        <f t="shared" si="12"/>
        <v>238341.7234539143</v>
      </c>
      <c r="M29" s="94">
        <f t="shared" si="12"/>
        <v>62495080.3054934</v>
      </c>
      <c r="N29" s="94">
        <f t="shared" si="12"/>
        <v>662465.4542215667</v>
      </c>
      <c r="O29" s="94"/>
      <c r="P29" s="92"/>
    </row>
    <row r="30" spans="1:16" ht="15">
      <c r="A30" s="1"/>
      <c r="B30" s="43"/>
      <c r="C30" s="43"/>
      <c r="D30" s="43"/>
      <c r="E30" s="43"/>
      <c r="F30" s="43"/>
      <c r="G30" s="43"/>
      <c r="H30" s="92"/>
      <c r="I30" s="94"/>
      <c r="J30" s="94"/>
      <c r="K30" s="94"/>
      <c r="L30" s="94"/>
      <c r="M30" s="94"/>
      <c r="N30" s="94"/>
      <c r="O30" s="94"/>
      <c r="P30" s="92"/>
    </row>
    <row r="31" spans="1:16" ht="15">
      <c r="A31" s="1" t="s">
        <v>170</v>
      </c>
      <c r="B31" s="43"/>
      <c r="C31" s="43">
        <f>(C29+C14)-(C21+C7)</f>
        <v>5499805.701762974</v>
      </c>
      <c r="D31" s="43">
        <f aca="true" t="shared" si="13" ref="D31:O31">(D29+D14)-(D21+D7)</f>
        <v>5661355.586103201</v>
      </c>
      <c r="E31" s="43">
        <f t="shared" si="13"/>
        <v>-284312.0375697769</v>
      </c>
      <c r="F31" s="43">
        <f t="shared" si="13"/>
        <v>-762242.8315996826</v>
      </c>
      <c r="G31" s="43">
        <f t="shared" si="13"/>
        <v>-109235.44598526135</v>
      </c>
      <c r="H31" s="92" t="s">
        <v>170</v>
      </c>
      <c r="I31" s="94">
        <f t="shared" si="13"/>
        <v>-5990.482171408017</v>
      </c>
      <c r="J31" s="94">
        <f t="shared" si="13"/>
        <v>-36668.62758215456</v>
      </c>
      <c r="K31" s="94">
        <f t="shared" si="13"/>
        <v>38923.60388326296</v>
      </c>
      <c r="L31" s="94">
        <f t="shared" si="13"/>
        <v>2100.4149869366665</v>
      </c>
      <c r="M31" s="94">
        <f t="shared" si="13"/>
        <v>2050347.4620823339</v>
      </c>
      <c r="N31" s="94">
        <f t="shared" si="13"/>
        <v>11620.260674665682</v>
      </c>
      <c r="O31" s="94">
        <f t="shared" si="13"/>
        <v>-12065701</v>
      </c>
      <c r="P31" s="92"/>
    </row>
    <row r="32" spans="1:16" ht="15">
      <c r="A32" s="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1"/>
    </row>
    <row r="33" spans="2:15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</sheetData>
  <printOptions gridLines="1"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transitionEvaluation="1"/>
  <dimension ref="A1:N40"/>
  <sheetViews>
    <sheetView view="pageBreakPreview" zoomScale="60" workbookViewId="0" topLeftCell="A1">
      <selection activeCell="J30" sqref="J30"/>
    </sheetView>
  </sheetViews>
  <sheetFormatPr defaultColWidth="9.7109375" defaultRowHeight="12.75"/>
  <cols>
    <col min="1" max="1" width="4.28125" style="9" customWidth="1"/>
    <col min="2" max="2" width="9.140625" style="9" customWidth="1"/>
    <col min="3" max="3" width="24.57421875" style="9" customWidth="1"/>
    <col min="4" max="4" width="13.421875" style="9" customWidth="1"/>
    <col min="5" max="5" width="10.00390625" style="9" customWidth="1"/>
    <col min="6" max="6" width="9.00390625" style="9" customWidth="1"/>
    <col min="7" max="7" width="13.00390625" style="9" customWidth="1"/>
    <col min="8" max="8" width="12.421875" style="9" customWidth="1"/>
    <col min="9" max="9" width="13.28125" style="9" customWidth="1"/>
    <col min="10" max="10" width="12.8515625" style="9" customWidth="1"/>
    <col min="11" max="11" width="12.00390625" style="9" customWidth="1"/>
    <col min="12" max="12" width="1.57421875" style="9" customWidth="1"/>
    <col min="13" max="13" width="11.28125" style="9" hidden="1" customWidth="1"/>
    <col min="14" max="14" width="16.7109375" style="9" hidden="1" customWidth="1"/>
    <col min="15" max="16384" width="9.7109375" style="9" customWidth="1"/>
  </cols>
  <sheetData>
    <row r="1" spans="1:14" ht="14.25" customHeight="1">
      <c r="A1" s="8" t="s">
        <v>107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75">
      <c r="A2" s="10" t="s">
        <v>108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1" t="s">
        <v>109</v>
      </c>
      <c r="B3" s="11"/>
      <c r="C3" s="11"/>
      <c r="D3" s="44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11" t="s">
        <v>110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111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2" t="s">
        <v>112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2" ht="12.75">
      <c r="A7" s="13" t="s">
        <v>113</v>
      </c>
      <c r="B7" s="14"/>
      <c r="C7" s="14"/>
      <c r="D7" s="14"/>
      <c r="E7" s="95"/>
      <c r="F7" s="96"/>
      <c r="G7" s="97"/>
      <c r="H7" s="98"/>
      <c r="I7" s="96"/>
      <c r="J7" s="14"/>
      <c r="K7" s="14"/>
      <c r="L7" s="14"/>
    </row>
    <row r="8" spans="1:14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2.75">
      <c r="A9" s="21"/>
      <c r="B9" s="20" t="s">
        <v>114</v>
      </c>
      <c r="C9" s="20" t="s">
        <v>115</v>
      </c>
      <c r="D9" s="20" t="s">
        <v>116</v>
      </c>
      <c r="E9" s="20" t="s">
        <v>117</v>
      </c>
      <c r="F9" s="20" t="s">
        <v>118</v>
      </c>
      <c r="G9" s="20" t="s">
        <v>119</v>
      </c>
      <c r="H9" s="20" t="s">
        <v>120</v>
      </c>
      <c r="I9" s="20" t="s">
        <v>121</v>
      </c>
      <c r="J9" s="20" t="s">
        <v>122</v>
      </c>
      <c r="K9" s="20"/>
      <c r="L9" s="20"/>
      <c r="M9" s="20"/>
      <c r="N9" s="20"/>
    </row>
    <row r="10" spans="1:14" ht="12.75">
      <c r="A10" s="21"/>
      <c r="B10" s="21"/>
      <c r="C10" s="21"/>
      <c r="D10" s="21"/>
      <c r="E10" s="20" t="s">
        <v>123</v>
      </c>
      <c r="F10" s="20" t="s">
        <v>124</v>
      </c>
      <c r="G10" s="20" t="s">
        <v>125</v>
      </c>
      <c r="H10" s="20" t="s">
        <v>126</v>
      </c>
      <c r="I10" s="20" t="s">
        <v>127</v>
      </c>
      <c r="J10" s="20" t="s">
        <v>171</v>
      </c>
      <c r="K10" s="20"/>
      <c r="L10" s="20"/>
      <c r="M10" s="20"/>
      <c r="N10" s="22"/>
    </row>
    <row r="11" spans="1:14" ht="12.75">
      <c r="A11" s="20" t="s">
        <v>20</v>
      </c>
      <c r="B11" s="20" t="s">
        <v>128</v>
      </c>
      <c r="C11" s="20" t="s">
        <v>25</v>
      </c>
      <c r="D11" s="20" t="s">
        <v>129</v>
      </c>
      <c r="E11" s="20" t="s">
        <v>130</v>
      </c>
      <c r="F11" s="20" t="s">
        <v>131</v>
      </c>
      <c r="G11" s="20" t="s">
        <v>132</v>
      </c>
      <c r="H11" s="20" t="s">
        <v>133</v>
      </c>
      <c r="I11" s="20" t="s">
        <v>134</v>
      </c>
      <c r="J11" s="20" t="s">
        <v>172</v>
      </c>
      <c r="K11" s="20"/>
      <c r="L11" s="20"/>
      <c r="M11" s="20"/>
      <c r="N11" s="22"/>
    </row>
    <row r="12" spans="1:14" ht="12.75">
      <c r="A12" s="20" t="s">
        <v>24</v>
      </c>
      <c r="B12" s="20" t="s">
        <v>24</v>
      </c>
      <c r="C12" s="21"/>
      <c r="D12" s="20" t="s">
        <v>135</v>
      </c>
      <c r="E12" s="20" t="s">
        <v>136</v>
      </c>
      <c r="F12" s="20" t="s">
        <v>137</v>
      </c>
      <c r="G12" s="20" t="s">
        <v>138</v>
      </c>
      <c r="H12" s="20" t="s">
        <v>139</v>
      </c>
      <c r="I12" s="20" t="s">
        <v>140</v>
      </c>
      <c r="J12" s="20" t="s">
        <v>173</v>
      </c>
      <c r="K12" s="20"/>
      <c r="L12" s="20"/>
      <c r="M12" s="20"/>
      <c r="N12" s="22"/>
    </row>
    <row r="13" spans="1:14" ht="12.75">
      <c r="A13" s="23">
        <v>1</v>
      </c>
      <c r="B13" s="20" t="s">
        <v>141</v>
      </c>
      <c r="C13" s="21" t="s">
        <v>32</v>
      </c>
      <c r="D13" s="24">
        <v>309891490</v>
      </c>
      <c r="E13" s="25">
        <v>0.047109644719381435</v>
      </c>
      <c r="F13" s="26">
        <v>0.9318669997807588</v>
      </c>
      <c r="G13" s="24">
        <v>313375803.14230806</v>
      </c>
      <c r="H13" s="24">
        <v>3484313.1423080564</v>
      </c>
      <c r="I13" s="24">
        <f>'GJS - 3'!C31</f>
        <v>5499805.701762974</v>
      </c>
      <c r="J13" s="24">
        <f>H13-I13</f>
        <v>-2015492.559454918</v>
      </c>
      <c r="K13" s="24"/>
      <c r="L13" s="24"/>
      <c r="M13" s="24"/>
      <c r="N13" s="25"/>
    </row>
    <row r="14" spans="1:14" ht="12.75">
      <c r="A14" s="27">
        <v>2</v>
      </c>
      <c r="B14" s="28" t="s">
        <v>142</v>
      </c>
      <c r="C14" s="29" t="s">
        <v>143</v>
      </c>
      <c r="D14" s="24">
        <v>311675236</v>
      </c>
      <c r="E14" s="25">
        <v>0.0531844312467484</v>
      </c>
      <c r="F14" s="30">
        <v>1.0520312066918136</v>
      </c>
      <c r="G14" s="24">
        <v>309089135.7473021</v>
      </c>
      <c r="H14" s="31">
        <v>-2586100.252697885</v>
      </c>
      <c r="I14" s="24">
        <f>'GJS - 3'!D31</f>
        <v>5661355.586103201</v>
      </c>
      <c r="J14" s="24">
        <f aca="true" t="shared" si="0" ref="J14:J24">H14-I14</f>
        <v>-8247455.838801086</v>
      </c>
      <c r="K14" s="24"/>
      <c r="L14" s="24"/>
      <c r="M14" s="31"/>
      <c r="N14" s="25"/>
    </row>
    <row r="15" spans="1:14" ht="12.75">
      <c r="A15" s="27">
        <v>3</v>
      </c>
      <c r="B15" s="32" t="s">
        <v>144</v>
      </c>
      <c r="C15" s="33" t="s">
        <v>145</v>
      </c>
      <c r="D15" s="24">
        <v>9096480</v>
      </c>
      <c r="E15" s="25">
        <v>0.12128233166289784</v>
      </c>
      <c r="F15" s="34">
        <v>2.399062935123819</v>
      </c>
      <c r="G15" s="24">
        <v>7576493.05538084</v>
      </c>
      <c r="H15" s="35">
        <v>-1519986.9446191601</v>
      </c>
      <c r="I15" s="24">
        <f>'GJS - 3'!E31</f>
        <v>-284312.0375697769</v>
      </c>
      <c r="J15" s="24">
        <f t="shared" si="0"/>
        <v>-1235674.9070493833</v>
      </c>
      <c r="K15" s="24"/>
      <c r="L15" s="24"/>
      <c r="M15" s="35"/>
      <c r="N15" s="25"/>
    </row>
    <row r="16" spans="1:14" ht="12.75">
      <c r="A16" s="27">
        <v>4</v>
      </c>
      <c r="B16" s="28" t="s">
        <v>146</v>
      </c>
      <c r="C16" s="29" t="s">
        <v>147</v>
      </c>
      <c r="D16" s="24">
        <v>90226351</v>
      </c>
      <c r="E16" s="25">
        <v>0.042376561813404746</v>
      </c>
      <c r="F16" s="30">
        <v>0.8382427792293455</v>
      </c>
      <c r="G16" s="24">
        <v>92396688.05556282</v>
      </c>
      <c r="H16" s="31">
        <v>2170337.055562824</v>
      </c>
      <c r="I16" s="24">
        <f>'GJS - 3'!F31</f>
        <v>-762242.8315996826</v>
      </c>
      <c r="J16" s="24">
        <f t="shared" si="0"/>
        <v>2932579.8871625066</v>
      </c>
      <c r="K16" s="24"/>
      <c r="L16" s="24"/>
      <c r="M16" s="31"/>
      <c r="N16" s="25"/>
    </row>
    <row r="17" spans="1:14" ht="12.75">
      <c r="A17" s="27">
        <v>5</v>
      </c>
      <c r="B17" s="36" t="s">
        <v>148</v>
      </c>
      <c r="C17" s="33" t="s">
        <v>52</v>
      </c>
      <c r="D17" s="24">
        <v>7283543</v>
      </c>
      <c r="E17" s="25">
        <v>0.015105939661706655</v>
      </c>
      <c r="F17" s="34">
        <v>0.298807744258628</v>
      </c>
      <c r="G17" s="24">
        <v>8205733.067600876</v>
      </c>
      <c r="H17" s="35">
        <v>922190.0676008761</v>
      </c>
      <c r="I17" s="24">
        <f>'GJS - 3'!G31</f>
        <v>-109235.44598526135</v>
      </c>
      <c r="J17" s="24">
        <f t="shared" si="0"/>
        <v>1031425.5135861374</v>
      </c>
      <c r="K17" s="24"/>
      <c r="L17" s="24"/>
      <c r="M17" s="35"/>
      <c r="N17" s="25"/>
    </row>
    <row r="18" spans="1:14" ht="12.75">
      <c r="A18" s="27">
        <v>6</v>
      </c>
      <c r="B18" s="28" t="s">
        <v>149</v>
      </c>
      <c r="C18" s="29" t="s">
        <v>150</v>
      </c>
      <c r="D18" s="24">
        <v>703204</v>
      </c>
      <c r="E18" s="25">
        <v>0.06057324764750016</v>
      </c>
      <c r="F18" s="30">
        <v>1.1981879907710338</v>
      </c>
      <c r="G18" s="24">
        <v>684040.5550682863</v>
      </c>
      <c r="H18" s="31">
        <v>-19163.444931713748</v>
      </c>
      <c r="I18" s="24">
        <f>'GJS - 3'!I31</f>
        <v>-5990.482171408017</v>
      </c>
      <c r="J18" s="24">
        <f t="shared" si="0"/>
        <v>-13172.96276030573</v>
      </c>
      <c r="K18" s="24"/>
      <c r="L18" s="24"/>
      <c r="M18" s="31"/>
      <c r="N18" s="25"/>
    </row>
    <row r="19" spans="1:14" ht="12.75">
      <c r="A19" s="27">
        <v>7</v>
      </c>
      <c r="B19" s="36" t="s">
        <v>149</v>
      </c>
      <c r="C19" s="33" t="s">
        <v>151</v>
      </c>
      <c r="D19" s="24">
        <v>575880</v>
      </c>
      <c r="E19" s="25">
        <v>0.5591104870103175</v>
      </c>
      <c r="F19" s="34">
        <v>11.05965912457649</v>
      </c>
      <c r="G19" s="24">
        <v>240934.71570819215</v>
      </c>
      <c r="H19" s="35">
        <v>-334945.28429180785</v>
      </c>
      <c r="I19" s="24">
        <f>'GJS - 3'!J31</f>
        <v>-36668.62758215456</v>
      </c>
      <c r="J19" s="24">
        <f t="shared" si="0"/>
        <v>-298276.6567096533</v>
      </c>
      <c r="K19" s="24"/>
      <c r="L19" s="24"/>
      <c r="M19" s="35"/>
      <c r="N19" s="25"/>
    </row>
    <row r="20" spans="1:14" ht="12.75">
      <c r="A20" s="27">
        <v>8</v>
      </c>
      <c r="B20" s="28" t="s">
        <v>152</v>
      </c>
      <c r="C20" s="29" t="s">
        <v>153</v>
      </c>
      <c r="D20" s="24">
        <v>1651432</v>
      </c>
      <c r="E20" s="25">
        <v>0.1337948644163828</v>
      </c>
      <c r="F20" s="30">
        <v>2.6465709863117204</v>
      </c>
      <c r="G20" s="24">
        <v>1287489.8776290212</v>
      </c>
      <c r="H20" s="31">
        <v>-363942.1223709788</v>
      </c>
      <c r="I20" s="24">
        <f>'GJS - 3'!K31</f>
        <v>38923.60388326296</v>
      </c>
      <c r="J20" s="24">
        <f t="shared" si="0"/>
        <v>-402865.7262542418</v>
      </c>
      <c r="K20" s="24"/>
      <c r="L20" s="24"/>
      <c r="M20" s="31"/>
      <c r="N20" s="25"/>
    </row>
    <row r="21" spans="1:14" ht="12.75">
      <c r="A21" s="27">
        <v>9</v>
      </c>
      <c r="B21" s="36" t="s">
        <v>154</v>
      </c>
      <c r="C21" s="33" t="s">
        <v>155</v>
      </c>
      <c r="D21" s="24">
        <v>349064</v>
      </c>
      <c r="E21" s="25">
        <v>0.32560664050878535</v>
      </c>
      <c r="F21" s="34">
        <v>6.440763563533789</v>
      </c>
      <c r="G21" s="24">
        <v>198954.50310535956</v>
      </c>
      <c r="H21" s="35">
        <v>-150109.49689464044</v>
      </c>
      <c r="I21" s="24">
        <f>'GJS - 3'!L31</f>
        <v>2100.4149869366665</v>
      </c>
      <c r="J21" s="24">
        <f t="shared" si="0"/>
        <v>-152209.9118815771</v>
      </c>
      <c r="K21" s="24"/>
      <c r="L21" s="24"/>
      <c r="M21" s="35"/>
      <c r="N21" s="25"/>
    </row>
    <row r="22" spans="1:14" ht="12.75">
      <c r="A22" s="27">
        <v>10</v>
      </c>
      <c r="B22" s="28" t="s">
        <v>156</v>
      </c>
      <c r="C22" s="29" t="s">
        <v>157</v>
      </c>
      <c r="D22" s="24">
        <v>61491687</v>
      </c>
      <c r="E22" s="25">
        <v>0.06284656239372796</v>
      </c>
      <c r="F22" s="30">
        <v>1.2431560011379876</v>
      </c>
      <c r="G22" s="24">
        <v>59079846.18494189</v>
      </c>
      <c r="H22" s="31">
        <v>-2411840.815058112</v>
      </c>
      <c r="I22" s="24">
        <f>'GJS - 3'!M31</f>
        <v>2050347.4620823339</v>
      </c>
      <c r="J22" s="24">
        <f t="shared" si="0"/>
        <v>-4462188.277140446</v>
      </c>
      <c r="K22" s="24"/>
      <c r="L22" s="24"/>
      <c r="M22" s="31"/>
      <c r="N22" s="25"/>
    </row>
    <row r="23" spans="1:14" ht="12.75">
      <c r="A23" s="27">
        <v>11</v>
      </c>
      <c r="B23" s="36" t="s">
        <v>158</v>
      </c>
      <c r="C23" s="33" t="s">
        <v>159</v>
      </c>
      <c r="D23" s="24">
        <v>589906</v>
      </c>
      <c r="E23" s="25">
        <v>0.039798370447039155</v>
      </c>
      <c r="F23" s="34">
        <v>0.7872440619232197</v>
      </c>
      <c r="G23" s="24">
        <v>611981.4429056076</v>
      </c>
      <c r="H23" s="35">
        <v>22075.442905607633</v>
      </c>
      <c r="I23" s="24">
        <f>'GJS - 3'!N31</f>
        <v>11620.260674665682</v>
      </c>
      <c r="J23" s="24">
        <f t="shared" si="0"/>
        <v>10455.182230941951</v>
      </c>
      <c r="K23" s="24"/>
      <c r="L23" s="24"/>
      <c r="M23" s="35"/>
      <c r="N23" s="25"/>
    </row>
    <row r="24" spans="1:14" ht="12.75">
      <c r="A24" s="27">
        <v>12</v>
      </c>
      <c r="B24" s="33"/>
      <c r="C24" s="33" t="s">
        <v>160</v>
      </c>
      <c r="D24" s="24">
        <v>6912541</v>
      </c>
      <c r="E24" s="25">
        <v>0.014614882011967055</v>
      </c>
      <c r="F24" s="34">
        <v>0.2890942254769003</v>
      </c>
      <c r="G24" s="24">
        <v>7699713.652487447</v>
      </c>
      <c r="H24" s="35">
        <v>787172.6524874466</v>
      </c>
      <c r="I24" s="24">
        <f>'GJS - 3'!O31</f>
        <v>-12065701</v>
      </c>
      <c r="J24" s="24">
        <f t="shared" si="0"/>
        <v>12852873.652487446</v>
      </c>
      <c r="K24" s="24"/>
      <c r="L24" s="24"/>
      <c r="M24" s="35"/>
      <c r="N24" s="25"/>
    </row>
    <row r="25" spans="1:14" ht="12.75">
      <c r="A25" s="37"/>
      <c r="B25" s="21"/>
      <c r="C25" s="21"/>
      <c r="D25" s="24"/>
      <c r="E25" s="21"/>
      <c r="F25" s="26"/>
      <c r="G25" s="24"/>
      <c r="H25" s="21"/>
      <c r="I25" s="24"/>
      <c r="J25" s="24">
        <f>SUM(J13:J24)</f>
        <v>-2.6045845802873373</v>
      </c>
      <c r="K25" s="24"/>
      <c r="L25" s="24"/>
      <c r="M25" s="21"/>
      <c r="N25" s="25"/>
    </row>
    <row r="26" spans="1:14" ht="12.75">
      <c r="A26" s="37"/>
      <c r="B26" s="21"/>
      <c r="C26" s="21"/>
      <c r="D26" s="24"/>
      <c r="E26" s="21"/>
      <c r="F26" s="26"/>
      <c r="G26" s="24"/>
      <c r="H26" s="21"/>
      <c r="I26" s="24"/>
      <c r="J26" s="24"/>
      <c r="K26" s="24"/>
      <c r="L26" s="24"/>
      <c r="M26" s="21"/>
      <c r="N26" s="25"/>
    </row>
    <row r="27" spans="1:14" ht="12.75">
      <c r="A27" s="37"/>
      <c r="B27" s="21"/>
      <c r="C27" s="38" t="s">
        <v>161</v>
      </c>
      <c r="D27" s="24">
        <v>800446814</v>
      </c>
      <c r="E27" s="39">
        <v>0.050554043367202574</v>
      </c>
      <c r="F27" s="26">
        <v>1</v>
      </c>
      <c r="G27" s="24">
        <v>800446814.0000005</v>
      </c>
      <c r="H27" s="21">
        <v>5.122274160385132E-07</v>
      </c>
      <c r="I27" s="24"/>
      <c r="J27" s="24"/>
      <c r="K27" s="24"/>
      <c r="L27" s="24"/>
      <c r="M27" s="21"/>
      <c r="N27" s="39"/>
    </row>
    <row r="28" spans="1:14" ht="12.75">
      <c r="A28" s="40">
        <v>13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1"/>
    </row>
    <row r="29" spans="1:14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75">
      <c r="A30" s="21"/>
      <c r="B30" s="21"/>
      <c r="C30" s="21"/>
      <c r="D30" s="24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75">
      <c r="A31" s="17" t="s">
        <v>162</v>
      </c>
      <c r="B31" s="15"/>
      <c r="C31" s="15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8" t="s">
        <v>163</v>
      </c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8" t="s">
        <v>178</v>
      </c>
      <c r="B33" s="18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8" t="s">
        <v>164</v>
      </c>
      <c r="B34" s="18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8" t="s">
        <v>165</v>
      </c>
      <c r="B35" s="1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8" t="s">
        <v>166</v>
      </c>
      <c r="B36" s="1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8" t="s">
        <v>167</v>
      </c>
      <c r="B37" s="1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8" t="s">
        <v>168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8" t="s">
        <v>177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8" t="s">
        <v>169</v>
      </c>
      <c r="B40" s="19"/>
      <c r="C40" s="1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</sheetData>
  <printOptions horizontalCentered="1" verticalCentered="1"/>
  <pageMargins left="0.25" right="0.25" top="0.25" bottom="0.5" header="0.25" footer="0.25"/>
  <pageSetup horizontalDpi="600" verticalDpi="600" orientation="landscape" scale="95" r:id="rId3"/>
  <headerFooter alignWithMargins="0">
    <oddFooter>&amp;LCCS Exhibit 9.4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Sterzinger</dc:creator>
  <cp:keywords/>
  <dc:description/>
  <cp:lastModifiedBy>Janna Nelson</cp:lastModifiedBy>
  <cp:lastPrinted>2001-06-15T22:31:46Z</cp:lastPrinted>
  <dcterms:created xsi:type="dcterms:W3CDTF">2001-06-06T15:35:03Z</dcterms:created>
  <dcterms:modified xsi:type="dcterms:W3CDTF">2001-06-15T22:21:29Z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