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tabRatio="602" firstSheet="3" activeTab="10"/>
  </bookViews>
  <sheets>
    <sheet name="ICEarn" sheetId="1" r:id="rId1"/>
    <sheet name="IC50%" sheetId="2" r:id="rId2"/>
    <sheet name="PR%Adj" sheetId="3" r:id="rId3"/>
    <sheet name="2.4" sheetId="4" r:id="rId4"/>
    <sheet name="2.4.1" sheetId="5" r:id="rId5"/>
    <sheet name="2.5" sheetId="6" r:id="rId6"/>
    <sheet name="2.5.1" sheetId="7" r:id="rId7"/>
    <sheet name="2.6" sheetId="8" r:id="rId8"/>
    <sheet name="2.7" sheetId="9" r:id="rId9"/>
    <sheet name="2.8" sheetId="10" r:id="rId10"/>
    <sheet name="Sheet5" sheetId="11" r:id="rId11"/>
    <sheet name="Sheet4" sheetId="12" r:id="rId12"/>
  </sheets>
  <definedNames/>
  <calcPr fullCalcOnLoad="1"/>
</workbook>
</file>

<file path=xl/sharedStrings.xml><?xml version="1.0" encoding="utf-8"?>
<sst xmlns="http://schemas.openxmlformats.org/spreadsheetml/2006/main" count="548" uniqueCount="229">
  <si>
    <t>PacifiCorp, dba</t>
  </si>
  <si>
    <t>Utah Power &amp; Light Company</t>
  </si>
  <si>
    <t>Test Year Ended September 30, 2000</t>
  </si>
  <si>
    <t>Line</t>
  </si>
  <si>
    <t>No.</t>
  </si>
  <si>
    <t>Description</t>
  </si>
  <si>
    <t>Committee of Consumer Services</t>
  </si>
  <si>
    <t>Witness: Helmuth W. Schultz III</t>
  </si>
  <si>
    <t>Docket No. 01-035-01</t>
  </si>
  <si>
    <t>Adjustment to Expense</t>
  </si>
  <si>
    <t>Total</t>
  </si>
  <si>
    <t>Company</t>
  </si>
  <si>
    <t>Utah</t>
  </si>
  <si>
    <t>Allocation</t>
  </si>
  <si>
    <t>Adjustment</t>
  </si>
  <si>
    <t>Acct.</t>
  </si>
  <si>
    <t>Factor</t>
  </si>
  <si>
    <t>Factor %</t>
  </si>
  <si>
    <t>SNPPS</t>
  </si>
  <si>
    <t>SNPPH</t>
  </si>
  <si>
    <t>SE</t>
  </si>
  <si>
    <t>Capital</t>
  </si>
  <si>
    <t>SG</t>
  </si>
  <si>
    <t>SNPT</t>
  </si>
  <si>
    <t>SNPD</t>
  </si>
  <si>
    <t>OR</t>
  </si>
  <si>
    <t>CN</t>
  </si>
  <si>
    <t>SO</t>
  </si>
  <si>
    <t>Various</t>
  </si>
  <si>
    <t>Expensed</t>
  </si>
  <si>
    <t>Line-of-Sight Expensed</t>
  </si>
  <si>
    <t>Earnings Goals Expensed</t>
  </si>
  <si>
    <t>Line-of-Sight Allocable</t>
  </si>
  <si>
    <t>Line-of Sight Capital</t>
  </si>
  <si>
    <t>Earnings Goals Allocable</t>
  </si>
  <si>
    <t>Total Expensed</t>
  </si>
  <si>
    <t>Expense Difference</t>
  </si>
  <si>
    <t>Description of Adjustment:</t>
  </si>
  <si>
    <t>The amount of incentive compensation in the test year includes at a minimum $17,806,856 of</t>
  </si>
  <si>
    <t>compensation based on "Earnings Goals" on a total Company basis. Incentive compensation</t>
  </si>
  <si>
    <t>based on earnings are not allowed in Utah and an adjustment of $6,619,734 on a Utah basis is</t>
  </si>
  <si>
    <t>Source:</t>
  </si>
  <si>
    <t>(A)</t>
  </si>
  <si>
    <t>(B)</t>
  </si>
  <si>
    <t>(D)</t>
  </si>
  <si>
    <t>(E)</t>
  </si>
  <si>
    <t>(F)</t>
  </si>
  <si>
    <t>(C)</t>
  </si>
  <si>
    <t>Lines 16-22 of Column A is from the Company response to DPU 8.14.</t>
  </si>
  <si>
    <t>Lines 2-12 of Column F is the respective line amount divided by line13 times line 17.</t>
  </si>
  <si>
    <t>Lines 2-15 of Columns A,B,C,D and E are from the Company response to CCS 5.14 Revised.</t>
  </si>
  <si>
    <t>Lines 16-22 of Column D is (19,128,071 / 51,453,870) or (3,055,747 / 8,206,101).</t>
  </si>
  <si>
    <t>CCS Exhibit 2.1</t>
  </si>
  <si>
    <t>Lines 2-12 of Column F is the respective line amount divided by line13 times line 16.</t>
  </si>
  <si>
    <t>Lines 16-22 of Column A is from the Company response to DPU 8.14, excluding the earnings goals portion.</t>
  </si>
  <si>
    <t>Payroll Adjustment - Percentage Increase</t>
  </si>
  <si>
    <t>CCS Exhibit 2.2</t>
  </si>
  <si>
    <t>Steam</t>
  </si>
  <si>
    <t>Hydro</t>
  </si>
  <si>
    <t>Other Production</t>
  </si>
  <si>
    <t>Power Supply</t>
  </si>
  <si>
    <t>Transmission</t>
  </si>
  <si>
    <t>Distribution</t>
  </si>
  <si>
    <t>Customer Service</t>
  </si>
  <si>
    <t>Administrative &amp; General</t>
  </si>
  <si>
    <t>Adjustment Per Company</t>
  </si>
  <si>
    <t>SNPPO</t>
  </si>
  <si>
    <t>UT</t>
  </si>
  <si>
    <t>The Company annualized the test year payroll prior to adjusting for any reduction in the employee complement</t>
  </si>
  <si>
    <t xml:space="preserve">resulting in an overstatement of the calculated test year payroll increase.  In response to CCS 5.48 the </t>
  </si>
  <si>
    <t>Total Adj.</t>
  </si>
  <si>
    <t>Lines 2-12 of Columns A,B,C,D and E are from the Company filing Adjustment 4.5.</t>
  </si>
  <si>
    <t>Line 13 is from the Company response to CCS 5.48.</t>
  </si>
  <si>
    <t>CCS Exhibit 2.3</t>
  </si>
  <si>
    <t>Payroll Adjustment - Employee Complement</t>
  </si>
  <si>
    <t>Transition</t>
  </si>
  <si>
    <t>Weighted</t>
  </si>
  <si>
    <t>Month</t>
  </si>
  <si>
    <t>Count</t>
  </si>
  <si>
    <t>Change</t>
  </si>
  <si>
    <t>Difference</t>
  </si>
  <si>
    <t>Multiple</t>
  </si>
  <si>
    <t>TOTAL</t>
  </si>
  <si>
    <t>Average</t>
  </si>
  <si>
    <t>Total Expense</t>
  </si>
  <si>
    <t>Capital &amp; Fuel</t>
  </si>
  <si>
    <t>Total Payroll</t>
  </si>
  <si>
    <t>Adj. Total</t>
  </si>
  <si>
    <t>Average Test Year Employees</t>
  </si>
  <si>
    <t>Transition Employee Adjustment</t>
  </si>
  <si>
    <t>Adjusted Avg. Test Year Employees</t>
  </si>
  <si>
    <t>Complement Adjustment</t>
  </si>
  <si>
    <t>The Company employee complement declined by 425 employees during the test year.  The majority (363) of the decline</t>
  </si>
  <si>
    <t>occurred during the last three months of the test year.  This means that the test year includes almost a full years salary</t>
  </si>
  <si>
    <t>made a net reduction of 287.5 employees.  As shown on line 17 above this adjusted the test year to 5,898 employees.</t>
  </si>
  <si>
    <t xml:space="preserve">for the employees who left.  On average the test year included 6,185.5 employees.   The Company Adjustment 4.20 </t>
  </si>
  <si>
    <t>removed from the adjusted test year payroll expense.  This adjustment removes the payroll expense associated with the</t>
  </si>
  <si>
    <t>33 employees not removed by the Company.</t>
  </si>
  <si>
    <t>Lines 2-12 of Columns A,C and D are from the Company filing Adjustment 4.5. Lines 7 and 9 in Column D were</t>
  </si>
  <si>
    <t>calculated based on the Utah and total Company amounts on Adjustment 4.5.</t>
  </si>
  <si>
    <t>Lines 2-14  of Column B are from the Company response to CCS 5.24.</t>
  </si>
  <si>
    <t>Line 16 is from the Company response to CCS 5.48.</t>
  </si>
  <si>
    <t>Average Employee Expense (L.12/L.17)</t>
  </si>
  <si>
    <t>Expense Adjustment (L.18xL.19)</t>
  </si>
  <si>
    <t xml:space="preserve">Column A represents the employee count by month and line 15 is the average number of </t>
  </si>
  <si>
    <t xml:space="preserve">employees in the test year.  Column B identifies the actual change in the employee </t>
  </si>
  <si>
    <t>complement during the test year.  Column C identifies the Company's adjustment for the</t>
  </si>
  <si>
    <t>reduction in employees during the test year.  Column D indicates that the Company has failed</t>
  </si>
  <si>
    <t>to adjust for 137.5 employees who left during the test year.  Column F reflects the average</t>
  </si>
  <si>
    <t xml:space="preserve">number of employees not accounted for by the Company. </t>
  </si>
  <si>
    <t>Column A is from the Company response to CCS 5.40.</t>
  </si>
  <si>
    <t>Column C is from the Company response to CCS 5.48.</t>
  </si>
  <si>
    <t>Col. B - C</t>
  </si>
  <si>
    <t>Incentive Compensation Adjustment - 50%</t>
  </si>
  <si>
    <t>Incentive Compensation Adjustment - Earnings Goals</t>
  </si>
  <si>
    <t>CCS Exhibit 2.4</t>
  </si>
  <si>
    <t>Transition Plan Net Savings Adjustment</t>
  </si>
  <si>
    <t>CCS Exhibit 2.4.1</t>
  </si>
  <si>
    <t>Per Company</t>
  </si>
  <si>
    <t>Transition Plan Savings</t>
  </si>
  <si>
    <t>Salary for months before leaving</t>
  </si>
  <si>
    <t>Number of employees leaving</t>
  </si>
  <si>
    <t>O&amp;M percentage</t>
  </si>
  <si>
    <t>Transition Plan Costs</t>
  </si>
  <si>
    <t>Transition costs</t>
  </si>
  <si>
    <t>Employees</t>
  </si>
  <si>
    <t>Cost/Employee</t>
  </si>
  <si>
    <t>Cost of employees leaving this year</t>
  </si>
  <si>
    <t>Amortize over 5 years</t>
  </si>
  <si>
    <t>Transition Plan Amortized Expense</t>
  </si>
  <si>
    <t>Transition Plan in Rate Base</t>
  </si>
  <si>
    <t>Costs of employees leaving this year</t>
  </si>
  <si>
    <t>Amortized to expense</t>
  </si>
  <si>
    <t>Amount in ending rate base</t>
  </si>
  <si>
    <t>Average Rate Base</t>
  </si>
  <si>
    <t>Estimated</t>
  </si>
  <si>
    <t>Actual</t>
  </si>
  <si>
    <t>The amounts in Columns A &amp; B are from the Company adjustment 4.20 which is based on estimated costs to be incurred</t>
  </si>
  <si>
    <t>through the year 2005.  The costs are at best a long term projection.  The costs in Columns C &amp; D are actual costs for the</t>
  </si>
  <si>
    <t>adjustment as calculated above should be made.</t>
  </si>
  <si>
    <t>The amounts in Columns A &amp; B are from Company Adjustment 4.20.</t>
  </si>
  <si>
    <t>The amount on line 9 of Column C is from the Company response to CCS 5.50.</t>
  </si>
  <si>
    <t>Net Savings of Transition Plan</t>
  </si>
  <si>
    <t>Adjustment to Rate Base</t>
  </si>
  <si>
    <t>Unamortized Transition Plan Costs</t>
  </si>
  <si>
    <t>186M</t>
  </si>
  <si>
    <t>Adjustment 4.20 by substituting actual costs for estimated costs.</t>
  </si>
  <si>
    <t>CCS Exhibit 2.5</t>
  </si>
  <si>
    <t>I/T Transition Severance Accrual</t>
  </si>
  <si>
    <t>Total of Reversed Accruals</t>
  </si>
  <si>
    <t>Amortization of Reversed Accruals</t>
  </si>
  <si>
    <t>Rate Base Adjustment</t>
  </si>
  <si>
    <t>Unamortized Balance</t>
  </si>
  <si>
    <t>Detail of Rate Base Adjustment</t>
  </si>
  <si>
    <t>Cost Removed in Errorr in 1999</t>
  </si>
  <si>
    <t>Amortization 1999</t>
  </si>
  <si>
    <t>Amortization 1/1/00 - 9/30/00</t>
  </si>
  <si>
    <t>Ending Balance</t>
  </si>
  <si>
    <t>Average Balance</t>
  </si>
  <si>
    <t>overstatement.</t>
  </si>
  <si>
    <t>The amounts included in Column B are based the Company responses to CCS 20.5 and</t>
  </si>
  <si>
    <t>CCS 20.9.</t>
  </si>
  <si>
    <t>Severance Accrual - Officers &amp; Employees</t>
  </si>
  <si>
    <t>Acceleration of Restricted Stock Plan</t>
  </si>
  <si>
    <t>CCS Exhibit 2.6</t>
  </si>
  <si>
    <t xml:space="preserve">Special Bonuses </t>
  </si>
  <si>
    <t>Amortization of Costs</t>
  </si>
  <si>
    <t>Merger Related and Non-recurring Costs</t>
  </si>
  <si>
    <t>The Company adjustment purports that the costs in Company Adjustment 4.18 are "Costs Triggered by Merger" and</t>
  </si>
  <si>
    <t>in  rates or "may not" qualify.  The costs are special costs and therefore do not fall into the category of "Normal</t>
  </si>
  <si>
    <t>severance costs" that "may be considered for allowance in rates".  The costs are not future costs as a result of the</t>
  </si>
  <si>
    <t>in the Stipulation.  The costs have the appearance of being enhancements to severance costs which have been</t>
  </si>
  <si>
    <t xml:space="preserve">above costs in rates. </t>
  </si>
  <si>
    <t>The amounts in Column B are based on the response to DPU 2.20.</t>
  </si>
  <si>
    <t xml:space="preserve">specifically excluded from rate recovery.  Evidence has not been provided that would justify the inclusion of the </t>
  </si>
  <si>
    <t>Postretirement Expense</t>
  </si>
  <si>
    <t>Pension Expense</t>
  </si>
  <si>
    <t>Detail of Expense Adjustment</t>
  </si>
  <si>
    <t>Test Year</t>
  </si>
  <si>
    <t>Amount</t>
  </si>
  <si>
    <t>Pension Expense Adjustment</t>
  </si>
  <si>
    <t>Less: Total Company Per Books</t>
  </si>
  <si>
    <t>Postretirement Expense Adjustment</t>
  </si>
  <si>
    <t>Total Benefit Adjustment</t>
  </si>
  <si>
    <t>CCS Exhibit 2.7</t>
  </si>
  <si>
    <t>Pension &amp; Postretirement Adjustment</t>
  </si>
  <si>
    <t>The test year expense was based on monthly accrual and does reflect an actuarial calculated</t>
  </si>
  <si>
    <t>expense level.  The Company provided an estimated test year expense based on two different</t>
  </si>
  <si>
    <t xml:space="preserve">actuarial reported amounts.  The Company calculation however is not properly weighted and </t>
  </si>
  <si>
    <t xml:space="preserve">overstates the test year expense.  The above calculation reflects allocation of the respective </t>
  </si>
  <si>
    <t>period costs based on the actual number of months from the test year included in the period.</t>
  </si>
  <si>
    <t>The calculation above properly adjusts test year expense to actuarial expense amounts.</t>
  </si>
  <si>
    <t>The amounts in Column B (Lines 6-13) are from the Company response to DPU 5.1.</t>
  </si>
  <si>
    <t>The amounts on lines 9 and 14 are from the Company response to DPU 5.1.</t>
  </si>
  <si>
    <t>Lines 2-15 of Columns A,B,C and D are from the Company response to CCS 5.14 Revised, except Column</t>
  </si>
  <si>
    <t>Employee Complement Analysis</t>
  </si>
  <si>
    <t>The Company used an estimate in determining the test year transition plan costs.  The actual costs were</t>
  </si>
  <si>
    <t xml:space="preserve">provided in response to CCS 5.50.  This adjustment appropriately reflects the correction to the Company's </t>
  </si>
  <si>
    <t xml:space="preserve">the test year, therefore the Company's adjustment was overstated.  This adjustment corrects the  </t>
  </si>
  <si>
    <t>Additional Severance Accrual</t>
  </si>
  <si>
    <t>Cost Triggered by Merger - Correction</t>
  </si>
  <si>
    <t>Cost Triggered by Merger - Adjustment</t>
  </si>
  <si>
    <t>transition plan since they have been referred to as "early transition costs" in response to DPU 2.20.  Even if they</t>
  </si>
  <si>
    <t>were considered future transition costs, there have not been any cost savings associated with them as specified</t>
  </si>
  <si>
    <t>6/15</t>
  </si>
  <si>
    <t>6/12</t>
  </si>
  <si>
    <t>Postretirement Cost 4/1/00 - 3/31/01</t>
  </si>
  <si>
    <t>Postretirement Cost 1/1/99 - 3/31/00</t>
  </si>
  <si>
    <t>The Company's Adjustment 4.18 included six different costs.  Two of the costs had been reversed during</t>
  </si>
  <si>
    <t>not merger related costs.  Based on the Docket No. 98-2035-04 Stipulation, the costs either do not qualify for recovery</t>
  </si>
  <si>
    <t>Acceleration of Non-Emp. Director Stock (Cash)</t>
  </si>
  <si>
    <t>Pension Cost 1/1/99 - 3/31/00</t>
  </si>
  <si>
    <t>Pension Cost 4/1/00 - 3/31/01</t>
  </si>
  <si>
    <t xml:space="preserve">The employee count at the end of the test year was 5,865. Therefore payroll for an additional 33 employees must be  </t>
  </si>
  <si>
    <t>Company calculated the impact of this oversight.  The adjustment corrects the Company's Adjustment 4.5.</t>
  </si>
  <si>
    <t xml:space="preserve">test year as provided by the Company.  Actual test year costs are more appropriate than the estimated costs, therefore, the </t>
  </si>
  <si>
    <t xml:space="preserve">The test year included  $59,631,176 of incentive compensation on a total Company basis. This is more than three </t>
  </si>
  <si>
    <t>times the amount currently included in rates established in Docket No. 99-035-10.  The incentive compensation plan</t>
  </si>
  <si>
    <t>is considered excessive.  An adjustment to remove 50% of the incentive compensation expensed is appropriate.</t>
  </si>
  <si>
    <t>available. Justification of the incentive compensation has not been provided and the level of incentive compensation</t>
  </si>
  <si>
    <t>be paid.  The information needed to test and verify the respective goals and measurements was not made</t>
  </si>
  <si>
    <t xml:space="preserve">includes a number of goals and measurments that are used to determine the amount of incentive compensation to </t>
  </si>
  <si>
    <t>required to remove the compensation related to earnings goals.</t>
  </si>
  <si>
    <t>B has been adjusted to reflect the adjusted amount from CCS Exhibit 2.1.</t>
  </si>
  <si>
    <t>Lines 16-22 of Column D is from CCS Exhibit 2.1.</t>
  </si>
  <si>
    <t>Line 15 is from Exhibit CCS 2.4.1.</t>
  </si>
  <si>
    <t>Amounts in Column B are from Exhibit CCS 2.5.1.</t>
  </si>
  <si>
    <t>CCS Exhibit 2.5.1</t>
  </si>
  <si>
    <t>CCS Exhibit 2.8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</si>
</sst>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_);\(#,##0.0\)"/>
    <numFmt numFmtId="166" formatCode="m/d/yyyy"/>
    <numFmt numFmtId="167" formatCode="#\ ??/16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7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37" fontId="0" fillId="0" borderId="7" xfId="0" applyNumberFormat="1" applyBorder="1" applyAlignment="1">
      <alignment/>
    </xf>
    <xf numFmtId="164" fontId="0" fillId="0" borderId="1" xfId="0" applyNumberFormat="1" applyBorder="1" applyAlignment="1">
      <alignment/>
    </xf>
    <xf numFmtId="37" fontId="0" fillId="0" borderId="9" xfId="0" applyNumberFormat="1" applyBorder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3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workbookViewId="0" topLeftCell="E1">
      <selection activeCell="K5" sqref="K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1.7109375" style="0" customWidth="1"/>
    <col min="5" max="5" width="1.28515625" style="0" customWidth="1"/>
    <col min="7" max="7" width="1.28515625" style="0" customWidth="1"/>
    <col min="8" max="8" width="10.7109375" style="0" bestFit="1" customWidth="1"/>
    <col min="9" max="9" width="1.28515625" style="0" customWidth="1"/>
    <col min="11" max="11" width="1.28515625" style="0" customWidth="1"/>
    <col min="12" max="12" width="9.28125" style="0" bestFit="1" customWidth="1"/>
    <col min="13" max="13" width="1.28515625" style="0" customWidth="1"/>
    <col min="14" max="14" width="10.7109375" style="0" bestFit="1" customWidth="1"/>
    <col min="15" max="15" width="1.28515625" style="0" customWidth="1"/>
    <col min="16" max="16" width="11.28125" style="0" bestFit="1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114</v>
      </c>
      <c r="K3" t="s">
        <v>8</v>
      </c>
    </row>
    <row r="4" spans="2:11" ht="12.75">
      <c r="B4" t="s">
        <v>2</v>
      </c>
      <c r="K4" t="s">
        <v>52</v>
      </c>
    </row>
    <row r="6" spans="6:16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  <c r="P6" s="2" t="s">
        <v>46</v>
      </c>
    </row>
    <row r="7" spans="2:16" ht="12.75">
      <c r="B7" s="2" t="s">
        <v>3</v>
      </c>
      <c r="C7" s="2"/>
      <c r="D7" s="2"/>
      <c r="E7" s="2"/>
      <c r="F7" s="2"/>
      <c r="G7" s="2"/>
      <c r="H7" s="2" t="s">
        <v>10</v>
      </c>
      <c r="I7" s="2"/>
      <c r="J7" s="2" t="s">
        <v>12</v>
      </c>
      <c r="K7" s="2"/>
      <c r="L7" s="2" t="s">
        <v>12</v>
      </c>
      <c r="N7" s="2" t="s">
        <v>12</v>
      </c>
      <c r="O7" s="2"/>
      <c r="P7" s="2" t="s">
        <v>12</v>
      </c>
    </row>
    <row r="8" spans="2:16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13</v>
      </c>
      <c r="O8" s="2"/>
      <c r="P8" s="3" t="s">
        <v>14</v>
      </c>
    </row>
    <row r="10" spans="2:4" ht="12.75">
      <c r="B10">
        <v>1</v>
      </c>
      <c r="D10" t="s">
        <v>9</v>
      </c>
    </row>
    <row r="12" spans="2:16" ht="12.75">
      <c r="B12">
        <v>2</v>
      </c>
      <c r="F12" s="2">
        <v>500</v>
      </c>
      <c r="H12" s="5">
        <v>6130255</v>
      </c>
      <c r="J12" t="s">
        <v>18</v>
      </c>
      <c r="L12" s="6">
        <v>0.371436</v>
      </c>
      <c r="N12" s="5">
        <f>+H12*L12</f>
        <v>2276997.39618</v>
      </c>
      <c r="P12" s="5">
        <f>(+N12/19128071)*-6619734</f>
        <v>-788010.3059740952</v>
      </c>
    </row>
    <row r="13" spans="2:16" ht="12.75">
      <c r="B13">
        <v>3</v>
      </c>
      <c r="F13" s="2">
        <v>506</v>
      </c>
      <c r="H13" s="5">
        <v>-771067</v>
      </c>
      <c r="J13" t="s">
        <v>18</v>
      </c>
      <c r="L13" s="6">
        <v>0.371436</v>
      </c>
      <c r="N13" s="5">
        <f aca="true" t="shared" si="0" ref="N13:N22">+H13*L13</f>
        <v>-286402.042212</v>
      </c>
      <c r="P13" s="5">
        <f aca="true" t="shared" si="1" ref="P13:P22">(+N13/19128071)*-6619734</f>
        <v>99116.38954603481</v>
      </c>
    </row>
    <row r="14" spans="2:16" ht="12.75">
      <c r="B14">
        <v>4</v>
      </c>
      <c r="F14" s="2">
        <v>514</v>
      </c>
      <c r="H14" s="5">
        <v>95986</v>
      </c>
      <c r="J14" t="s">
        <v>18</v>
      </c>
      <c r="L14" s="6">
        <v>0.371436</v>
      </c>
      <c r="N14" s="5">
        <f t="shared" si="0"/>
        <v>35652.655896</v>
      </c>
      <c r="P14" s="5">
        <f t="shared" si="1"/>
        <v>-12338.468339282703</v>
      </c>
    </row>
    <row r="15" spans="2:16" ht="12.75">
      <c r="B15">
        <v>5</v>
      </c>
      <c r="F15" s="2">
        <v>535</v>
      </c>
      <c r="H15" s="5">
        <v>1136945</v>
      </c>
      <c r="J15" t="s">
        <v>19</v>
      </c>
      <c r="L15" s="6">
        <v>0.374136</v>
      </c>
      <c r="N15" s="5">
        <f t="shared" si="0"/>
        <v>425372.05452</v>
      </c>
      <c r="P15" s="5">
        <f t="shared" si="1"/>
        <v>-147210.34086269847</v>
      </c>
    </row>
    <row r="16" spans="2:16" ht="12.75">
      <c r="B16">
        <v>6</v>
      </c>
      <c r="F16" s="2">
        <v>547</v>
      </c>
      <c r="H16" s="5">
        <v>32495</v>
      </c>
      <c r="J16" t="s">
        <v>20</v>
      </c>
      <c r="L16" s="6">
        <v>0.368935</v>
      </c>
      <c r="N16" s="5">
        <f t="shared" si="0"/>
        <v>11988.542825</v>
      </c>
      <c r="P16" s="5">
        <f t="shared" si="1"/>
        <v>-4148.926703017181</v>
      </c>
    </row>
    <row r="17" spans="2:16" ht="12.75">
      <c r="B17">
        <v>7</v>
      </c>
      <c r="F17" s="2">
        <v>557</v>
      </c>
      <c r="H17" s="5">
        <v>2968793</v>
      </c>
      <c r="J17" t="s">
        <v>22</v>
      </c>
      <c r="L17" s="6">
        <v>0.371436</v>
      </c>
      <c r="N17" s="5">
        <f t="shared" si="0"/>
        <v>1102716.596748</v>
      </c>
      <c r="P17" s="5">
        <f t="shared" si="1"/>
        <v>-381621.88690417475</v>
      </c>
    </row>
    <row r="18" spans="2:16" ht="12.75">
      <c r="B18">
        <v>8</v>
      </c>
      <c r="F18" s="2">
        <v>560</v>
      </c>
      <c r="H18" s="5">
        <v>397194</v>
      </c>
      <c r="J18" t="s">
        <v>23</v>
      </c>
      <c r="L18" s="6">
        <v>0.371436</v>
      </c>
      <c r="N18" s="5">
        <f t="shared" si="0"/>
        <v>147532.150584</v>
      </c>
      <c r="P18" s="5">
        <f t="shared" si="1"/>
        <v>-51057.08742476043</v>
      </c>
    </row>
    <row r="19" spans="2:16" ht="12.75">
      <c r="B19">
        <v>9</v>
      </c>
      <c r="F19" s="2">
        <v>580</v>
      </c>
      <c r="H19" s="5">
        <v>21458368</v>
      </c>
      <c r="J19" t="s">
        <v>24</v>
      </c>
      <c r="L19" s="6">
        <v>0.373931</v>
      </c>
      <c r="N19" s="5">
        <f t="shared" si="0"/>
        <v>8023949.004608001</v>
      </c>
      <c r="P19" s="5">
        <f t="shared" si="1"/>
        <v>-2776882.626589463</v>
      </c>
    </row>
    <row r="20" spans="2:16" ht="12.75">
      <c r="B20">
        <v>10</v>
      </c>
      <c r="F20" s="2">
        <v>593</v>
      </c>
      <c r="H20" s="5">
        <v>108128</v>
      </c>
      <c r="J20" t="s">
        <v>25</v>
      </c>
      <c r="L20" s="6">
        <v>0</v>
      </c>
      <c r="N20" s="5">
        <f t="shared" si="0"/>
        <v>0</v>
      </c>
      <c r="P20" s="5">
        <f t="shared" si="1"/>
        <v>0</v>
      </c>
    </row>
    <row r="21" spans="2:16" ht="12.75">
      <c r="B21">
        <v>11</v>
      </c>
      <c r="F21" s="2">
        <v>911</v>
      </c>
      <c r="H21" s="5">
        <v>195944</v>
      </c>
      <c r="J21" t="s">
        <v>26</v>
      </c>
      <c r="L21" s="6">
        <v>0.437419</v>
      </c>
      <c r="N21" s="5">
        <f t="shared" si="0"/>
        <v>85709.628536</v>
      </c>
      <c r="P21" s="5">
        <f t="shared" si="1"/>
        <v>-29661.900677132027</v>
      </c>
    </row>
    <row r="22" spans="2:16" ht="12.75">
      <c r="B22">
        <v>12</v>
      </c>
      <c r="F22" s="2">
        <v>921</v>
      </c>
      <c r="H22" s="7">
        <v>19700829</v>
      </c>
      <c r="J22" t="s">
        <v>27</v>
      </c>
      <c r="L22" s="6">
        <v>0.370774</v>
      </c>
      <c r="N22" s="7">
        <f t="shared" si="0"/>
        <v>7304555.171646</v>
      </c>
      <c r="P22" s="7">
        <f t="shared" si="1"/>
        <v>-2527918.9012117772</v>
      </c>
    </row>
    <row r="23" spans="6:16" ht="12.75">
      <c r="F23" s="2"/>
      <c r="H23" s="5"/>
      <c r="N23" s="5"/>
      <c r="P23" s="5"/>
    </row>
    <row r="24" spans="2:16" ht="13.5" thickBot="1">
      <c r="B24">
        <v>13</v>
      </c>
      <c r="D24" s="2" t="s">
        <v>35</v>
      </c>
      <c r="F24" s="2"/>
      <c r="H24" s="5">
        <f>SUM(H12:H23)</f>
        <v>51453870</v>
      </c>
      <c r="N24" s="5">
        <f>SUM(N12:N23)</f>
        <v>19128071.159331</v>
      </c>
      <c r="P24" s="9">
        <f>SUM(P12:P23)</f>
        <v>-6619734.055140367</v>
      </c>
    </row>
    <row r="25" spans="6:16" ht="13.5" thickTop="1">
      <c r="F25" s="2"/>
      <c r="H25" s="5"/>
      <c r="N25" s="5"/>
      <c r="P25" s="5"/>
    </row>
    <row r="26" spans="2:16" ht="12.75">
      <c r="B26">
        <v>14</v>
      </c>
      <c r="F26" s="2" t="s">
        <v>21</v>
      </c>
      <c r="H26" s="7">
        <v>8206101</v>
      </c>
      <c r="J26" t="s">
        <v>28</v>
      </c>
      <c r="N26" s="7">
        <v>3055747</v>
      </c>
      <c r="P26" s="5"/>
    </row>
    <row r="27" spans="6:16" ht="12.75">
      <c r="F27" s="2"/>
      <c r="H27" s="5"/>
      <c r="N27" s="5"/>
      <c r="P27" s="5"/>
    </row>
    <row r="28" spans="2:16" ht="13.5" thickBot="1">
      <c r="B28">
        <v>15</v>
      </c>
      <c r="D28" s="10" t="s">
        <v>10</v>
      </c>
      <c r="F28" s="2"/>
      <c r="H28" s="9">
        <f>SUM(H24:H26)</f>
        <v>59659971</v>
      </c>
      <c r="N28" s="9">
        <f>SUM(N24:N26)</f>
        <v>22183818.159331</v>
      </c>
      <c r="P28" s="5"/>
    </row>
    <row r="29" spans="8:16" ht="13.5" thickTop="1">
      <c r="H29" s="5"/>
      <c r="P29" s="5"/>
    </row>
    <row r="30" spans="2:16" ht="12.75">
      <c r="B30">
        <v>16</v>
      </c>
      <c r="D30" t="s">
        <v>30</v>
      </c>
      <c r="H30" s="5">
        <v>30075873</v>
      </c>
      <c r="L30" s="6">
        <v>0.371752</v>
      </c>
      <c r="N30" s="5">
        <f>+H30*L30</f>
        <v>11180765.939496001</v>
      </c>
      <c r="P30" s="5"/>
    </row>
    <row r="31" spans="2:16" ht="12.75">
      <c r="B31">
        <v>17</v>
      </c>
      <c r="D31" t="s">
        <v>31</v>
      </c>
      <c r="H31" s="7">
        <v>17806856</v>
      </c>
      <c r="L31" s="6">
        <v>0.371752</v>
      </c>
      <c r="N31" s="7">
        <f>+H31*L31</f>
        <v>6619734.331712</v>
      </c>
      <c r="P31" s="5">
        <v>-6619734</v>
      </c>
    </row>
    <row r="32" spans="2:16" ht="12.75">
      <c r="B32">
        <v>18</v>
      </c>
      <c r="D32" s="2" t="s">
        <v>35</v>
      </c>
      <c r="H32" s="5">
        <f>SUM(H30:H31)</f>
        <v>47882729</v>
      </c>
      <c r="N32" s="5">
        <f>SUM(N30:N31)</f>
        <v>17800500.271208003</v>
      </c>
      <c r="P32" s="5"/>
    </row>
    <row r="33" spans="2:16" ht="12.75">
      <c r="B33">
        <v>19</v>
      </c>
      <c r="D33" t="s">
        <v>32</v>
      </c>
      <c r="H33" s="5">
        <v>2724882</v>
      </c>
      <c r="L33" s="6">
        <v>0.371752</v>
      </c>
      <c r="N33" s="5">
        <f>+H33*L33</f>
        <v>1012980.333264</v>
      </c>
      <c r="P33" s="5"/>
    </row>
    <row r="34" spans="2:16" ht="12.75">
      <c r="B34">
        <v>20</v>
      </c>
      <c r="D34" t="s">
        <v>33</v>
      </c>
      <c r="H34" s="5">
        <v>8206101</v>
      </c>
      <c r="L34" s="6">
        <v>0.372375</v>
      </c>
      <c r="N34" s="5">
        <f>+H34*L34</f>
        <v>3055746.859875</v>
      </c>
      <c r="P34" s="5"/>
    </row>
    <row r="35" spans="2:16" ht="12.75">
      <c r="B35">
        <v>21</v>
      </c>
      <c r="D35" t="s">
        <v>34</v>
      </c>
      <c r="H35" s="7">
        <v>817465</v>
      </c>
      <c r="L35" s="6">
        <v>0.371752</v>
      </c>
      <c r="N35" s="7">
        <f>+H35*L35</f>
        <v>303894.24868</v>
      </c>
      <c r="P35" s="5"/>
    </row>
    <row r="36" spans="8:16" ht="12.75">
      <c r="H36" s="5"/>
      <c r="P36" s="5"/>
    </row>
    <row r="37" spans="2:14" ht="13.5" thickBot="1">
      <c r="B37">
        <v>22</v>
      </c>
      <c r="D37" s="10" t="s">
        <v>10</v>
      </c>
      <c r="H37" s="9">
        <f>SUM(H32:H35)</f>
        <v>59631177</v>
      </c>
      <c r="N37" s="9">
        <f>SUM(N32:N35)</f>
        <v>22173121.713027004</v>
      </c>
    </row>
    <row r="38" ht="13.5" thickTop="1">
      <c r="H38" s="5"/>
    </row>
    <row r="39" spans="2:14" ht="12.75">
      <c r="B39">
        <v>23</v>
      </c>
      <c r="D39" t="s">
        <v>36</v>
      </c>
      <c r="H39" s="5">
        <f>+H24-H32</f>
        <v>3571141</v>
      </c>
      <c r="N39" s="5">
        <f>+N24-N32</f>
        <v>1327570.8881229982</v>
      </c>
    </row>
    <row r="40" ht="12.75">
      <c r="H40" s="5"/>
    </row>
    <row r="41" ht="12.75">
      <c r="H41" s="5"/>
    </row>
    <row r="43" ht="12.75">
      <c r="B43" t="s">
        <v>37</v>
      </c>
    </row>
    <row r="44" spans="2:14" ht="12.75">
      <c r="B44" s="12" t="s">
        <v>38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2:14" ht="12.75">
      <c r="B45" s="15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ht="12.75">
      <c r="B46" s="15" t="s">
        <v>40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2:14" ht="12.75">
      <c r="B47" s="18" t="s">
        <v>222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9"/>
    </row>
    <row r="49" spans="2:4" ht="12.75">
      <c r="B49" t="s">
        <v>41</v>
      </c>
      <c r="D49" t="s">
        <v>50</v>
      </c>
    </row>
    <row r="50" ht="12.75">
      <c r="D50" t="s">
        <v>49</v>
      </c>
    </row>
    <row r="51" ht="12.75">
      <c r="D51" t="s">
        <v>48</v>
      </c>
    </row>
    <row r="52" ht="12.75">
      <c r="D52" t="s">
        <v>51</v>
      </c>
    </row>
  </sheetData>
  <printOptions/>
  <pageMargins left="0.75" right="0.75" top="1" bottom="1" header="0.5" footer="0.5"/>
  <pageSetup horizontalDpi="600" verticalDpi="6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A1">
      <selection activeCell="J5" sqref="J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1.7109375" style="0" customWidth="1"/>
    <col min="5" max="5" width="1.28515625" style="0" customWidth="1"/>
    <col min="7" max="7" width="1.28515625" style="0" customWidth="1"/>
    <col min="8" max="8" width="12.7109375" style="0" bestFit="1" customWidth="1"/>
    <col min="9" max="9" width="1.28515625" style="0" customWidth="1"/>
    <col min="10" max="10" width="11.28125" style="0" bestFit="1" customWidth="1"/>
    <col min="11" max="11" width="1.28515625" style="0" customWidth="1"/>
    <col min="12" max="12" width="13.421875" style="0" bestFit="1" customWidth="1"/>
    <col min="13" max="13" width="1.28515625" style="0" customWidth="1"/>
    <col min="14" max="14" width="10.28125" style="0" bestFit="1" customWidth="1"/>
  </cols>
  <sheetData>
    <row r="1" spans="2:10" ht="12.75">
      <c r="B1" t="s">
        <v>0</v>
      </c>
      <c r="J1" t="s">
        <v>6</v>
      </c>
    </row>
    <row r="2" spans="2:10" ht="12.75">
      <c r="B2" t="s">
        <v>1</v>
      </c>
      <c r="J2" t="s">
        <v>7</v>
      </c>
    </row>
    <row r="3" spans="2:10" ht="12.75">
      <c r="B3" s="1" t="s">
        <v>185</v>
      </c>
      <c r="J3" t="s">
        <v>8</v>
      </c>
    </row>
    <row r="4" spans="2:10" ht="12.75">
      <c r="B4" t="s">
        <v>2</v>
      </c>
      <c r="J4" t="s">
        <v>228</v>
      </c>
    </row>
    <row r="6" spans="6:14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</row>
    <row r="7" spans="2:14" ht="12.75">
      <c r="B7" s="2" t="s">
        <v>3</v>
      </c>
      <c r="C7" s="2"/>
      <c r="D7" s="2"/>
      <c r="E7" s="2"/>
      <c r="F7" s="2"/>
      <c r="G7" s="2"/>
      <c r="H7" s="2" t="s">
        <v>10</v>
      </c>
      <c r="I7" s="2"/>
      <c r="J7" s="2" t="s">
        <v>12</v>
      </c>
      <c r="K7" s="2"/>
      <c r="L7" s="2" t="s">
        <v>12</v>
      </c>
      <c r="N7" s="2" t="s">
        <v>12</v>
      </c>
    </row>
    <row r="8" spans="2:14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14</v>
      </c>
    </row>
    <row r="10" spans="2:4" ht="12.75">
      <c r="B10">
        <v>1</v>
      </c>
      <c r="D10" s="1" t="s">
        <v>9</v>
      </c>
    </row>
    <row r="12" spans="2:14" ht="12.75">
      <c r="B12">
        <v>2</v>
      </c>
      <c r="D12" t="s">
        <v>176</v>
      </c>
      <c r="H12" s="5">
        <f>L24</f>
        <v>-6422853.9</v>
      </c>
      <c r="J12" s="2" t="s">
        <v>27</v>
      </c>
      <c r="L12" s="6">
        <v>0.37077</v>
      </c>
      <c r="N12" s="11">
        <f>H12*L12</f>
        <v>-2381401.540503</v>
      </c>
    </row>
    <row r="13" spans="2:14" ht="12.75">
      <c r="B13">
        <v>3</v>
      </c>
      <c r="D13" t="s">
        <v>175</v>
      </c>
      <c r="H13" s="5">
        <f>L31</f>
        <v>2006013.5</v>
      </c>
      <c r="J13" s="2" t="s">
        <v>27</v>
      </c>
      <c r="L13" s="6">
        <v>0.37077</v>
      </c>
      <c r="N13" s="11">
        <f>H13*L13</f>
        <v>743769.625395</v>
      </c>
    </row>
    <row r="14" spans="2:14" ht="13.5" thickBot="1">
      <c r="B14">
        <v>4</v>
      </c>
      <c r="D14" s="2" t="s">
        <v>183</v>
      </c>
      <c r="F14">
        <v>926</v>
      </c>
      <c r="H14" s="34">
        <f>SUM(H12:H13)</f>
        <v>-4416840.4</v>
      </c>
      <c r="J14" s="2"/>
      <c r="L14" s="6"/>
      <c r="N14" s="34">
        <f>SUM(N12:N13)</f>
        <v>-1637631.915108</v>
      </c>
    </row>
    <row r="15" ht="13.5" thickTop="1"/>
    <row r="16" spans="8:12" ht="12.75">
      <c r="H16" s="2" t="s">
        <v>10</v>
      </c>
      <c r="J16" s="2" t="s">
        <v>13</v>
      </c>
      <c r="K16" s="2"/>
      <c r="L16" s="2" t="s">
        <v>178</v>
      </c>
    </row>
    <row r="17" spans="2:12" ht="12.75">
      <c r="B17">
        <v>5</v>
      </c>
      <c r="D17" t="s">
        <v>177</v>
      </c>
      <c r="H17" s="3" t="s">
        <v>11</v>
      </c>
      <c r="J17" s="3" t="s">
        <v>16</v>
      </c>
      <c r="K17" s="2"/>
      <c r="L17" s="3" t="s">
        <v>179</v>
      </c>
    </row>
    <row r="19" spans="2:12" ht="12.75">
      <c r="B19">
        <v>6</v>
      </c>
      <c r="D19" t="s">
        <v>211</v>
      </c>
      <c r="H19" s="5">
        <v>23848349</v>
      </c>
      <c r="J19" s="37" t="s">
        <v>204</v>
      </c>
      <c r="L19" s="5">
        <f>H19*(6/15)</f>
        <v>9539339.6</v>
      </c>
    </row>
    <row r="20" spans="2:12" ht="12.75">
      <c r="B20">
        <v>7</v>
      </c>
      <c r="D20" t="s">
        <v>212</v>
      </c>
      <c r="H20" s="7">
        <v>-10280149</v>
      </c>
      <c r="J20" s="37" t="s">
        <v>205</v>
      </c>
      <c r="L20" s="7">
        <f>H20*(6/12)</f>
        <v>-5140074.5</v>
      </c>
    </row>
    <row r="21" spans="2:12" ht="13.5" thickBot="1">
      <c r="B21">
        <v>8</v>
      </c>
      <c r="D21" s="2" t="s">
        <v>10</v>
      </c>
      <c r="H21" s="34">
        <f>SUM(H19:H20)</f>
        <v>13568200</v>
      </c>
      <c r="L21" s="11">
        <f>SUM(L19:L20)</f>
        <v>4399265.1</v>
      </c>
    </row>
    <row r="22" ht="13.5" thickTop="1">
      <c r="H22" s="5"/>
    </row>
    <row r="23" spans="2:12" ht="12.75">
      <c r="B23">
        <v>9</v>
      </c>
      <c r="D23" t="s">
        <v>181</v>
      </c>
      <c r="L23" s="5">
        <v>10822119</v>
      </c>
    </row>
    <row r="24" spans="2:12" ht="13.5" thickBot="1">
      <c r="B24">
        <v>10</v>
      </c>
      <c r="D24" t="s">
        <v>180</v>
      </c>
      <c r="L24" s="34">
        <f>+L21-L23</f>
        <v>-6422853.9</v>
      </c>
    </row>
    <row r="25" ht="13.5" thickTop="1"/>
    <row r="26" spans="2:12" ht="12.75">
      <c r="B26">
        <v>11</v>
      </c>
      <c r="D26" t="s">
        <v>207</v>
      </c>
      <c r="H26" s="5">
        <v>21857300</v>
      </c>
      <c r="J26" s="37" t="s">
        <v>204</v>
      </c>
      <c r="L26" s="5">
        <f>H26*(6/15)</f>
        <v>8742920</v>
      </c>
    </row>
    <row r="27" spans="2:12" ht="12.75">
      <c r="B27">
        <v>12</v>
      </c>
      <c r="D27" t="s">
        <v>206</v>
      </c>
      <c r="H27" s="7">
        <v>12761463</v>
      </c>
      <c r="J27" s="37" t="s">
        <v>205</v>
      </c>
      <c r="L27" s="7">
        <f>H27*(6/12)</f>
        <v>6380731.5</v>
      </c>
    </row>
    <row r="28" spans="2:12" ht="13.5" thickBot="1">
      <c r="B28">
        <v>13</v>
      </c>
      <c r="D28" s="2" t="s">
        <v>10</v>
      </c>
      <c r="H28" s="34">
        <f>SUM(H26:H27)</f>
        <v>34618763</v>
      </c>
      <c r="L28" s="11">
        <f>SUM(L26:L27)</f>
        <v>15123651.5</v>
      </c>
    </row>
    <row r="29" ht="13.5" thickTop="1"/>
    <row r="30" spans="2:12" ht="12.75">
      <c r="B30">
        <v>14</v>
      </c>
      <c r="D30" t="s">
        <v>181</v>
      </c>
      <c r="L30" s="5">
        <v>13117638</v>
      </c>
    </row>
    <row r="31" spans="2:12" ht="13.5" thickBot="1">
      <c r="B31">
        <v>15</v>
      </c>
      <c r="D31" t="s">
        <v>182</v>
      </c>
      <c r="L31" s="34">
        <f>+L28-L30</f>
        <v>2006013.5</v>
      </c>
    </row>
    <row r="32" ht="13.5" thickTop="1"/>
    <row r="33" ht="12.75">
      <c r="B33" t="s">
        <v>37</v>
      </c>
    </row>
    <row r="34" spans="2:12" ht="12.75">
      <c r="B34" s="12" t="s">
        <v>186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</row>
    <row r="35" spans="2:12" ht="12.75">
      <c r="B35" s="15" t="s">
        <v>187</v>
      </c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2:12" ht="12.75">
      <c r="B36" s="15" t="s">
        <v>188</v>
      </c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2:12" ht="12.75">
      <c r="B37" s="15" t="s">
        <v>189</v>
      </c>
      <c r="C37" s="16"/>
      <c r="D37" s="16"/>
      <c r="E37" s="16"/>
      <c r="F37" s="16"/>
      <c r="G37" s="16"/>
      <c r="H37" s="16"/>
      <c r="I37" s="16"/>
      <c r="J37" s="16"/>
      <c r="K37" s="16"/>
      <c r="L37" s="17"/>
    </row>
    <row r="38" spans="2:12" ht="12.75">
      <c r="B38" s="15" t="s">
        <v>190</v>
      </c>
      <c r="C38" s="16"/>
      <c r="D38" s="16"/>
      <c r="E38" s="16"/>
      <c r="F38" s="16"/>
      <c r="G38" s="16"/>
      <c r="H38" s="16"/>
      <c r="I38" s="16"/>
      <c r="J38" s="16"/>
      <c r="K38" s="16"/>
      <c r="L38" s="17"/>
    </row>
    <row r="39" spans="2:12" ht="12.75">
      <c r="B39" s="18" t="s">
        <v>191</v>
      </c>
      <c r="C39" s="8"/>
      <c r="D39" s="8"/>
      <c r="E39" s="8"/>
      <c r="F39" s="8"/>
      <c r="G39" s="8"/>
      <c r="H39" s="8"/>
      <c r="I39" s="8"/>
      <c r="J39" s="8"/>
      <c r="K39" s="8"/>
      <c r="L39" s="19"/>
    </row>
    <row r="41" spans="2:4" ht="12.75">
      <c r="B41" t="s">
        <v>41</v>
      </c>
      <c r="D41" t="s">
        <v>192</v>
      </c>
    </row>
    <row r="42" ht="12.75">
      <c r="D42" t="s">
        <v>193</v>
      </c>
    </row>
  </sheetData>
  <printOptions/>
  <pageMargins left="0.75" right="0.75" top="1" bottom="1" header="0.5" footer="0.5"/>
  <pageSetup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workbookViewId="0" topLeftCell="D1">
      <selection activeCell="D36" sqref="D36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1.7109375" style="0" customWidth="1"/>
    <col min="5" max="5" width="1.28515625" style="0" customWidth="1"/>
    <col min="7" max="7" width="1.28515625" style="0" customWidth="1"/>
    <col min="8" max="8" width="10.7109375" style="0" customWidth="1"/>
    <col min="9" max="9" width="1.28515625" style="0" customWidth="1"/>
    <col min="11" max="11" width="1.28515625" style="0" customWidth="1"/>
    <col min="13" max="13" width="1.28515625" style="0" customWidth="1"/>
    <col min="14" max="14" width="10.7109375" style="0" customWidth="1"/>
    <col min="15" max="15" width="1.28515625" style="0" customWidth="1"/>
    <col min="16" max="16" width="10.7109375" style="0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113</v>
      </c>
      <c r="K3" t="s">
        <v>8</v>
      </c>
    </row>
    <row r="4" spans="2:11" ht="12.75">
      <c r="B4" t="s">
        <v>2</v>
      </c>
      <c r="K4" t="s">
        <v>56</v>
      </c>
    </row>
    <row r="6" spans="6:16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  <c r="P6" s="2" t="s">
        <v>46</v>
      </c>
    </row>
    <row r="7" spans="2:16" ht="12.75">
      <c r="B7" s="2" t="s">
        <v>3</v>
      </c>
      <c r="C7" s="2"/>
      <c r="D7" s="2"/>
      <c r="E7" s="2"/>
      <c r="F7" s="2"/>
      <c r="G7" s="2"/>
      <c r="H7" s="2" t="s">
        <v>70</v>
      </c>
      <c r="I7" s="2"/>
      <c r="J7" s="2" t="s">
        <v>12</v>
      </c>
      <c r="K7" s="2"/>
      <c r="L7" s="2" t="s">
        <v>12</v>
      </c>
      <c r="N7" s="2" t="s">
        <v>12</v>
      </c>
      <c r="O7" s="2"/>
      <c r="P7" s="2" t="s">
        <v>12</v>
      </c>
    </row>
    <row r="8" spans="2:16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13</v>
      </c>
      <c r="O8" s="2"/>
      <c r="P8" s="3" t="s">
        <v>14</v>
      </c>
    </row>
    <row r="10" spans="2:4" ht="12.75">
      <c r="B10">
        <v>1</v>
      </c>
      <c r="D10" t="s">
        <v>9</v>
      </c>
    </row>
    <row r="12" spans="2:16" ht="12.75">
      <c r="B12">
        <v>2</v>
      </c>
      <c r="F12" s="2">
        <v>500</v>
      </c>
      <c r="H12" s="5">
        <f>ICEarn!H12-((ICEarn!H12/51453870)*17806856)</f>
        <v>4008732.011966641</v>
      </c>
      <c r="J12" t="s">
        <v>18</v>
      </c>
      <c r="L12" s="6">
        <v>0.371436</v>
      </c>
      <c r="N12" s="5">
        <f>+H12*L12</f>
        <v>1488987.3835968412</v>
      </c>
      <c r="P12" s="5">
        <f>(+N12/12508340)*-5590383</f>
        <v>-665476.7744140518</v>
      </c>
    </row>
    <row r="13" spans="2:16" ht="12.75">
      <c r="B13">
        <v>3</v>
      </c>
      <c r="F13" s="2">
        <v>506</v>
      </c>
      <c r="H13" s="5">
        <f>ICEarn!H13-((ICEarn!H13/51453870)*17806856)</f>
        <v>-504220.618272989</v>
      </c>
      <c r="J13" t="s">
        <v>18</v>
      </c>
      <c r="L13" s="6">
        <v>0.371436</v>
      </c>
      <c r="N13" s="5">
        <f aca="true" t="shared" si="0" ref="N13:N22">+H13*L13</f>
        <v>-187285.68956884593</v>
      </c>
      <c r="P13" s="11">
        <f aca="true" t="shared" si="1" ref="P13:P22">(+N13/12508340)*-5590383</f>
        <v>83704.05146557845</v>
      </c>
    </row>
    <row r="14" spans="2:16" ht="12.75">
      <c r="B14">
        <v>4</v>
      </c>
      <c r="F14" s="2">
        <v>514</v>
      </c>
      <c r="H14" s="5">
        <f>ICEarn!H14-((ICEarn!H14/51453870)*17806856)</f>
        <v>62767.72351241996</v>
      </c>
      <c r="J14" t="s">
        <v>18</v>
      </c>
      <c r="L14" s="6">
        <v>0.371436</v>
      </c>
      <c r="N14" s="5">
        <f t="shared" si="0"/>
        <v>23314.192150559218</v>
      </c>
      <c r="P14" s="11">
        <f t="shared" si="1"/>
        <v>-10419.868940020793</v>
      </c>
    </row>
    <row r="15" spans="2:16" ht="12.75">
      <c r="B15">
        <v>5</v>
      </c>
      <c r="F15" s="2">
        <v>535</v>
      </c>
      <c r="H15" s="5">
        <f>ICEarn!H15-((ICEarn!H15/51453870)*17806856)</f>
        <v>743477.6885048685</v>
      </c>
      <c r="J15" t="s">
        <v>19</v>
      </c>
      <c r="L15" s="6">
        <v>0.374136</v>
      </c>
      <c r="N15" s="5">
        <f t="shared" si="0"/>
        <v>278161.7684664575</v>
      </c>
      <c r="P15" s="11">
        <f t="shared" si="1"/>
        <v>-124319.51975120758</v>
      </c>
    </row>
    <row r="16" spans="2:16" ht="12.75">
      <c r="B16">
        <v>6</v>
      </c>
      <c r="F16" s="2">
        <v>547</v>
      </c>
      <c r="H16" s="5">
        <f>ICEarn!H16-((ICEarn!H16/51453870)*17806856)</f>
        <v>21249.31943758555</v>
      </c>
      <c r="J16" t="s">
        <v>20</v>
      </c>
      <c r="L16" s="6">
        <v>0.368935</v>
      </c>
      <c r="N16" s="5">
        <f t="shared" si="0"/>
        <v>7839.617666705625</v>
      </c>
      <c r="P16" s="11">
        <f t="shared" si="1"/>
        <v>-3503.7795047504937</v>
      </c>
    </row>
    <row r="17" spans="2:16" ht="12.75">
      <c r="B17">
        <v>7</v>
      </c>
      <c r="F17" s="2">
        <v>557</v>
      </c>
      <c r="H17" s="5">
        <f>ICEarn!H17-((ICEarn!H17/51453870)*17806856)</f>
        <v>1941370.3893235242</v>
      </c>
      <c r="J17" t="s">
        <v>22</v>
      </c>
      <c r="L17" s="6">
        <v>0.371436</v>
      </c>
      <c r="N17" s="5">
        <f t="shared" si="0"/>
        <v>721094.8519287725</v>
      </c>
      <c r="P17" s="11">
        <f t="shared" si="1"/>
        <v>-322280.6864548075</v>
      </c>
    </row>
    <row r="18" spans="2:16" ht="12.75">
      <c r="B18">
        <v>8</v>
      </c>
      <c r="F18" s="2">
        <v>560</v>
      </c>
      <c r="H18" s="5">
        <f>ICEarn!H18-((ICEarn!H18/51453870)*17806856)</f>
        <v>259735.41113070794</v>
      </c>
      <c r="J18" t="s">
        <v>23</v>
      </c>
      <c r="L18" s="6">
        <v>0.371436</v>
      </c>
      <c r="N18" s="5">
        <f t="shared" si="0"/>
        <v>96475.08216874563</v>
      </c>
      <c r="P18" s="11">
        <f t="shared" si="1"/>
        <v>-43117.844516519275</v>
      </c>
    </row>
    <row r="19" spans="2:16" ht="12.75">
      <c r="B19">
        <v>9</v>
      </c>
      <c r="F19" s="2">
        <v>580</v>
      </c>
      <c r="H19" s="5">
        <f>ICEarn!H19-((ICEarn!H19/51453870)*17806856)</f>
        <v>14032180.835244305</v>
      </c>
      <c r="J19" t="s">
        <v>24</v>
      </c>
      <c r="L19" s="6">
        <v>0.373931</v>
      </c>
      <c r="N19" s="5">
        <f t="shared" si="0"/>
        <v>5247067.411903739</v>
      </c>
      <c r="P19" s="11">
        <f t="shared" si="1"/>
        <v>-2345084.676252857</v>
      </c>
    </row>
    <row r="20" spans="2:16" ht="12.75">
      <c r="B20">
        <v>10</v>
      </c>
      <c r="F20" s="2">
        <v>593</v>
      </c>
      <c r="H20" s="5">
        <f>ICEarn!H20-((ICEarn!H20/51453870)*17806856)</f>
        <v>70707.69078772889</v>
      </c>
      <c r="J20" t="s">
        <v>25</v>
      </c>
      <c r="L20" s="6">
        <v>0</v>
      </c>
      <c r="N20" s="5">
        <f t="shared" si="0"/>
        <v>0</v>
      </c>
      <c r="P20" s="11">
        <f t="shared" si="1"/>
        <v>0</v>
      </c>
    </row>
    <row r="21" spans="2:16" ht="12.75">
      <c r="B21">
        <v>11</v>
      </c>
      <c r="F21" s="2">
        <v>911</v>
      </c>
      <c r="H21" s="5">
        <f>ICEarn!H21-((ICEarn!H21/51453870)*17806856)</f>
        <v>128132.84037169605</v>
      </c>
      <c r="J21" t="s">
        <v>26</v>
      </c>
      <c r="L21" s="6">
        <v>0.437419</v>
      </c>
      <c r="N21" s="5">
        <f t="shared" si="0"/>
        <v>56047.73890254692</v>
      </c>
      <c r="P21" s="11">
        <f t="shared" si="1"/>
        <v>-25049.55307812523</v>
      </c>
    </row>
    <row r="22" spans="2:16" ht="12.75">
      <c r="B22">
        <v>12</v>
      </c>
      <c r="F22" s="2">
        <v>921</v>
      </c>
      <c r="H22" s="7">
        <f>ICEarn!H22-((ICEarn!H22/51453870)*17806856)</f>
        <v>12882880.70799351</v>
      </c>
      <c r="J22" t="s">
        <v>27</v>
      </c>
      <c r="L22" s="6">
        <v>0.370774</v>
      </c>
      <c r="N22" s="7">
        <f t="shared" si="0"/>
        <v>4776637.211625585</v>
      </c>
      <c r="P22" s="7">
        <f t="shared" si="1"/>
        <v>-2134834.1558543397</v>
      </c>
    </row>
    <row r="23" spans="6:16" ht="12.75">
      <c r="F23" s="2"/>
      <c r="H23" s="5"/>
      <c r="N23" s="5"/>
      <c r="P23" s="5"/>
    </row>
    <row r="24" spans="2:16" ht="13.5" thickBot="1">
      <c r="B24">
        <v>13</v>
      </c>
      <c r="D24" t="s">
        <v>29</v>
      </c>
      <c r="F24" s="2"/>
      <c r="H24" s="5">
        <f>SUM(H12:H23)</f>
        <v>33647013.99999999</v>
      </c>
      <c r="N24" s="5">
        <f>SUM(N12:N23)</f>
        <v>12508339.568841107</v>
      </c>
      <c r="P24" s="9">
        <f>SUM(P12:P23)</f>
        <v>-5590382.8073011</v>
      </c>
    </row>
    <row r="25" spans="6:16" ht="13.5" thickTop="1">
      <c r="F25" s="2"/>
      <c r="H25" s="5"/>
      <c r="N25" s="5"/>
      <c r="P25" s="5"/>
    </row>
    <row r="26" spans="2:16" ht="12.75">
      <c r="B26">
        <v>14</v>
      </c>
      <c r="F26" s="2" t="s">
        <v>21</v>
      </c>
      <c r="H26" s="7">
        <v>8206101</v>
      </c>
      <c r="J26" t="s">
        <v>28</v>
      </c>
      <c r="N26" s="7">
        <v>3055747</v>
      </c>
      <c r="P26" s="5"/>
    </row>
    <row r="27" spans="6:16" ht="12.75">
      <c r="F27" s="2"/>
      <c r="H27" s="5"/>
      <c r="N27" s="5"/>
      <c r="P27" s="5"/>
    </row>
    <row r="28" spans="2:16" ht="13.5" thickBot="1">
      <c r="B28">
        <v>15</v>
      </c>
      <c r="D28" t="s">
        <v>10</v>
      </c>
      <c r="F28" s="2"/>
      <c r="H28" s="9">
        <f>SUM(H24:H26)</f>
        <v>41853114.99999999</v>
      </c>
      <c r="N28" s="9">
        <f>SUM(N24:N26)</f>
        <v>15564086.568841107</v>
      </c>
      <c r="P28" s="5"/>
    </row>
    <row r="29" spans="8:16" ht="13.5" thickTop="1">
      <c r="H29" s="5"/>
      <c r="P29" s="5"/>
    </row>
    <row r="30" spans="2:16" ht="12.75">
      <c r="B30">
        <v>16</v>
      </c>
      <c r="D30" t="s">
        <v>30</v>
      </c>
      <c r="H30" s="5">
        <v>30075873</v>
      </c>
      <c r="L30" s="6">
        <v>0.371752</v>
      </c>
      <c r="N30" s="5">
        <f>+H30*L30</f>
        <v>11180765.939496001</v>
      </c>
      <c r="P30" s="5">
        <f>N30*-0.5</f>
        <v>-5590382.969748001</v>
      </c>
    </row>
    <row r="31" spans="2:16" ht="12.75">
      <c r="B31">
        <v>17</v>
      </c>
      <c r="D31" t="s">
        <v>31</v>
      </c>
      <c r="H31" s="5">
        <v>0</v>
      </c>
      <c r="L31" s="6">
        <v>0.371752</v>
      </c>
      <c r="N31" s="5">
        <f>+H31*L31</f>
        <v>0</v>
      </c>
      <c r="P31" s="5"/>
    </row>
    <row r="32" spans="2:16" ht="12.75">
      <c r="B32">
        <v>18</v>
      </c>
      <c r="D32" t="s">
        <v>32</v>
      </c>
      <c r="H32" s="5">
        <v>2724882</v>
      </c>
      <c r="L32" s="6">
        <v>0.371752</v>
      </c>
      <c r="N32" s="5">
        <f>+H32*L32</f>
        <v>1012980.333264</v>
      </c>
      <c r="P32" s="5"/>
    </row>
    <row r="33" spans="2:16" ht="12.75">
      <c r="B33">
        <v>19</v>
      </c>
      <c r="D33" t="s">
        <v>33</v>
      </c>
      <c r="H33" s="5">
        <v>8206101</v>
      </c>
      <c r="L33" s="6">
        <v>0.372375</v>
      </c>
      <c r="N33" s="5">
        <f>+H33*L33</f>
        <v>3055746.859875</v>
      </c>
      <c r="P33" s="5"/>
    </row>
    <row r="34" spans="2:16" ht="12.75">
      <c r="B34">
        <v>20</v>
      </c>
      <c r="D34" t="s">
        <v>34</v>
      </c>
      <c r="H34" s="7">
        <v>817465</v>
      </c>
      <c r="L34" s="6">
        <v>0.371752</v>
      </c>
      <c r="N34" s="7">
        <f>+H34*L34</f>
        <v>303894.24868</v>
      </c>
      <c r="P34" s="5"/>
    </row>
    <row r="35" spans="8:16" ht="12.75">
      <c r="H35" s="5"/>
      <c r="P35" s="5"/>
    </row>
    <row r="36" spans="2:16" ht="13.5" thickBot="1">
      <c r="B36">
        <v>21</v>
      </c>
      <c r="D36" t="s">
        <v>10</v>
      </c>
      <c r="H36" s="9">
        <f>SUM(H30:H35)</f>
        <v>41824321</v>
      </c>
      <c r="N36" s="9">
        <f>SUM(N30:N35)</f>
        <v>15553387.381315</v>
      </c>
      <c r="P36" s="5"/>
    </row>
    <row r="37" ht="13.5" thickTop="1">
      <c r="H37" s="5"/>
    </row>
    <row r="38" ht="12.75">
      <c r="H38" s="5"/>
    </row>
    <row r="39" spans="2:8" ht="12.75">
      <c r="B39" t="s">
        <v>37</v>
      </c>
      <c r="H39" s="5"/>
    </row>
    <row r="40" spans="2:16" ht="12.75">
      <c r="B40" s="12" t="s">
        <v>216</v>
      </c>
      <c r="C40" s="13"/>
      <c r="D40" s="13"/>
      <c r="E40" s="13"/>
      <c r="F40" s="13"/>
      <c r="G40" s="13"/>
      <c r="H40" s="20"/>
      <c r="I40" s="13"/>
      <c r="J40" s="13"/>
      <c r="K40" s="13"/>
      <c r="L40" s="13"/>
      <c r="M40" s="13"/>
      <c r="N40" s="13"/>
      <c r="O40" s="13"/>
      <c r="P40" s="14"/>
    </row>
    <row r="41" spans="2:16" ht="12.75">
      <c r="B41" s="15" t="s">
        <v>217</v>
      </c>
      <c r="C41" s="16"/>
      <c r="D41" s="16"/>
      <c r="E41" s="16"/>
      <c r="F41" s="16"/>
      <c r="G41" s="16"/>
      <c r="H41" s="11"/>
      <c r="I41" s="16"/>
      <c r="J41" s="16"/>
      <c r="K41" s="16"/>
      <c r="L41" s="16"/>
      <c r="M41" s="16"/>
      <c r="N41" s="16"/>
      <c r="O41" s="16"/>
      <c r="P41" s="17"/>
    </row>
    <row r="42" spans="2:16" ht="12.75">
      <c r="B42" s="15" t="s">
        <v>221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2:16" ht="12.75">
      <c r="B43" s="15" t="s">
        <v>220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2:16" ht="12.75">
      <c r="B44" s="15" t="s">
        <v>219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</row>
    <row r="45" spans="2:16" ht="12.75">
      <c r="B45" s="18" t="s">
        <v>218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"/>
    </row>
    <row r="47" spans="2:4" ht="12.75">
      <c r="B47" t="s">
        <v>41</v>
      </c>
      <c r="D47" t="s">
        <v>194</v>
      </c>
    </row>
    <row r="48" ht="12.75">
      <c r="D48" t="s">
        <v>223</v>
      </c>
    </row>
    <row r="49" ht="12.75">
      <c r="D49" t="s">
        <v>53</v>
      </c>
    </row>
    <row r="50" ht="12.75">
      <c r="D50" t="s">
        <v>54</v>
      </c>
    </row>
    <row r="51" ht="12.75">
      <c r="D51" t="s">
        <v>224</v>
      </c>
    </row>
  </sheetData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16"/>
  <sheetViews>
    <sheetView workbookViewId="0" topLeftCell="A1">
      <selection activeCell="K5" sqref="K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1.7109375" style="0" customWidth="1"/>
    <col min="5" max="5" width="1.28515625" style="0" customWidth="1"/>
    <col min="7" max="7" width="1.28515625" style="0" customWidth="1"/>
    <col min="8" max="8" width="9.7109375" style="0" bestFit="1" customWidth="1"/>
    <col min="9" max="9" width="1.28515625" style="0" customWidth="1"/>
    <col min="11" max="11" width="1.28515625" style="0" customWidth="1"/>
    <col min="12" max="12" width="9.28125" style="0" bestFit="1" customWidth="1"/>
    <col min="13" max="13" width="1.28515625" style="0" customWidth="1"/>
    <col min="14" max="14" width="9.7109375" style="0" bestFit="1" customWidth="1"/>
    <col min="15" max="15" width="1.28515625" style="0" customWidth="1"/>
    <col min="16" max="16" width="9.7109375" style="0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55</v>
      </c>
      <c r="K3" t="s">
        <v>8</v>
      </c>
    </row>
    <row r="4" spans="2:11" ht="12.75">
      <c r="B4" t="s">
        <v>2</v>
      </c>
      <c r="K4" t="s">
        <v>73</v>
      </c>
    </row>
    <row r="6" spans="6:16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  <c r="P6" s="2" t="s">
        <v>46</v>
      </c>
    </row>
    <row r="7" spans="2:16" ht="12.75">
      <c r="B7" s="2" t="s">
        <v>3</v>
      </c>
      <c r="C7" s="2"/>
      <c r="D7" s="2"/>
      <c r="E7" s="2"/>
      <c r="F7" s="2"/>
      <c r="G7" s="2"/>
      <c r="H7" s="2" t="s">
        <v>10</v>
      </c>
      <c r="I7" s="2"/>
      <c r="J7" s="2" t="s">
        <v>12</v>
      </c>
      <c r="K7" s="2"/>
      <c r="L7" s="2" t="s">
        <v>12</v>
      </c>
      <c r="N7" s="2" t="s">
        <v>12</v>
      </c>
      <c r="O7" s="2"/>
      <c r="P7" s="2" t="s">
        <v>12</v>
      </c>
    </row>
    <row r="8" spans="2:16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13</v>
      </c>
      <c r="O8" s="2"/>
      <c r="P8" s="3" t="s">
        <v>14</v>
      </c>
    </row>
    <row r="10" spans="2:4" ht="12.75">
      <c r="B10">
        <v>1</v>
      </c>
      <c r="D10" t="s">
        <v>9</v>
      </c>
    </row>
    <row r="12" spans="2:16" ht="12.75">
      <c r="B12">
        <v>2</v>
      </c>
      <c r="D12" t="s">
        <v>57</v>
      </c>
      <c r="F12">
        <v>506</v>
      </c>
      <c r="H12" s="5">
        <v>985555</v>
      </c>
      <c r="J12" t="s">
        <v>18</v>
      </c>
      <c r="L12" s="6">
        <v>0.37144</v>
      </c>
      <c r="N12" s="5">
        <v>366071</v>
      </c>
      <c r="P12" s="5">
        <f>(N12/1342671)*-82987</f>
        <v>-22625.89575331559</v>
      </c>
    </row>
    <row r="13" spans="2:16" ht="12.75">
      <c r="B13">
        <v>3</v>
      </c>
      <c r="D13" t="s">
        <v>58</v>
      </c>
      <c r="F13">
        <v>535</v>
      </c>
      <c r="H13" s="5">
        <v>129379</v>
      </c>
      <c r="J13" t="s">
        <v>19</v>
      </c>
      <c r="L13" s="6">
        <v>0.37144</v>
      </c>
      <c r="N13" s="5">
        <v>48056</v>
      </c>
      <c r="P13" s="5">
        <f aca="true" t="shared" si="0" ref="P13:P21">(N13/1342671)*-82987</f>
        <v>-2970.216286789541</v>
      </c>
    </row>
    <row r="14" spans="2:16" ht="12.75">
      <c r="B14">
        <v>4</v>
      </c>
      <c r="D14" t="s">
        <v>59</v>
      </c>
      <c r="F14">
        <v>546</v>
      </c>
      <c r="H14" s="5">
        <v>4910</v>
      </c>
      <c r="J14" t="s">
        <v>66</v>
      </c>
      <c r="L14" s="6">
        <v>0.37144</v>
      </c>
      <c r="N14" s="5">
        <v>1824</v>
      </c>
      <c r="P14" s="5">
        <f t="shared" si="0"/>
        <v>-112.73669275645338</v>
      </c>
    </row>
    <row r="15" spans="2:16" ht="12.75">
      <c r="B15">
        <v>5</v>
      </c>
      <c r="D15" t="s">
        <v>60</v>
      </c>
      <c r="F15">
        <v>557</v>
      </c>
      <c r="H15" s="5">
        <v>152368</v>
      </c>
      <c r="J15" t="s">
        <v>22</v>
      </c>
      <c r="L15" s="6">
        <v>0.37144</v>
      </c>
      <c r="N15" s="5">
        <v>56595</v>
      </c>
      <c r="P15" s="5">
        <f t="shared" si="0"/>
        <v>-3497.9896527146266</v>
      </c>
    </row>
    <row r="16" spans="2:16" ht="12.75">
      <c r="B16">
        <v>6</v>
      </c>
      <c r="D16" t="s">
        <v>61</v>
      </c>
      <c r="F16">
        <v>560</v>
      </c>
      <c r="H16" s="5">
        <v>108097</v>
      </c>
      <c r="J16" t="s">
        <v>23</v>
      </c>
      <c r="L16" s="6">
        <v>0.37144</v>
      </c>
      <c r="N16" s="5">
        <v>40151</v>
      </c>
      <c r="P16" s="5">
        <f t="shared" si="0"/>
        <v>-2481.6288107808987</v>
      </c>
    </row>
    <row r="17" spans="2:16" ht="12.75">
      <c r="B17">
        <v>7</v>
      </c>
      <c r="D17" t="s">
        <v>62</v>
      </c>
      <c r="F17">
        <v>580</v>
      </c>
      <c r="H17" s="5">
        <v>603557</v>
      </c>
      <c r="J17" t="s">
        <v>67</v>
      </c>
      <c r="L17" s="6"/>
      <c r="N17" s="5">
        <v>240688</v>
      </c>
      <c r="P17" s="5">
        <f t="shared" si="0"/>
        <v>-14876.298852064281</v>
      </c>
    </row>
    <row r="18" spans="2:16" ht="12.75">
      <c r="B18">
        <v>8</v>
      </c>
      <c r="D18" t="s">
        <v>62</v>
      </c>
      <c r="F18">
        <v>580</v>
      </c>
      <c r="H18" s="5">
        <v>190724</v>
      </c>
      <c r="J18" t="s">
        <v>24</v>
      </c>
      <c r="L18" s="6">
        <v>0.37393</v>
      </c>
      <c r="N18" s="5">
        <v>71318</v>
      </c>
      <c r="P18" s="5">
        <f t="shared" si="0"/>
        <v>-4407.9799638183895</v>
      </c>
    </row>
    <row r="19" spans="2:16" ht="12.75">
      <c r="B19">
        <v>9</v>
      </c>
      <c r="D19" t="s">
        <v>63</v>
      </c>
      <c r="F19">
        <v>901</v>
      </c>
      <c r="H19" s="5">
        <v>178247</v>
      </c>
      <c r="J19" t="s">
        <v>67</v>
      </c>
      <c r="L19" s="6"/>
      <c r="N19" s="5">
        <v>30103</v>
      </c>
      <c r="P19" s="5">
        <f t="shared" si="0"/>
        <v>-1860.5880822628924</v>
      </c>
    </row>
    <row r="20" spans="2:16" ht="12.75">
      <c r="B20">
        <v>10</v>
      </c>
      <c r="D20" t="s">
        <v>63</v>
      </c>
      <c r="F20">
        <v>901</v>
      </c>
      <c r="H20" s="5">
        <v>296197</v>
      </c>
      <c r="J20" t="s">
        <v>26</v>
      </c>
      <c r="L20" s="6">
        <v>0.43742</v>
      </c>
      <c r="N20" s="5">
        <v>129562</v>
      </c>
      <c r="P20" s="5">
        <f t="shared" si="0"/>
        <v>-8007.890014754173</v>
      </c>
    </row>
    <row r="21" spans="2:16" ht="12.75">
      <c r="B21">
        <v>11</v>
      </c>
      <c r="D21" t="s">
        <v>64</v>
      </c>
      <c r="F21">
        <v>920</v>
      </c>
      <c r="H21" s="7">
        <v>966364</v>
      </c>
      <c r="J21" t="s">
        <v>27</v>
      </c>
      <c r="L21" s="6">
        <v>0.37077</v>
      </c>
      <c r="N21" s="7">
        <v>358303</v>
      </c>
      <c r="P21" s="7">
        <f t="shared" si="0"/>
        <v>-22145.775890743153</v>
      </c>
    </row>
    <row r="22" spans="8:16" ht="12.75">
      <c r="H22" s="5"/>
      <c r="L22" s="6"/>
      <c r="N22" s="5"/>
      <c r="P22" s="5"/>
    </row>
    <row r="23" spans="2:16" ht="13.5" thickBot="1">
      <c r="B23">
        <v>12</v>
      </c>
      <c r="D23" s="2" t="s">
        <v>10</v>
      </c>
      <c r="H23" s="9">
        <f>SUM(H12:H22)</f>
        <v>3615398</v>
      </c>
      <c r="L23" s="6"/>
      <c r="N23" s="9">
        <f>SUM(N12:N22)</f>
        <v>1342671</v>
      </c>
      <c r="P23" s="9">
        <f>SUM(P12:P22)</f>
        <v>-82987</v>
      </c>
    </row>
    <row r="24" spans="8:16" ht="13.5" thickTop="1">
      <c r="H24" s="5"/>
      <c r="L24" s="6"/>
      <c r="N24" s="5"/>
      <c r="P24" s="5"/>
    </row>
    <row r="25" spans="2:16" ht="13.5" thickBot="1">
      <c r="B25">
        <v>13</v>
      </c>
      <c r="D25" t="s">
        <v>65</v>
      </c>
      <c r="H25" s="9">
        <v>223459</v>
      </c>
      <c r="L25" s="6">
        <f>1342671/3615398</f>
        <v>0.37137571022609406</v>
      </c>
      <c r="N25" s="9">
        <f>H25*L25</f>
        <v>82987.24483141275</v>
      </c>
      <c r="P25" s="9">
        <f>-N25</f>
        <v>-82987.24483141275</v>
      </c>
    </row>
    <row r="26" spans="8:16" ht="13.5" thickTop="1">
      <c r="H26" s="5"/>
      <c r="L26" s="6"/>
      <c r="N26" s="5"/>
      <c r="P26" s="5"/>
    </row>
    <row r="27" spans="8:16" ht="12.75">
      <c r="H27" s="5"/>
      <c r="L27" s="6"/>
      <c r="N27" s="5"/>
      <c r="P27" s="5"/>
    </row>
    <row r="28" spans="8:16" ht="12.75">
      <c r="H28" s="5"/>
      <c r="L28" s="6"/>
      <c r="N28" s="5"/>
      <c r="P28" s="5"/>
    </row>
    <row r="29" spans="2:16" ht="12.75">
      <c r="B29" t="s">
        <v>37</v>
      </c>
      <c r="H29" s="5"/>
      <c r="L29" s="6"/>
      <c r="N29" s="5"/>
      <c r="P29" s="5"/>
    </row>
    <row r="30" spans="2:16" ht="12.75">
      <c r="B30" s="12" t="s">
        <v>68</v>
      </c>
      <c r="C30" s="13"/>
      <c r="D30" s="13"/>
      <c r="E30" s="13"/>
      <c r="F30" s="13"/>
      <c r="G30" s="13"/>
      <c r="H30" s="20"/>
      <c r="I30" s="13"/>
      <c r="J30" s="13"/>
      <c r="K30" s="13"/>
      <c r="L30" s="21"/>
      <c r="M30" s="13"/>
      <c r="N30" s="20"/>
      <c r="O30" s="13"/>
      <c r="P30" s="22"/>
    </row>
    <row r="31" spans="2:16" ht="12.75">
      <c r="B31" s="15" t="s">
        <v>69</v>
      </c>
      <c r="C31" s="16"/>
      <c r="D31" s="16"/>
      <c r="E31" s="16"/>
      <c r="F31" s="16"/>
      <c r="G31" s="16"/>
      <c r="H31" s="11"/>
      <c r="I31" s="16"/>
      <c r="J31" s="16"/>
      <c r="K31" s="16"/>
      <c r="L31" s="23"/>
      <c r="M31" s="16"/>
      <c r="N31" s="11"/>
      <c r="O31" s="16"/>
      <c r="P31" s="24"/>
    </row>
    <row r="32" spans="2:16" ht="12.75">
      <c r="B32" s="18" t="s">
        <v>214</v>
      </c>
      <c r="C32" s="8"/>
      <c r="D32" s="8"/>
      <c r="E32" s="8"/>
      <c r="F32" s="8"/>
      <c r="G32" s="8"/>
      <c r="H32" s="7"/>
      <c r="I32" s="8"/>
      <c r="J32" s="8"/>
      <c r="K32" s="8"/>
      <c r="L32" s="25"/>
      <c r="M32" s="8"/>
      <c r="N32" s="7"/>
      <c r="O32" s="8"/>
      <c r="P32" s="26"/>
    </row>
    <row r="33" spans="8:16" ht="12.75">
      <c r="H33" s="5"/>
      <c r="L33" s="6"/>
      <c r="N33" s="5"/>
      <c r="P33" s="5"/>
    </row>
    <row r="34" spans="2:16" ht="12.75">
      <c r="B34" t="s">
        <v>41</v>
      </c>
      <c r="D34" t="s">
        <v>71</v>
      </c>
      <c r="H34" s="5"/>
      <c r="L34" s="6"/>
      <c r="N34" s="5"/>
      <c r="P34" s="5"/>
    </row>
    <row r="35" spans="4:8" ht="12.75">
      <c r="D35" t="s">
        <v>72</v>
      </c>
      <c r="H35" s="5"/>
    </row>
    <row r="36" ht="12.75">
      <c r="H36" s="5"/>
    </row>
    <row r="37" ht="12.75">
      <c r="H37" s="5"/>
    </row>
    <row r="38" ht="12.75">
      <c r="H38" s="5"/>
    </row>
    <row r="39" ht="12.75">
      <c r="H39" s="5"/>
    </row>
    <row r="40" ht="12.75">
      <c r="H40" s="5"/>
    </row>
    <row r="41" ht="12.75">
      <c r="H41" s="5"/>
    </row>
    <row r="42" ht="12.75">
      <c r="H42" s="5"/>
    </row>
    <row r="43" ht="12.75">
      <c r="H43" s="5"/>
    </row>
    <row r="44" ht="12.75">
      <c r="H44" s="5"/>
    </row>
    <row r="45" ht="12.75">
      <c r="H45" s="5"/>
    </row>
    <row r="46" ht="12.75">
      <c r="H46" s="5"/>
    </row>
    <row r="47" ht="12.75">
      <c r="H47" s="5"/>
    </row>
    <row r="48" ht="12.75">
      <c r="H48" s="5"/>
    </row>
    <row r="49" ht="12.75">
      <c r="H49" s="5"/>
    </row>
    <row r="50" ht="12.75">
      <c r="H50" s="5"/>
    </row>
    <row r="51" ht="12.75">
      <c r="H51" s="5"/>
    </row>
    <row r="52" ht="12.75">
      <c r="H52" s="5"/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  <row r="114" ht="12.75">
      <c r="H114" s="5"/>
    </row>
    <row r="115" ht="12.75">
      <c r="H115" s="5"/>
    </row>
    <row r="116" ht="12.75">
      <c r="H116" s="5"/>
    </row>
    <row r="117" ht="12.75">
      <c r="H117" s="5"/>
    </row>
    <row r="118" ht="12.75">
      <c r="H118" s="5"/>
    </row>
    <row r="119" ht="12.75">
      <c r="H119" s="5"/>
    </row>
    <row r="120" ht="12.75">
      <c r="H120" s="5"/>
    </row>
    <row r="121" ht="12.75">
      <c r="H121" s="5"/>
    </row>
    <row r="122" ht="12.75">
      <c r="H122" s="5"/>
    </row>
    <row r="123" ht="12.75">
      <c r="H123" s="5"/>
    </row>
    <row r="124" ht="12.75">
      <c r="H124" s="5"/>
    </row>
    <row r="125" ht="12.75">
      <c r="H125" s="5"/>
    </row>
    <row r="126" ht="12.75">
      <c r="H126" s="5"/>
    </row>
    <row r="127" ht="12.75">
      <c r="H127" s="5"/>
    </row>
    <row r="128" ht="12.75">
      <c r="H128" s="5"/>
    </row>
    <row r="129" ht="12.75">
      <c r="H129" s="5"/>
    </row>
    <row r="130" ht="12.75"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  <row r="137" ht="12.75">
      <c r="H137" s="5"/>
    </row>
    <row r="138" ht="12.75">
      <c r="H138" s="5"/>
    </row>
    <row r="139" ht="12.75">
      <c r="H139" s="5"/>
    </row>
    <row r="140" ht="12.75">
      <c r="H140" s="5"/>
    </row>
    <row r="141" ht="12.75">
      <c r="H141" s="5"/>
    </row>
    <row r="142" ht="12.75">
      <c r="H142" s="5"/>
    </row>
    <row r="143" ht="12.75">
      <c r="H143" s="5"/>
    </row>
    <row r="144" ht="12.75">
      <c r="H144" s="5"/>
    </row>
    <row r="145" ht="12.75">
      <c r="H145" s="5"/>
    </row>
    <row r="146" ht="12.75">
      <c r="H146" s="5"/>
    </row>
    <row r="147" ht="12.75">
      <c r="H147" s="5"/>
    </row>
    <row r="148" ht="12.75">
      <c r="H148" s="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2.75">
      <c r="H225" s="5"/>
    </row>
    <row r="226" ht="12.75">
      <c r="H226" s="5"/>
    </row>
    <row r="227" ht="12.75">
      <c r="H227" s="5"/>
    </row>
    <row r="228" ht="12.75">
      <c r="H228" s="5"/>
    </row>
    <row r="229" ht="12.75">
      <c r="H229" s="5"/>
    </row>
    <row r="230" ht="12.75">
      <c r="H230" s="5"/>
    </row>
    <row r="231" ht="12.75">
      <c r="H231" s="5"/>
    </row>
    <row r="232" ht="12.75"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  <row r="237" ht="12.75">
      <c r="H237" s="5"/>
    </row>
    <row r="238" ht="12.75">
      <c r="H238" s="5"/>
    </row>
    <row r="239" ht="12.75">
      <c r="H239" s="5"/>
    </row>
    <row r="240" ht="12.75">
      <c r="H240" s="5"/>
    </row>
    <row r="241" ht="12.75">
      <c r="H241" s="5"/>
    </row>
    <row r="242" ht="12.75">
      <c r="H242" s="5"/>
    </row>
    <row r="243" ht="12.75">
      <c r="H243" s="5"/>
    </row>
    <row r="244" ht="12.75">
      <c r="H244" s="5"/>
    </row>
    <row r="245" ht="12.75">
      <c r="H245" s="5"/>
    </row>
    <row r="246" ht="12.75">
      <c r="H246" s="5"/>
    </row>
    <row r="247" ht="12.75">
      <c r="H247" s="5"/>
    </row>
    <row r="248" ht="12.75">
      <c r="H248" s="5"/>
    </row>
    <row r="249" ht="12.75">
      <c r="H249" s="5"/>
    </row>
    <row r="250" ht="12.75">
      <c r="H250" s="5"/>
    </row>
    <row r="251" ht="12.75">
      <c r="H251" s="5"/>
    </row>
    <row r="252" ht="12.75">
      <c r="H252" s="5"/>
    </row>
    <row r="253" ht="12.75">
      <c r="H253" s="5"/>
    </row>
    <row r="254" ht="12.75">
      <c r="H254" s="5"/>
    </row>
    <row r="255" ht="12.75">
      <c r="H255" s="5"/>
    </row>
    <row r="256" ht="12.75">
      <c r="H256" s="5"/>
    </row>
    <row r="257" ht="12.75">
      <c r="H257" s="5"/>
    </row>
    <row r="258" ht="12.75">
      <c r="H258" s="5"/>
    </row>
    <row r="259" ht="12.75">
      <c r="H259" s="5"/>
    </row>
    <row r="260" ht="12.75">
      <c r="H260" s="5"/>
    </row>
    <row r="261" ht="12.75">
      <c r="H261" s="5"/>
    </row>
    <row r="262" ht="12.75">
      <c r="H262" s="5"/>
    </row>
    <row r="263" ht="12.75">
      <c r="H263" s="5"/>
    </row>
    <row r="264" ht="12.75">
      <c r="H264" s="5"/>
    </row>
    <row r="265" ht="12.75">
      <c r="H265" s="5"/>
    </row>
    <row r="266" ht="12.75">
      <c r="H266" s="5"/>
    </row>
    <row r="267" ht="12.75">
      <c r="H267" s="5"/>
    </row>
    <row r="268" ht="12.75">
      <c r="H268" s="5"/>
    </row>
    <row r="269" ht="12.75">
      <c r="H269" s="5"/>
    </row>
    <row r="270" ht="12.75">
      <c r="H270" s="5"/>
    </row>
    <row r="271" ht="12.75">
      <c r="H271" s="5"/>
    </row>
    <row r="272" ht="12.75">
      <c r="H272" s="5"/>
    </row>
    <row r="273" ht="12.75">
      <c r="H273" s="5"/>
    </row>
    <row r="274" ht="12.75">
      <c r="H274" s="5"/>
    </row>
    <row r="275" ht="12.75">
      <c r="H275" s="5"/>
    </row>
    <row r="276" ht="12.75">
      <c r="H276" s="5"/>
    </row>
    <row r="277" ht="12.75">
      <c r="H277" s="5"/>
    </row>
    <row r="278" ht="12.75">
      <c r="H278" s="5"/>
    </row>
    <row r="279" ht="12.75">
      <c r="H279" s="5"/>
    </row>
    <row r="280" ht="12.75">
      <c r="H280" s="5"/>
    </row>
    <row r="281" ht="12.75">
      <c r="H281" s="5"/>
    </row>
    <row r="282" ht="12.75">
      <c r="H282" s="5"/>
    </row>
    <row r="283" ht="12.75">
      <c r="H283" s="5"/>
    </row>
    <row r="284" ht="12.75">
      <c r="H284" s="5"/>
    </row>
    <row r="285" ht="12.75">
      <c r="H285" s="5"/>
    </row>
    <row r="286" ht="12.75">
      <c r="H286" s="5"/>
    </row>
    <row r="287" ht="12.75">
      <c r="H287" s="5"/>
    </row>
    <row r="288" ht="12.75">
      <c r="H288" s="5"/>
    </row>
    <row r="289" ht="12.75">
      <c r="H289" s="5"/>
    </row>
    <row r="290" ht="12.75">
      <c r="H290" s="5"/>
    </row>
    <row r="291" ht="12.75">
      <c r="H291" s="5"/>
    </row>
    <row r="292" ht="12.75">
      <c r="H292" s="5"/>
    </row>
    <row r="293" ht="12.75">
      <c r="H293" s="5"/>
    </row>
    <row r="294" ht="12.75"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2.75">
      <c r="H335" s="5"/>
    </row>
    <row r="336" ht="12.75">
      <c r="H336" s="5"/>
    </row>
    <row r="337" ht="12.75">
      <c r="H337" s="5"/>
    </row>
    <row r="338" ht="12.75">
      <c r="H338" s="5"/>
    </row>
    <row r="339" ht="12.75">
      <c r="H339" s="5"/>
    </row>
    <row r="340" ht="12.75">
      <c r="H340" s="5"/>
    </row>
    <row r="341" ht="12.75">
      <c r="H341" s="5"/>
    </row>
    <row r="342" ht="12.75">
      <c r="H342" s="5"/>
    </row>
    <row r="343" ht="12.75">
      <c r="H343" s="5"/>
    </row>
    <row r="344" ht="12.75">
      <c r="H344" s="5"/>
    </row>
    <row r="345" ht="12.75">
      <c r="H345" s="5"/>
    </row>
    <row r="346" ht="12.75"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ht="12.75">
      <c r="H361" s="5"/>
    </row>
    <row r="362" ht="12.75">
      <c r="H362" s="5"/>
    </row>
    <row r="363" ht="12.75">
      <c r="H363" s="5"/>
    </row>
    <row r="364" ht="12.75">
      <c r="H364" s="5"/>
    </row>
    <row r="365" ht="12.75">
      <c r="H365" s="5"/>
    </row>
    <row r="366" ht="12.75">
      <c r="H366" s="5"/>
    </row>
    <row r="367" ht="12.75">
      <c r="H367" s="5"/>
    </row>
    <row r="368" ht="12.75">
      <c r="H368" s="5"/>
    </row>
    <row r="369" ht="12.75">
      <c r="H369" s="5"/>
    </row>
    <row r="370" ht="12.75">
      <c r="H370" s="5"/>
    </row>
    <row r="371" ht="12.75">
      <c r="H371" s="5"/>
    </row>
    <row r="372" ht="12.75">
      <c r="H372" s="5"/>
    </row>
    <row r="373" ht="12.75">
      <c r="H373" s="5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2.75">
      <c r="H390" s="5"/>
    </row>
    <row r="391" ht="12.75">
      <c r="H391" s="5"/>
    </row>
    <row r="392" ht="12.75">
      <c r="H392" s="5"/>
    </row>
    <row r="393" ht="12.75">
      <c r="H393" s="5"/>
    </row>
    <row r="394" ht="12.75">
      <c r="H394" s="5"/>
    </row>
    <row r="395" ht="12.75">
      <c r="H395" s="5"/>
    </row>
    <row r="396" ht="12.75">
      <c r="H396" s="5"/>
    </row>
    <row r="397" ht="12.75">
      <c r="H397" s="5"/>
    </row>
    <row r="398" ht="12.75">
      <c r="H398" s="5"/>
    </row>
    <row r="399" ht="12.75">
      <c r="H399" s="5"/>
    </row>
    <row r="400" ht="12.75">
      <c r="H400" s="5"/>
    </row>
    <row r="401" ht="12.75">
      <c r="H401" s="5"/>
    </row>
    <row r="402" ht="12.75">
      <c r="H402" s="5"/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workbookViewId="0" topLeftCell="A43">
      <selection activeCell="B54" sqref="B54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2.7109375" style="0" customWidth="1"/>
    <col min="5" max="5" width="1.28515625" style="0" customWidth="1"/>
    <col min="7" max="7" width="1.28515625" style="0" customWidth="1"/>
    <col min="8" max="8" width="11.7109375" style="0" bestFit="1" customWidth="1"/>
    <col min="9" max="9" width="1.28515625" style="0" customWidth="1"/>
    <col min="11" max="11" width="1.28515625" style="0" customWidth="1"/>
    <col min="12" max="12" width="10.28125" style="0" bestFit="1" customWidth="1"/>
    <col min="13" max="13" width="1.28515625" style="0" customWidth="1"/>
    <col min="14" max="14" width="12.7109375" style="0" customWidth="1"/>
    <col min="15" max="15" width="1.28515625" style="0" customWidth="1"/>
    <col min="16" max="16" width="10.28125" style="0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74</v>
      </c>
      <c r="K3" t="s">
        <v>8</v>
      </c>
    </row>
    <row r="4" spans="2:11" ht="12.75">
      <c r="B4" t="s">
        <v>2</v>
      </c>
      <c r="K4" t="s">
        <v>115</v>
      </c>
    </row>
    <row r="6" spans="6:16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  <c r="P6" s="2" t="s">
        <v>46</v>
      </c>
    </row>
    <row r="7" spans="2:16" ht="12.75">
      <c r="B7" s="2" t="s">
        <v>3</v>
      </c>
      <c r="C7" s="2"/>
      <c r="D7" s="2"/>
      <c r="E7" s="2"/>
      <c r="F7" s="2"/>
      <c r="G7" s="2"/>
      <c r="H7" s="2" t="s">
        <v>87</v>
      </c>
      <c r="I7" s="2"/>
      <c r="J7" s="2" t="s">
        <v>12</v>
      </c>
      <c r="K7" s="2"/>
      <c r="L7" s="2" t="s">
        <v>12</v>
      </c>
      <c r="N7" s="2" t="s">
        <v>12</v>
      </c>
      <c r="O7" s="2"/>
      <c r="P7" s="2" t="s">
        <v>12</v>
      </c>
    </row>
    <row r="8" spans="2:16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13</v>
      </c>
      <c r="O8" s="2"/>
      <c r="P8" s="3" t="s">
        <v>14</v>
      </c>
    </row>
    <row r="10" spans="2:4" ht="12.75">
      <c r="B10">
        <v>1</v>
      </c>
      <c r="D10" t="s">
        <v>9</v>
      </c>
    </row>
    <row r="12" spans="2:16" ht="12.75">
      <c r="B12">
        <v>2</v>
      </c>
      <c r="D12" t="s">
        <v>57</v>
      </c>
      <c r="F12">
        <v>506</v>
      </c>
      <c r="H12" s="5">
        <f>-15873.6+5940222.5+5262456.35+4313316.2+46261321.67</f>
        <v>61761443.120000005</v>
      </c>
      <c r="J12" t="s">
        <v>18</v>
      </c>
      <c r="L12" s="6">
        <v>0.37144</v>
      </c>
      <c r="N12" s="5">
        <f>H12*L12</f>
        <v>22940670.4324928</v>
      </c>
      <c r="P12" s="5">
        <f>(N12/122127154)*-683316</f>
        <v>-128355.78856811197</v>
      </c>
    </row>
    <row r="13" spans="2:16" ht="12.75">
      <c r="B13">
        <v>3</v>
      </c>
      <c r="D13" t="s">
        <v>58</v>
      </c>
      <c r="F13">
        <v>535</v>
      </c>
      <c r="H13" s="5">
        <f>10917709.07+3429487.25+22927496.5+3845539.05</f>
        <v>41120231.87</v>
      </c>
      <c r="J13" t="s">
        <v>19</v>
      </c>
      <c r="L13" s="6">
        <v>0.37144</v>
      </c>
      <c r="N13" s="5">
        <f aca="true" t="shared" si="0" ref="N13:N20">H13*L13</f>
        <v>15273698.925792798</v>
      </c>
      <c r="P13" s="5">
        <f aca="true" t="shared" si="1" ref="P13:P21">(N13/122127154)*-683316</f>
        <v>-85458.16809238862</v>
      </c>
    </row>
    <row r="14" spans="2:16" ht="12.75">
      <c r="B14">
        <v>4</v>
      </c>
      <c r="D14" t="s">
        <v>59</v>
      </c>
      <c r="F14">
        <v>546</v>
      </c>
      <c r="H14" s="5">
        <f>32830.65+6378860.44+148030.41+119016.72-576500.45+446831.58+560629.09</f>
        <v>7109698.44</v>
      </c>
      <c r="J14" t="s">
        <v>66</v>
      </c>
      <c r="L14" s="6">
        <v>0.37144</v>
      </c>
      <c r="N14" s="5">
        <f t="shared" si="0"/>
        <v>2640826.3885536003</v>
      </c>
      <c r="P14" s="5">
        <f t="shared" si="1"/>
        <v>-14775.738772401852</v>
      </c>
    </row>
    <row r="15" spans="2:16" ht="12.75">
      <c r="B15">
        <v>5</v>
      </c>
      <c r="D15" t="s">
        <v>60</v>
      </c>
      <c r="F15">
        <v>557</v>
      </c>
      <c r="H15" s="5">
        <f>1583.12+40514.89+481822.32-14557318.85</f>
        <v>-14033398.52</v>
      </c>
      <c r="J15" t="s">
        <v>22</v>
      </c>
      <c r="L15" s="6">
        <v>0.37144</v>
      </c>
      <c r="N15" s="5">
        <f t="shared" si="0"/>
        <v>-5212565.546268799</v>
      </c>
      <c r="P15" s="5">
        <f t="shared" si="1"/>
        <v>29164.926244119393</v>
      </c>
    </row>
    <row r="16" spans="2:16" ht="12.75">
      <c r="B16">
        <v>6</v>
      </c>
      <c r="D16" t="s">
        <v>61</v>
      </c>
      <c r="F16">
        <v>560</v>
      </c>
      <c r="H16" s="5">
        <v>3867916.89</v>
      </c>
      <c r="J16" t="s">
        <v>23</v>
      </c>
      <c r="L16" s="6">
        <v>0.37144</v>
      </c>
      <c r="N16" s="5">
        <f t="shared" si="0"/>
        <v>1436699.0496216</v>
      </c>
      <c r="P16" s="5">
        <f t="shared" si="1"/>
        <v>-8038.502623185939</v>
      </c>
    </row>
    <row r="17" spans="2:16" ht="12.75">
      <c r="B17">
        <v>7</v>
      </c>
      <c r="D17" t="s">
        <v>62</v>
      </c>
      <c r="F17">
        <v>580</v>
      </c>
      <c r="H17" s="5">
        <f>(603557/794281)*(2082842.63+4363717.81+28345.75+48819.17+5765793.8+33730073.5)</f>
        <v>34969295.86266273</v>
      </c>
      <c r="J17" t="s">
        <v>67</v>
      </c>
      <c r="L17" s="6">
        <f>240688/603557</f>
        <v>0.39878255077813696</v>
      </c>
      <c r="N17" s="5">
        <f t="shared" si="0"/>
        <v>13945145.003027996</v>
      </c>
      <c r="P17" s="5">
        <f t="shared" si="1"/>
        <v>-78024.75035886842</v>
      </c>
    </row>
    <row r="18" spans="2:16" ht="12.75">
      <c r="B18">
        <v>8</v>
      </c>
      <c r="D18" t="s">
        <v>62</v>
      </c>
      <c r="F18">
        <v>580</v>
      </c>
      <c r="H18" s="5">
        <f>46019593-H17</f>
        <v>11050297.137337267</v>
      </c>
      <c r="J18" t="s">
        <v>24</v>
      </c>
      <c r="L18" s="6">
        <v>0.37393</v>
      </c>
      <c r="N18" s="5">
        <f t="shared" si="0"/>
        <v>4132037.6085645244</v>
      </c>
      <c r="P18" s="5">
        <f t="shared" si="1"/>
        <v>-23119.243493825103</v>
      </c>
    </row>
    <row r="19" spans="2:16" ht="12.75">
      <c r="B19">
        <v>9</v>
      </c>
      <c r="D19" t="s">
        <v>63</v>
      </c>
      <c r="F19">
        <v>901</v>
      </c>
      <c r="H19" s="5">
        <f>(178247/474444)*(3168118.21-11659115.05+9249.11+56397291.73+5652783)</f>
        <v>20125438.582359564</v>
      </c>
      <c r="J19" t="s">
        <v>67</v>
      </c>
      <c r="L19" s="6">
        <f>30103/178247</f>
        <v>0.1688836277749415</v>
      </c>
      <c r="N19" s="5">
        <f t="shared" si="0"/>
        <v>3398857.078350659</v>
      </c>
      <c r="P19" s="5">
        <f t="shared" si="1"/>
        <v>-19017.010937225794</v>
      </c>
    </row>
    <row r="20" spans="2:16" ht="12.75">
      <c r="B20">
        <v>10</v>
      </c>
      <c r="D20" t="s">
        <v>63</v>
      </c>
      <c r="F20">
        <v>901</v>
      </c>
      <c r="H20" s="5">
        <f>53568327-H19</f>
        <v>33442888.417640436</v>
      </c>
      <c r="J20" t="s">
        <v>26</v>
      </c>
      <c r="L20" s="6">
        <v>0.43742</v>
      </c>
      <c r="N20" s="5">
        <f t="shared" si="0"/>
        <v>14628588.25164428</v>
      </c>
      <c r="P20" s="5">
        <f t="shared" si="1"/>
        <v>-81848.69688980521</v>
      </c>
    </row>
    <row r="21" spans="2:16" ht="12.75">
      <c r="B21">
        <v>11</v>
      </c>
      <c r="D21" t="s">
        <v>64</v>
      </c>
      <c r="F21">
        <v>920</v>
      </c>
      <c r="H21" s="7">
        <f>105049466.88-9807301.53+13242181.41+19286484.37-532392.02+27899.87+90817.65+4322935.94+324106.05</f>
        <v>132004198.62</v>
      </c>
      <c r="J21" t="s">
        <v>27</v>
      </c>
      <c r="L21" s="6">
        <v>0.37077</v>
      </c>
      <c r="N21" s="7">
        <f>H21*L21</f>
        <v>48943196.7223374</v>
      </c>
      <c r="P21" s="7">
        <f t="shared" si="1"/>
        <v>-273843.0260277801</v>
      </c>
    </row>
    <row r="22" spans="8:14" ht="12.75">
      <c r="H22" s="5"/>
      <c r="L22" s="6"/>
      <c r="N22" s="5"/>
    </row>
    <row r="23" spans="2:16" ht="13.5" thickBot="1">
      <c r="B23">
        <v>12</v>
      </c>
      <c r="D23" s="2" t="s">
        <v>84</v>
      </c>
      <c r="H23" s="5">
        <f>SUM(H12:H21)</f>
        <v>331418010.42</v>
      </c>
      <c r="L23" s="6"/>
      <c r="N23" s="9">
        <f>SUM(N12:N22)</f>
        <v>122127153.91411686</v>
      </c>
      <c r="P23" s="9">
        <f>SUM(P12:P22)</f>
        <v>-683315.9995194735</v>
      </c>
    </row>
    <row r="24" ht="13.5" thickTop="1">
      <c r="H24" s="5"/>
    </row>
    <row r="25" spans="2:8" ht="12.75">
      <c r="B25">
        <v>13</v>
      </c>
      <c r="D25" t="s">
        <v>85</v>
      </c>
      <c r="H25" s="7">
        <f>44097157.72+59414590.87</f>
        <v>103511748.59</v>
      </c>
    </row>
    <row r="26" ht="12.75">
      <c r="H26" s="5"/>
    </row>
    <row r="27" spans="2:8" ht="13.5" thickBot="1">
      <c r="B27">
        <v>14</v>
      </c>
      <c r="D27" s="2" t="s">
        <v>86</v>
      </c>
      <c r="H27" s="9">
        <f>SUM(H23:H25)</f>
        <v>434929759.01</v>
      </c>
    </row>
    <row r="28" ht="13.5" thickTop="1">
      <c r="H28" s="5"/>
    </row>
    <row r="29" spans="2:8" ht="12.75">
      <c r="B29">
        <v>15</v>
      </c>
      <c r="D29" t="s">
        <v>88</v>
      </c>
      <c r="H29" s="28">
        <v>6185.5</v>
      </c>
    </row>
    <row r="30" ht="12.75">
      <c r="H30" s="28"/>
    </row>
    <row r="31" spans="2:8" ht="12.75">
      <c r="B31">
        <v>16</v>
      </c>
      <c r="D31" t="s">
        <v>89</v>
      </c>
      <c r="H31" s="29">
        <v>-287.5</v>
      </c>
    </row>
    <row r="32" ht="12.75">
      <c r="H32" s="28"/>
    </row>
    <row r="33" spans="2:8" ht="13.5" thickBot="1">
      <c r="B33">
        <v>17</v>
      </c>
      <c r="D33" t="s">
        <v>90</v>
      </c>
      <c r="H33" s="30">
        <f>SUM(H29:H31)</f>
        <v>5898</v>
      </c>
    </row>
    <row r="34" ht="13.5" thickTop="1">
      <c r="H34" s="5"/>
    </row>
    <row r="35" spans="2:8" ht="12.75">
      <c r="B35">
        <v>18</v>
      </c>
      <c r="D35" t="s">
        <v>102</v>
      </c>
      <c r="H35" s="11">
        <f>H23/H33</f>
        <v>56191.5921363174</v>
      </c>
    </row>
    <row r="36" ht="12.75">
      <c r="H36" s="5"/>
    </row>
    <row r="37" spans="2:8" ht="12.75">
      <c r="B37">
        <v>19</v>
      </c>
      <c r="D37" t="s">
        <v>91</v>
      </c>
      <c r="H37" s="8">
        <v>33</v>
      </c>
    </row>
    <row r="39" spans="2:16" ht="13.5" thickBot="1">
      <c r="B39">
        <v>20</v>
      </c>
      <c r="D39" t="s">
        <v>103</v>
      </c>
      <c r="H39" s="9">
        <f>H35*H37</f>
        <v>1854322.5404984741</v>
      </c>
      <c r="L39" s="6">
        <f>N23/H23</f>
        <v>0.3684988445840567</v>
      </c>
      <c r="N39" s="9">
        <f>H39*L39</f>
        <v>683315.7136598604</v>
      </c>
      <c r="P39" s="9">
        <f>-N39</f>
        <v>-683315.7136598604</v>
      </c>
    </row>
    <row r="40" ht="13.5" thickTop="1"/>
    <row r="43" ht="12.75">
      <c r="B43" t="s">
        <v>37</v>
      </c>
    </row>
    <row r="44" spans="2:16" ht="12.75">
      <c r="B44" s="12" t="s">
        <v>92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</row>
    <row r="45" spans="2:16" ht="12.75">
      <c r="B45" s="15" t="s">
        <v>93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</row>
    <row r="46" spans="2:16" ht="12.75">
      <c r="B46" s="15" t="s">
        <v>95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2:16" ht="12.75">
      <c r="B47" s="15" t="s">
        <v>94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</row>
    <row r="48" spans="2:16" ht="12.75">
      <c r="B48" s="15" t="s">
        <v>213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</row>
    <row r="49" spans="2:16" ht="12.75">
      <c r="B49" s="15" t="s">
        <v>96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2:16" ht="12.75">
      <c r="B50" s="18" t="s">
        <v>97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9"/>
    </row>
    <row r="52" spans="2:4" ht="12.75">
      <c r="B52" t="s">
        <v>41</v>
      </c>
      <c r="D52" t="s">
        <v>98</v>
      </c>
    </row>
    <row r="53" ht="12.75">
      <c r="D53" t="s">
        <v>99</v>
      </c>
    </row>
    <row r="54" ht="12.75">
      <c r="D54" t="s">
        <v>100</v>
      </c>
    </row>
    <row r="55" ht="12.75">
      <c r="D55" t="s">
        <v>225</v>
      </c>
    </row>
    <row r="56" ht="12.75">
      <c r="D56" t="s">
        <v>101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2"/>
  <sheetViews>
    <sheetView workbookViewId="0" topLeftCell="A39">
      <selection activeCell="K54" sqref="K54"/>
    </sheetView>
  </sheetViews>
  <sheetFormatPr defaultColWidth="9.140625" defaultRowHeight="12.75"/>
  <cols>
    <col min="1" max="2" width="5.7109375" style="0" customWidth="1"/>
    <col min="3" max="3" width="1.28515625" style="0" customWidth="1"/>
    <col min="5" max="5" width="1.28515625" style="0" customWidth="1"/>
    <col min="7" max="7" width="1.28515625" style="0" customWidth="1"/>
    <col min="9" max="9" width="1.28515625" style="0" customWidth="1"/>
    <col min="11" max="11" width="1.28515625" style="0" customWidth="1"/>
    <col min="13" max="13" width="1.28515625" style="0" customWidth="1"/>
    <col min="15" max="15" width="1.28515625" style="0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195</v>
      </c>
      <c r="K3" t="s">
        <v>8</v>
      </c>
    </row>
    <row r="4" spans="2:11" ht="12.75">
      <c r="B4" t="s">
        <v>2</v>
      </c>
      <c r="K4" t="s">
        <v>117</v>
      </c>
    </row>
    <row r="7" spans="6:16" ht="12.75">
      <c r="F7" s="2" t="s">
        <v>42</v>
      </c>
      <c r="H7" s="2" t="s">
        <v>43</v>
      </c>
      <c r="J7" s="2" t="s">
        <v>47</v>
      </c>
      <c r="L7" s="2" t="s">
        <v>44</v>
      </c>
      <c r="M7" s="2"/>
      <c r="N7" s="2" t="s">
        <v>45</v>
      </c>
      <c r="O7" s="2"/>
      <c r="P7" s="2" t="s">
        <v>46</v>
      </c>
    </row>
    <row r="8" spans="2:16" ht="12.75">
      <c r="B8" s="2" t="s">
        <v>3</v>
      </c>
      <c r="J8" s="2" t="s">
        <v>75</v>
      </c>
      <c r="L8" s="2" t="s">
        <v>112</v>
      </c>
      <c r="P8" s="2" t="s">
        <v>76</v>
      </c>
    </row>
    <row r="9" spans="2:16" ht="12.75">
      <c r="B9" s="3" t="s">
        <v>4</v>
      </c>
      <c r="D9" s="3" t="s">
        <v>77</v>
      </c>
      <c r="F9" s="3" t="s">
        <v>78</v>
      </c>
      <c r="H9" s="3" t="s">
        <v>79</v>
      </c>
      <c r="J9" s="3" t="s">
        <v>79</v>
      </c>
      <c r="L9" s="3" t="s">
        <v>80</v>
      </c>
      <c r="N9" s="3" t="s">
        <v>81</v>
      </c>
      <c r="P9" s="3" t="s">
        <v>80</v>
      </c>
    </row>
    <row r="11" spans="2:10" ht="12.75">
      <c r="B11">
        <v>1</v>
      </c>
      <c r="D11" s="27">
        <v>36404</v>
      </c>
      <c r="F11" s="5">
        <v>6290</v>
      </c>
      <c r="J11" s="28"/>
    </row>
    <row r="12" spans="6:10" ht="12.75">
      <c r="F12" s="5"/>
      <c r="J12" s="28"/>
    </row>
    <row r="13" spans="2:16" ht="12.75">
      <c r="B13">
        <v>2</v>
      </c>
      <c r="D13" s="27">
        <v>36434</v>
      </c>
      <c r="F13" s="5">
        <v>6273</v>
      </c>
      <c r="H13" s="5">
        <f>-F11+F13</f>
        <v>-17</v>
      </c>
      <c r="J13" s="28">
        <v>0</v>
      </c>
      <c r="L13" s="28">
        <f>+H13-J13</f>
        <v>-17</v>
      </c>
      <c r="N13">
        <v>12</v>
      </c>
      <c r="P13" s="28">
        <f>+L13*N13</f>
        <v>-204</v>
      </c>
    </row>
    <row r="14" spans="6:16" ht="12.75">
      <c r="F14" s="5"/>
      <c r="J14" s="28"/>
      <c r="P14" s="28"/>
    </row>
    <row r="15" spans="2:16" ht="12.75">
      <c r="B15">
        <v>3</v>
      </c>
      <c r="D15" s="27">
        <v>36465</v>
      </c>
      <c r="F15" s="5">
        <v>6273</v>
      </c>
      <c r="H15" s="5">
        <f>-F13+F15</f>
        <v>0</v>
      </c>
      <c r="J15" s="28">
        <v>3</v>
      </c>
      <c r="L15" s="28">
        <f>+H15-J15</f>
        <v>-3</v>
      </c>
      <c r="N15">
        <v>11</v>
      </c>
      <c r="P15" s="28">
        <f>+L15*N15</f>
        <v>-33</v>
      </c>
    </row>
    <row r="16" spans="6:16" ht="12.75">
      <c r="F16" s="5"/>
      <c r="J16" s="28"/>
      <c r="P16" s="28"/>
    </row>
    <row r="17" spans="2:16" ht="12.75">
      <c r="B17">
        <v>4</v>
      </c>
      <c r="D17" s="27">
        <v>36495</v>
      </c>
      <c r="F17" s="5">
        <v>6274</v>
      </c>
      <c r="H17" s="5">
        <f>-F15+F17</f>
        <v>1</v>
      </c>
      <c r="J17" s="28">
        <v>-10.5</v>
      </c>
      <c r="L17" s="28">
        <f>+H17-J17</f>
        <v>11.5</v>
      </c>
      <c r="N17">
        <v>10</v>
      </c>
      <c r="P17" s="28">
        <f>+L17*N17</f>
        <v>115</v>
      </c>
    </row>
    <row r="18" spans="6:16" ht="12.75">
      <c r="F18" s="5"/>
      <c r="J18" s="28"/>
      <c r="P18" s="28"/>
    </row>
    <row r="19" spans="2:16" ht="12.75">
      <c r="B19">
        <v>5</v>
      </c>
      <c r="D19" s="27">
        <v>36526</v>
      </c>
      <c r="F19" s="5">
        <v>6254</v>
      </c>
      <c r="H19" s="5">
        <f>-F17+F19</f>
        <v>-20</v>
      </c>
      <c r="J19" s="28">
        <v>-14.5</v>
      </c>
      <c r="L19" s="28">
        <f>+H19-J19</f>
        <v>-5.5</v>
      </c>
      <c r="N19">
        <v>9</v>
      </c>
      <c r="P19" s="28">
        <f>+L19*N19</f>
        <v>-49.5</v>
      </c>
    </row>
    <row r="20" spans="6:16" ht="12.75">
      <c r="F20" s="5"/>
      <c r="J20" s="28"/>
      <c r="P20" s="28"/>
    </row>
    <row r="21" spans="2:16" ht="12.75">
      <c r="B21">
        <v>6</v>
      </c>
      <c r="D21" s="27">
        <v>36557</v>
      </c>
      <c r="F21" s="5">
        <v>6265</v>
      </c>
      <c r="H21" s="5">
        <f>-F19+F21</f>
        <v>11</v>
      </c>
      <c r="J21" s="28">
        <v>22</v>
      </c>
      <c r="L21" s="28">
        <f>+H21-J21</f>
        <v>-11</v>
      </c>
      <c r="N21">
        <v>8</v>
      </c>
      <c r="P21" s="28">
        <f>+L21*N21</f>
        <v>-88</v>
      </c>
    </row>
    <row r="22" spans="6:16" ht="12.75">
      <c r="F22" s="5"/>
      <c r="J22" s="28"/>
      <c r="P22" s="28"/>
    </row>
    <row r="23" spans="2:16" ht="12.75">
      <c r="B23">
        <v>7</v>
      </c>
      <c r="D23" s="27">
        <v>36586</v>
      </c>
      <c r="F23" s="5">
        <v>6244</v>
      </c>
      <c r="H23" s="5">
        <f>-F21+F23</f>
        <v>-21</v>
      </c>
      <c r="J23" s="28">
        <v>-18.5</v>
      </c>
      <c r="L23" s="28">
        <f>+H23-J23</f>
        <v>-2.5</v>
      </c>
      <c r="N23">
        <v>7</v>
      </c>
      <c r="P23" s="28">
        <f>+L23*N23</f>
        <v>-17.5</v>
      </c>
    </row>
    <row r="24" spans="6:16" ht="12.75">
      <c r="F24" s="5"/>
      <c r="J24" s="28"/>
      <c r="P24" s="28"/>
    </row>
    <row r="25" spans="2:16" ht="12.75">
      <c r="B25">
        <v>8</v>
      </c>
      <c r="D25" s="27">
        <v>36617</v>
      </c>
      <c r="F25" s="5">
        <v>6241</v>
      </c>
      <c r="H25" s="5">
        <f>-F23+F25</f>
        <v>-3</v>
      </c>
      <c r="J25" s="28">
        <v>-24.5</v>
      </c>
      <c r="L25" s="28">
        <f>+H25-J25</f>
        <v>21.5</v>
      </c>
      <c r="N25">
        <v>6</v>
      </c>
      <c r="P25" s="28">
        <f>+L25*N25</f>
        <v>129</v>
      </c>
    </row>
    <row r="26" spans="6:16" ht="12.75">
      <c r="F26" s="5"/>
      <c r="J26" s="28"/>
      <c r="P26" s="28"/>
    </row>
    <row r="27" spans="2:16" ht="12.75">
      <c r="B27">
        <v>9</v>
      </c>
      <c r="D27" s="27">
        <v>36647</v>
      </c>
      <c r="F27" s="5">
        <v>6235</v>
      </c>
      <c r="H27" s="5">
        <f>-F25+F27</f>
        <v>-6</v>
      </c>
      <c r="J27" s="28">
        <v>-19.5</v>
      </c>
      <c r="L27" s="28">
        <f>+H27-J27</f>
        <v>13.5</v>
      </c>
      <c r="N27">
        <v>5</v>
      </c>
      <c r="P27" s="28">
        <f>+L27*N27</f>
        <v>67.5</v>
      </c>
    </row>
    <row r="28" spans="6:16" ht="12.75">
      <c r="F28" s="5"/>
      <c r="J28" s="28"/>
      <c r="P28" s="28"/>
    </row>
    <row r="29" spans="2:16" ht="12.75">
      <c r="B29">
        <v>10</v>
      </c>
      <c r="D29" s="27">
        <v>36678</v>
      </c>
      <c r="F29" s="5">
        <v>6228</v>
      </c>
      <c r="H29" s="5">
        <f>-F27+F29</f>
        <v>-7</v>
      </c>
      <c r="J29" s="28">
        <v>-38.5</v>
      </c>
      <c r="L29" s="28">
        <f>+H29-J29</f>
        <v>31.5</v>
      </c>
      <c r="N29">
        <v>4</v>
      </c>
      <c r="P29" s="28">
        <f>+L29*N29</f>
        <v>126</v>
      </c>
    </row>
    <row r="30" spans="6:16" ht="12.75">
      <c r="F30" s="5"/>
      <c r="J30" s="28"/>
      <c r="P30" s="28"/>
    </row>
    <row r="31" spans="2:16" ht="12.75">
      <c r="B31">
        <v>11</v>
      </c>
      <c r="D31" s="27">
        <v>36708</v>
      </c>
      <c r="F31" s="5">
        <v>6033</v>
      </c>
      <c r="H31" s="5">
        <f>-F29+F31</f>
        <v>-195</v>
      </c>
      <c r="J31" s="28">
        <v>-50.5</v>
      </c>
      <c r="L31" s="28">
        <f>+H31-J31</f>
        <v>-144.5</v>
      </c>
      <c r="N31">
        <v>3</v>
      </c>
      <c r="P31" s="28">
        <f>+L31*N31</f>
        <v>-433.5</v>
      </c>
    </row>
    <row r="32" spans="6:16" ht="12.75">
      <c r="F32" s="5"/>
      <c r="J32" s="28"/>
      <c r="P32" s="28"/>
    </row>
    <row r="33" spans="2:16" ht="12.75">
      <c r="B33">
        <v>12</v>
      </c>
      <c r="D33" s="27">
        <v>36739</v>
      </c>
      <c r="F33" s="5">
        <v>5937</v>
      </c>
      <c r="H33" s="5">
        <f>-F31+F33</f>
        <v>-96</v>
      </c>
      <c r="J33" s="28">
        <v>-82.5</v>
      </c>
      <c r="L33" s="28">
        <f>+H33-J33</f>
        <v>-13.5</v>
      </c>
      <c r="N33">
        <v>2</v>
      </c>
      <c r="P33" s="28">
        <f>+L33*N33</f>
        <v>-27</v>
      </c>
    </row>
    <row r="34" spans="6:16" ht="12.75">
      <c r="F34" s="5"/>
      <c r="J34" s="28"/>
      <c r="P34" s="28"/>
    </row>
    <row r="35" spans="2:16" ht="12.75">
      <c r="B35">
        <v>13</v>
      </c>
      <c r="D35" s="27">
        <v>36770</v>
      </c>
      <c r="F35" s="7">
        <v>5865</v>
      </c>
      <c r="H35" s="7">
        <f>-F33+F35</f>
        <v>-72</v>
      </c>
      <c r="J35" s="29">
        <v>-53.5</v>
      </c>
      <c r="L35" s="29">
        <f>+H35-J35</f>
        <v>-18.5</v>
      </c>
      <c r="N35">
        <v>1</v>
      </c>
      <c r="P35" s="29">
        <f>+L35*N35</f>
        <v>-18.5</v>
      </c>
    </row>
    <row r="36" spans="6:16" ht="12.75">
      <c r="F36" s="5"/>
      <c r="J36" s="28"/>
      <c r="P36" s="28"/>
    </row>
    <row r="37" spans="2:16" ht="12.75">
      <c r="B37">
        <v>14</v>
      </c>
      <c r="D37" s="2" t="s">
        <v>82</v>
      </c>
      <c r="F37" s="7">
        <f>SUM(F13:F35)</f>
        <v>74122</v>
      </c>
      <c r="H37" s="7">
        <f>SUM(H13:H35)</f>
        <v>-425</v>
      </c>
      <c r="J37" s="29">
        <f>SUM(J13:J35)</f>
        <v>-287.5</v>
      </c>
      <c r="L37" s="29">
        <f>SUM(L13:L35)</f>
        <v>-137.5</v>
      </c>
      <c r="P37" s="29">
        <f>SUM(P13:P35)</f>
        <v>-433.5</v>
      </c>
    </row>
    <row r="38" spans="6:16" ht="12.75">
      <c r="F38" s="5"/>
      <c r="P38" s="28"/>
    </row>
    <row r="39" spans="2:16" ht="13.5" thickBot="1">
      <c r="B39">
        <v>15</v>
      </c>
      <c r="D39" t="s">
        <v>83</v>
      </c>
      <c r="F39" s="30">
        <f>SUM(F11:F35)/13</f>
        <v>6185.538461538462</v>
      </c>
      <c r="P39" s="30">
        <f>+P37/13</f>
        <v>-33.34615384615385</v>
      </c>
    </row>
    <row r="40" ht="13.5" thickTop="1"/>
    <row r="43" ht="12.75">
      <c r="B43" t="s">
        <v>37</v>
      </c>
    </row>
    <row r="44" spans="2:16" ht="12.75">
      <c r="B44" s="12" t="s">
        <v>104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</row>
    <row r="45" spans="2:16" ht="12.75">
      <c r="B45" s="15" t="s">
        <v>105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</row>
    <row r="46" spans="2:16" ht="12.75">
      <c r="B46" s="15" t="s">
        <v>106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2:16" ht="12.75">
      <c r="B47" s="15" t="s">
        <v>107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</row>
    <row r="48" spans="2:16" ht="12.75">
      <c r="B48" s="15" t="s">
        <v>108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</row>
    <row r="49" spans="2:16" ht="12.75">
      <c r="B49" s="18" t="s">
        <v>109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9"/>
    </row>
    <row r="51" spans="2:4" ht="12.75">
      <c r="B51" t="s">
        <v>41</v>
      </c>
      <c r="D51" t="s">
        <v>110</v>
      </c>
    </row>
    <row r="52" ht="12.75">
      <c r="D52" t="s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5"/>
  <sheetViews>
    <sheetView workbookViewId="0" topLeftCell="C1">
      <selection activeCell="K5" sqref="K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8.28125" style="0" customWidth="1"/>
    <col min="5" max="5" width="1.28515625" style="0" customWidth="1"/>
    <col min="6" max="6" width="6.7109375" style="0" customWidth="1"/>
    <col min="7" max="7" width="1.28515625" style="0" customWidth="1"/>
    <col min="8" max="8" width="10.28125" style="0" bestFit="1" customWidth="1"/>
    <col min="9" max="9" width="1.28515625" style="0" customWidth="1"/>
    <col min="11" max="11" width="1.28515625" style="0" customWidth="1"/>
    <col min="12" max="12" width="9.28125" style="0" bestFit="1" customWidth="1"/>
    <col min="13" max="13" width="1.28515625" style="0" customWidth="1"/>
    <col min="14" max="14" width="10.28125" style="0" bestFit="1" customWidth="1"/>
    <col min="15" max="15" width="1.28515625" style="0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116</v>
      </c>
      <c r="K3" t="s">
        <v>8</v>
      </c>
    </row>
    <row r="4" spans="2:11" ht="12.75">
      <c r="B4" t="s">
        <v>2</v>
      </c>
      <c r="K4" t="s">
        <v>147</v>
      </c>
    </row>
    <row r="6" spans="6:15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</row>
    <row r="7" spans="2:15" ht="12.75">
      <c r="B7" s="2" t="s">
        <v>3</v>
      </c>
      <c r="C7" s="2"/>
      <c r="D7" s="2"/>
      <c r="E7" s="2"/>
      <c r="F7" s="2"/>
      <c r="G7" s="2"/>
      <c r="H7" s="2" t="s">
        <v>10</v>
      </c>
      <c r="I7" s="2"/>
      <c r="J7" s="2" t="s">
        <v>12</v>
      </c>
      <c r="K7" s="2"/>
      <c r="L7" s="2" t="s">
        <v>12</v>
      </c>
      <c r="N7" s="2" t="s">
        <v>12</v>
      </c>
      <c r="O7" s="2"/>
    </row>
    <row r="8" spans="2:15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14</v>
      </c>
      <c r="O8" s="2"/>
    </row>
    <row r="10" spans="2:4" ht="12.75">
      <c r="B10">
        <v>1</v>
      </c>
      <c r="D10" t="s">
        <v>9</v>
      </c>
    </row>
    <row r="12" spans="2:14" ht="12.75">
      <c r="B12">
        <v>2</v>
      </c>
      <c r="D12" t="s">
        <v>142</v>
      </c>
      <c r="F12">
        <v>930</v>
      </c>
      <c r="H12" s="5">
        <f>'2.5.1'!N28</f>
        <v>-3124040.427893173</v>
      </c>
      <c r="J12" s="2" t="s">
        <v>27</v>
      </c>
      <c r="L12" s="6">
        <v>0.37077</v>
      </c>
      <c r="N12" s="5">
        <f>H12*L12</f>
        <v>-1158300.4694499518</v>
      </c>
    </row>
    <row r="15" spans="2:4" ht="12.75">
      <c r="B15">
        <v>3</v>
      </c>
      <c r="D15" t="s">
        <v>143</v>
      </c>
    </row>
    <row r="17" spans="2:14" ht="12.75">
      <c r="B17">
        <v>4</v>
      </c>
      <c r="D17" t="s">
        <v>144</v>
      </c>
      <c r="F17" s="35" t="s">
        <v>145</v>
      </c>
      <c r="H17" s="5">
        <f>'2.5.1'!N35</f>
        <v>-6248080.5</v>
      </c>
      <c r="J17" s="2" t="s">
        <v>27</v>
      </c>
      <c r="L17" s="6">
        <v>0.37077</v>
      </c>
      <c r="N17" s="5">
        <f>H17*L17</f>
        <v>-2316600.806985</v>
      </c>
    </row>
    <row r="30" ht="12.75">
      <c r="B30" t="s">
        <v>37</v>
      </c>
    </row>
    <row r="31" spans="2:15" ht="12.75">
      <c r="B31" s="12" t="s">
        <v>196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2:15" ht="12.75">
      <c r="B32" s="15" t="s">
        <v>197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2:15" ht="12.75">
      <c r="B33" s="18" t="s">
        <v>146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9"/>
    </row>
    <row r="35" spans="2:4" ht="12.75">
      <c r="B35" t="s">
        <v>41</v>
      </c>
      <c r="D35" t="s">
        <v>226</v>
      </c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9"/>
  <sheetViews>
    <sheetView workbookViewId="0" topLeftCell="E1">
      <selection activeCell="J5" sqref="J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31.7109375" style="0" customWidth="1"/>
    <col min="5" max="5" width="1.28515625" style="0" customWidth="1"/>
    <col min="6" max="6" width="11.7109375" style="0" customWidth="1"/>
    <col min="7" max="7" width="1.28515625" style="0" customWidth="1"/>
    <col min="8" max="8" width="12.7109375" style="0" bestFit="1" customWidth="1"/>
    <col min="9" max="9" width="1.28515625" style="0" customWidth="1"/>
    <col min="10" max="10" width="11.7109375" style="0" customWidth="1"/>
    <col min="11" max="11" width="1.28515625" style="0" customWidth="1"/>
    <col min="12" max="12" width="11.7109375" style="0" customWidth="1"/>
    <col min="13" max="13" width="1.28515625" style="0" customWidth="1"/>
    <col min="14" max="14" width="10.7109375" style="0" customWidth="1"/>
    <col min="15" max="15" width="1.28515625" style="0" customWidth="1"/>
  </cols>
  <sheetData>
    <row r="1" spans="2:10" ht="12.75">
      <c r="B1" t="s">
        <v>0</v>
      </c>
      <c r="J1" t="s">
        <v>6</v>
      </c>
    </row>
    <row r="2" spans="2:10" ht="12.75">
      <c r="B2" t="s">
        <v>1</v>
      </c>
      <c r="J2" t="s">
        <v>7</v>
      </c>
    </row>
    <row r="3" spans="2:10" ht="12.75">
      <c r="B3" s="1" t="s">
        <v>116</v>
      </c>
      <c r="J3" t="s">
        <v>8</v>
      </c>
    </row>
    <row r="4" spans="2:10" ht="12.75">
      <c r="B4" t="s">
        <v>2</v>
      </c>
      <c r="J4" t="s">
        <v>227</v>
      </c>
    </row>
    <row r="6" spans="6:16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  <c r="P6" s="2"/>
    </row>
    <row r="7" spans="2:16" ht="12.75">
      <c r="B7" s="2" t="s">
        <v>3</v>
      </c>
      <c r="C7" s="2"/>
      <c r="D7" s="2"/>
      <c r="E7" s="2"/>
      <c r="F7" s="2"/>
      <c r="G7" s="2" t="s">
        <v>135</v>
      </c>
      <c r="H7" s="2"/>
      <c r="I7" s="2"/>
      <c r="J7" s="2"/>
      <c r="K7" s="2" t="s">
        <v>136</v>
      </c>
      <c r="L7" s="2"/>
      <c r="N7" s="2"/>
      <c r="O7" s="2"/>
      <c r="P7" s="2"/>
    </row>
    <row r="8" spans="2:16" ht="12.75">
      <c r="B8" s="3" t="s">
        <v>4</v>
      </c>
      <c r="C8" s="2"/>
      <c r="D8" s="3" t="s">
        <v>5</v>
      </c>
      <c r="E8" s="4"/>
      <c r="F8" s="3"/>
      <c r="G8" s="2" t="s">
        <v>118</v>
      </c>
      <c r="H8" s="3"/>
      <c r="I8" s="2"/>
      <c r="J8" s="3"/>
      <c r="K8" s="2" t="s">
        <v>118</v>
      </c>
      <c r="L8" s="3"/>
      <c r="N8" s="3" t="s">
        <v>14</v>
      </c>
      <c r="O8" s="2"/>
      <c r="P8" s="2"/>
    </row>
    <row r="10" ht="12.75">
      <c r="D10" s="31" t="s">
        <v>119</v>
      </c>
    </row>
    <row r="11" spans="2:12" ht="12.75">
      <c r="B11">
        <v>1</v>
      </c>
      <c r="D11" t="s">
        <v>121</v>
      </c>
      <c r="F11" s="5">
        <v>288</v>
      </c>
      <c r="H11" s="5"/>
      <c r="J11" s="5">
        <v>288</v>
      </c>
      <c r="L11" s="5"/>
    </row>
    <row r="12" spans="6:12" ht="12.75">
      <c r="F12" s="5"/>
      <c r="H12" s="5"/>
      <c r="J12" s="5"/>
      <c r="L12" s="5"/>
    </row>
    <row r="13" spans="2:12" ht="12.75">
      <c r="B13">
        <v>2</v>
      </c>
      <c r="D13" t="s">
        <v>120</v>
      </c>
      <c r="F13" s="5">
        <v>17556245</v>
      </c>
      <c r="H13" s="5"/>
      <c r="J13" s="5">
        <v>17556245</v>
      </c>
      <c r="L13" s="5"/>
    </row>
    <row r="14" spans="2:12" ht="12.75">
      <c r="B14">
        <v>3</v>
      </c>
      <c r="D14" t="s">
        <v>122</v>
      </c>
      <c r="F14" s="33">
        <v>0.7552</v>
      </c>
      <c r="H14" s="5"/>
      <c r="J14" s="33">
        <v>0.7552</v>
      </c>
      <c r="L14" s="5"/>
    </row>
    <row r="15" spans="2:12" ht="12.75">
      <c r="B15">
        <v>4</v>
      </c>
      <c r="D15" t="s">
        <v>119</v>
      </c>
      <c r="H15" s="5">
        <v>13258476</v>
      </c>
      <c r="L15" s="5">
        <v>13258476</v>
      </c>
    </row>
    <row r="16" ht="12.75">
      <c r="H16" s="5"/>
    </row>
    <row r="17" ht="12.75">
      <c r="H17" s="5"/>
    </row>
    <row r="18" ht="12.75">
      <c r="H18" s="5"/>
    </row>
    <row r="19" spans="4:8" ht="12.75">
      <c r="D19" s="31" t="s">
        <v>123</v>
      </c>
      <c r="H19" s="5"/>
    </row>
    <row r="20" spans="2:8" ht="12.75">
      <c r="B20">
        <v>5</v>
      </c>
      <c r="D20" t="s">
        <v>124</v>
      </c>
      <c r="F20" s="5">
        <v>156000000</v>
      </c>
      <c r="H20" s="5"/>
    </row>
    <row r="21" spans="2:8" ht="12.75">
      <c r="B21">
        <v>6</v>
      </c>
      <c r="D21" t="s">
        <v>125</v>
      </c>
      <c r="F21" s="7">
        <v>1011</v>
      </c>
      <c r="H21" s="5"/>
    </row>
    <row r="22" spans="2:8" ht="12.75">
      <c r="B22">
        <v>7</v>
      </c>
      <c r="D22" t="s">
        <v>126</v>
      </c>
      <c r="F22" s="5">
        <f>F20/F21</f>
        <v>154302.6706231454</v>
      </c>
      <c r="H22" s="5"/>
    </row>
    <row r="23" spans="2:8" ht="12.75">
      <c r="B23">
        <v>8</v>
      </c>
      <c r="F23" s="7">
        <v>288</v>
      </c>
      <c r="H23" s="5"/>
    </row>
    <row r="24" spans="2:10" ht="12.75">
      <c r="B24">
        <v>9</v>
      </c>
      <c r="D24" t="s">
        <v>127</v>
      </c>
      <c r="F24" s="5">
        <f>F22*F23</f>
        <v>44439169.13946587</v>
      </c>
      <c r="H24" s="5"/>
      <c r="J24" s="5">
        <v>28818967</v>
      </c>
    </row>
    <row r="25" spans="2:12" ht="12.75">
      <c r="B25">
        <v>10</v>
      </c>
      <c r="D25" t="s">
        <v>128</v>
      </c>
      <c r="F25" s="33">
        <v>0.2</v>
      </c>
      <c r="H25" s="5"/>
      <c r="J25" s="33">
        <v>0.2</v>
      </c>
      <c r="L25" s="5"/>
    </row>
    <row r="26" spans="2:12" ht="12.75">
      <c r="B26">
        <v>11</v>
      </c>
      <c r="D26" t="s">
        <v>129</v>
      </c>
      <c r="H26" s="7">
        <f>F24*F25</f>
        <v>8887833.827893173</v>
      </c>
      <c r="L26" s="7">
        <f>J24*J25</f>
        <v>5763793.4</v>
      </c>
    </row>
    <row r="27" ht="12.75">
      <c r="H27" s="5"/>
    </row>
    <row r="28" spans="2:14" ht="13.5" thickBot="1">
      <c r="B28">
        <v>12</v>
      </c>
      <c r="D28" s="31" t="s">
        <v>142</v>
      </c>
      <c r="H28" s="9">
        <f>H15-H26</f>
        <v>4370642.172106827</v>
      </c>
      <c r="L28" s="9">
        <f>L15-L26</f>
        <v>7494682.6</v>
      </c>
      <c r="N28" s="9">
        <f>H28-L28</f>
        <v>-3124040.427893173</v>
      </c>
    </row>
    <row r="29" ht="13.5" thickTop="1">
      <c r="H29" s="5"/>
    </row>
    <row r="30" spans="4:8" ht="12.75">
      <c r="D30" s="31" t="s">
        <v>130</v>
      </c>
      <c r="H30" s="5"/>
    </row>
    <row r="31" spans="2:10" ht="12.75">
      <c r="B31">
        <v>13</v>
      </c>
      <c r="D31" t="s">
        <v>131</v>
      </c>
      <c r="F31" s="5">
        <v>44439169</v>
      </c>
      <c r="H31" s="5"/>
      <c r="J31" s="5">
        <v>28818967</v>
      </c>
    </row>
    <row r="32" spans="2:10" ht="12.75">
      <c r="B32">
        <v>14</v>
      </c>
      <c r="D32" s="32" t="s">
        <v>132</v>
      </c>
      <c r="F32" s="7">
        <v>-8887834</v>
      </c>
      <c r="H32" s="5"/>
      <c r="J32" s="7">
        <v>-5763793</v>
      </c>
    </row>
    <row r="33" spans="2:10" ht="13.5" thickBot="1">
      <c r="B33">
        <v>15</v>
      </c>
      <c r="D33" s="32" t="s">
        <v>133</v>
      </c>
      <c r="F33" s="34">
        <f>SUM(F31:F32)</f>
        <v>35551335</v>
      </c>
      <c r="H33" s="5"/>
      <c r="J33" s="34">
        <f>SUM(J31:J32)</f>
        <v>23055174</v>
      </c>
    </row>
    <row r="34" ht="13.5" thickTop="1">
      <c r="H34" s="5"/>
    </row>
    <row r="35" spans="2:14" ht="13.5" thickBot="1">
      <c r="B35">
        <v>16</v>
      </c>
      <c r="D35" s="31" t="s">
        <v>134</v>
      </c>
      <c r="H35" s="9">
        <f>F33/2</f>
        <v>17775667.5</v>
      </c>
      <c r="L35" s="9">
        <f>J33/2</f>
        <v>11527587</v>
      </c>
      <c r="N35" s="9">
        <f>L35-H35</f>
        <v>-6248080.5</v>
      </c>
    </row>
    <row r="36" ht="13.5" thickTop="1">
      <c r="H36" s="5"/>
    </row>
    <row r="37" ht="12.75">
      <c r="H37" s="5"/>
    </row>
    <row r="42" ht="12.75">
      <c r="B42" t="s">
        <v>37</v>
      </c>
    </row>
    <row r="43" spans="2:14" ht="12.75">
      <c r="B43" s="12" t="s">
        <v>137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2:14" ht="12.75">
      <c r="B44" s="15" t="s">
        <v>138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2:14" ht="12.75">
      <c r="B45" s="15" t="s">
        <v>215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ht="12.75">
      <c r="B46" s="18" t="s">
        <v>139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9"/>
    </row>
    <row r="48" spans="2:4" ht="12.75">
      <c r="B48" t="s">
        <v>41</v>
      </c>
      <c r="D48" t="s">
        <v>140</v>
      </c>
    </row>
    <row r="49" ht="12.75">
      <c r="D49" t="s">
        <v>141</v>
      </c>
    </row>
  </sheetData>
  <printOptions/>
  <pageMargins left="0.75" right="0.75" top="1" bottom="1" header="0.5" footer="0.5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42"/>
  <sheetViews>
    <sheetView workbookViewId="0" topLeftCell="B28">
      <selection activeCell="K5" sqref="K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28.7109375" style="0" customWidth="1"/>
    <col min="5" max="5" width="1.28515625" style="0" customWidth="1"/>
    <col min="6" max="6" width="6.7109375" style="0" customWidth="1"/>
    <col min="7" max="7" width="1.28515625" style="0" customWidth="1"/>
    <col min="8" max="8" width="12.28125" style="0" bestFit="1" customWidth="1"/>
    <col min="9" max="9" width="1.28515625" style="0" customWidth="1"/>
    <col min="10" max="10" width="8.28125" style="0" customWidth="1"/>
    <col min="11" max="11" width="1.28515625" style="0" customWidth="1"/>
    <col min="12" max="12" width="9.28125" style="0" bestFit="1" customWidth="1"/>
    <col min="13" max="13" width="1.28515625" style="0" customWidth="1"/>
    <col min="14" max="14" width="9.7109375" style="0" bestFit="1" customWidth="1"/>
  </cols>
  <sheetData>
    <row r="1" spans="2:11" ht="12.75">
      <c r="B1" t="s">
        <v>0</v>
      </c>
      <c r="K1" t="s">
        <v>6</v>
      </c>
    </row>
    <row r="2" spans="2:11" ht="12.75">
      <c r="B2" t="s">
        <v>1</v>
      </c>
      <c r="K2" t="s">
        <v>7</v>
      </c>
    </row>
    <row r="3" spans="2:11" ht="12.75">
      <c r="B3" s="1" t="s">
        <v>200</v>
      </c>
      <c r="K3" t="s">
        <v>8</v>
      </c>
    </row>
    <row r="4" spans="2:11" ht="12.75">
      <c r="B4" t="s">
        <v>2</v>
      </c>
      <c r="K4" t="s">
        <v>164</v>
      </c>
    </row>
    <row r="6" spans="6:15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</row>
    <row r="7" spans="2:15" ht="12.75">
      <c r="B7" s="2" t="s">
        <v>3</v>
      </c>
      <c r="C7" s="2"/>
      <c r="D7" s="2"/>
      <c r="E7" s="2"/>
      <c r="F7" s="2"/>
      <c r="G7" s="2"/>
      <c r="H7" s="2" t="s">
        <v>10</v>
      </c>
      <c r="I7" s="2"/>
      <c r="J7" s="2" t="s">
        <v>12</v>
      </c>
      <c r="K7" s="2"/>
      <c r="L7" s="2" t="s">
        <v>12</v>
      </c>
      <c r="N7" s="2" t="s">
        <v>12</v>
      </c>
      <c r="O7" s="2"/>
    </row>
    <row r="8" spans="2:15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14</v>
      </c>
      <c r="O8" s="2"/>
    </row>
    <row r="10" spans="2:4" ht="12.75">
      <c r="B10">
        <v>1</v>
      </c>
      <c r="D10" t="s">
        <v>9</v>
      </c>
    </row>
    <row r="12" spans="2:8" ht="12.75">
      <c r="B12">
        <v>2</v>
      </c>
      <c r="D12" t="s">
        <v>199</v>
      </c>
      <c r="H12" s="5">
        <v>2100000</v>
      </c>
    </row>
    <row r="13" spans="2:8" ht="12.75">
      <c r="B13">
        <v>3</v>
      </c>
      <c r="D13" t="s">
        <v>148</v>
      </c>
      <c r="H13" s="7">
        <v>1000000</v>
      </c>
    </row>
    <row r="14" spans="2:14" ht="12.75">
      <c r="B14">
        <v>4</v>
      </c>
      <c r="D14" t="s">
        <v>149</v>
      </c>
      <c r="F14">
        <v>930</v>
      </c>
      <c r="H14" s="5">
        <f>SUM(H12:H13)</f>
        <v>3100000</v>
      </c>
      <c r="J14" s="2" t="s">
        <v>27</v>
      </c>
      <c r="L14" s="6">
        <v>0.37077</v>
      </c>
      <c r="N14" s="5">
        <f>H14*L14</f>
        <v>1149387</v>
      </c>
    </row>
    <row r="15" ht="12.75">
      <c r="H15" s="5"/>
    </row>
    <row r="16" spans="2:14" ht="12.75">
      <c r="B16">
        <v>5</v>
      </c>
      <c r="D16" t="s">
        <v>150</v>
      </c>
      <c r="F16">
        <v>930</v>
      </c>
      <c r="H16" s="5">
        <v>-1033333</v>
      </c>
      <c r="J16" s="2" t="s">
        <v>27</v>
      </c>
      <c r="L16" s="6">
        <v>0.37077</v>
      </c>
      <c r="N16" s="5">
        <f>H16*L16</f>
        <v>-383128.87640999997</v>
      </c>
    </row>
    <row r="17" ht="12.75">
      <c r="H17" s="5"/>
    </row>
    <row r="18" ht="12.75">
      <c r="H18" s="5"/>
    </row>
    <row r="19" spans="2:8" ht="12.75">
      <c r="B19">
        <v>6</v>
      </c>
      <c r="D19" t="s">
        <v>151</v>
      </c>
      <c r="H19" s="5"/>
    </row>
    <row r="20" ht="12.75">
      <c r="H20" s="5"/>
    </row>
    <row r="21" spans="2:14" ht="12.75">
      <c r="B21">
        <v>7</v>
      </c>
      <c r="D21" t="s">
        <v>152</v>
      </c>
      <c r="F21" s="36" t="s">
        <v>145</v>
      </c>
      <c r="H21" s="5">
        <f>-H31</f>
        <v>-645833.3333333333</v>
      </c>
      <c r="J21" s="2" t="s">
        <v>27</v>
      </c>
      <c r="L21" s="6">
        <v>0.37077</v>
      </c>
      <c r="N21" s="5">
        <f>H21*L21</f>
        <v>-239455.62499999997</v>
      </c>
    </row>
    <row r="22" ht="12.75">
      <c r="H22" s="5"/>
    </row>
    <row r="23" ht="12.75">
      <c r="H23" s="5"/>
    </row>
    <row r="24" spans="2:4" ht="12.75">
      <c r="B24">
        <v>8</v>
      </c>
      <c r="D24" t="s">
        <v>153</v>
      </c>
    </row>
    <row r="26" spans="2:8" ht="12.75">
      <c r="B26">
        <v>9</v>
      </c>
      <c r="D26" t="s">
        <v>154</v>
      </c>
      <c r="H26" s="5">
        <v>3100000</v>
      </c>
    </row>
    <row r="27" spans="2:8" ht="12.75">
      <c r="B27">
        <v>10</v>
      </c>
      <c r="D27" t="s">
        <v>155</v>
      </c>
      <c r="H27" s="5">
        <f>-H26/3</f>
        <v>-1033333.3333333334</v>
      </c>
    </row>
    <row r="28" spans="2:8" ht="12.75">
      <c r="B28">
        <v>11</v>
      </c>
      <c r="D28" t="s">
        <v>156</v>
      </c>
      <c r="H28" s="7">
        <f>H27*0.75</f>
        <v>-775000</v>
      </c>
    </row>
    <row r="29" spans="2:8" ht="13.5" thickBot="1">
      <c r="B29">
        <v>12</v>
      </c>
      <c r="D29" t="s">
        <v>157</v>
      </c>
      <c r="H29" s="34">
        <f>SUM(H26:H28)</f>
        <v>1291666.6666666665</v>
      </c>
    </row>
    <row r="30" ht="13.5" thickTop="1">
      <c r="H30" s="5"/>
    </row>
    <row r="31" spans="2:8" ht="13.5" thickBot="1">
      <c r="B31">
        <v>13</v>
      </c>
      <c r="D31" t="s">
        <v>158</v>
      </c>
      <c r="H31" s="9">
        <f>H29/2</f>
        <v>645833.3333333333</v>
      </c>
    </row>
    <row r="32" ht="13.5" thickTop="1">
      <c r="H32" s="5"/>
    </row>
    <row r="33" ht="12.75">
      <c r="H33" s="5"/>
    </row>
    <row r="36" ht="12.75">
      <c r="B36" t="s">
        <v>37</v>
      </c>
    </row>
    <row r="37" spans="2:14" ht="12.75">
      <c r="B37" s="12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2:14" ht="12.75">
      <c r="B38" s="15" t="s">
        <v>198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2:14" ht="12.75">
      <c r="B39" s="18" t="s">
        <v>159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9"/>
    </row>
    <row r="41" spans="2:4" ht="12.75">
      <c r="B41" t="s">
        <v>41</v>
      </c>
      <c r="D41" t="s">
        <v>160</v>
      </c>
    </row>
    <row r="42" ht="12.75">
      <c r="D42" t="s">
        <v>161</v>
      </c>
    </row>
  </sheetData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7"/>
  <sheetViews>
    <sheetView workbookViewId="0" topLeftCell="A37">
      <selection activeCell="J5" sqref="J5"/>
    </sheetView>
  </sheetViews>
  <sheetFormatPr defaultColWidth="9.140625" defaultRowHeight="12.75"/>
  <cols>
    <col min="1" max="2" width="5.7109375" style="0" customWidth="1"/>
    <col min="3" max="3" width="1.28515625" style="0" customWidth="1"/>
    <col min="4" max="4" width="35.7109375" style="0" customWidth="1"/>
    <col min="5" max="5" width="1.28515625" style="0" customWidth="1"/>
    <col min="6" max="6" width="6.7109375" style="0" customWidth="1"/>
    <col min="7" max="7" width="1.28515625" style="0" customWidth="1"/>
    <col min="8" max="8" width="11.7109375" style="0" customWidth="1"/>
    <col min="9" max="9" width="1.28515625" style="0" customWidth="1"/>
    <col min="11" max="11" width="1.28515625" style="0" customWidth="1"/>
    <col min="12" max="12" width="10.421875" style="0" bestFit="1" customWidth="1"/>
    <col min="13" max="13" width="1.28515625" style="0" customWidth="1"/>
    <col min="14" max="14" width="10.7109375" style="0" customWidth="1"/>
  </cols>
  <sheetData>
    <row r="1" spans="2:10" ht="12.75">
      <c r="B1" t="s">
        <v>0</v>
      </c>
      <c r="J1" t="s">
        <v>6</v>
      </c>
    </row>
    <row r="2" spans="2:10" ht="12.75">
      <c r="B2" t="s">
        <v>1</v>
      </c>
      <c r="J2" t="s">
        <v>7</v>
      </c>
    </row>
    <row r="3" spans="2:10" ht="12.75">
      <c r="B3" s="1" t="s">
        <v>201</v>
      </c>
      <c r="J3" t="s">
        <v>8</v>
      </c>
    </row>
    <row r="4" spans="2:10" ht="12.75">
      <c r="B4" t="s">
        <v>2</v>
      </c>
      <c r="J4" t="s">
        <v>184</v>
      </c>
    </row>
    <row r="6" spans="6:15" ht="12.75">
      <c r="F6" s="2" t="s">
        <v>42</v>
      </c>
      <c r="G6" s="2"/>
      <c r="H6" s="2" t="s">
        <v>43</v>
      </c>
      <c r="I6" s="2"/>
      <c r="J6" s="2" t="s">
        <v>47</v>
      </c>
      <c r="K6" s="2"/>
      <c r="L6" s="2" t="s">
        <v>44</v>
      </c>
      <c r="M6" s="2"/>
      <c r="N6" s="2" t="s">
        <v>45</v>
      </c>
      <c r="O6" s="2"/>
    </row>
    <row r="7" spans="2:15" ht="12.75">
      <c r="B7" s="2" t="s">
        <v>3</v>
      </c>
      <c r="C7" s="2"/>
      <c r="D7" s="2"/>
      <c r="E7" s="2"/>
      <c r="F7" s="2"/>
      <c r="G7" s="2"/>
      <c r="H7" s="2" t="s">
        <v>10</v>
      </c>
      <c r="I7" s="2"/>
      <c r="J7" s="2" t="s">
        <v>12</v>
      </c>
      <c r="K7" s="2"/>
      <c r="L7" s="2" t="s">
        <v>12</v>
      </c>
      <c r="N7" s="2" t="s">
        <v>12</v>
      </c>
      <c r="O7" s="2"/>
    </row>
    <row r="8" spans="2:15" ht="12.75">
      <c r="B8" s="3" t="s">
        <v>4</v>
      </c>
      <c r="C8" s="2"/>
      <c r="D8" s="3" t="s">
        <v>5</v>
      </c>
      <c r="E8" s="4"/>
      <c r="F8" s="3" t="s">
        <v>15</v>
      </c>
      <c r="G8" s="2"/>
      <c r="H8" s="3" t="s">
        <v>11</v>
      </c>
      <c r="I8" s="2"/>
      <c r="J8" s="3" t="s">
        <v>16</v>
      </c>
      <c r="K8" s="2"/>
      <c r="L8" s="3" t="s">
        <v>17</v>
      </c>
      <c r="N8" s="3" t="s">
        <v>14</v>
      </c>
      <c r="O8" s="2"/>
    </row>
    <row r="10" spans="2:4" ht="12.75">
      <c r="B10">
        <v>1</v>
      </c>
      <c r="D10" s="1" t="s">
        <v>9</v>
      </c>
    </row>
    <row r="11" ht="12.75">
      <c r="N11" s="5"/>
    </row>
    <row r="12" spans="2:14" ht="12.75">
      <c r="B12">
        <v>2</v>
      </c>
      <c r="D12" t="s">
        <v>165</v>
      </c>
      <c r="H12" s="5">
        <v>2388000</v>
      </c>
      <c r="J12" s="2" t="s">
        <v>27</v>
      </c>
      <c r="L12" s="6">
        <v>0.37077</v>
      </c>
      <c r="N12" s="5">
        <f>H12*L12</f>
        <v>885398.76</v>
      </c>
    </row>
    <row r="13" spans="2:14" ht="12.75">
      <c r="B13">
        <v>3</v>
      </c>
      <c r="D13" t="s">
        <v>162</v>
      </c>
      <c r="H13" s="5">
        <v>2984000</v>
      </c>
      <c r="J13" s="2" t="s">
        <v>27</v>
      </c>
      <c r="L13" s="6">
        <v>0.37077</v>
      </c>
      <c r="N13" s="5">
        <f>H13*L13</f>
        <v>1106377.68</v>
      </c>
    </row>
    <row r="14" spans="2:14" ht="12.75">
      <c r="B14">
        <v>4</v>
      </c>
      <c r="D14" t="s">
        <v>163</v>
      </c>
      <c r="H14" s="5">
        <v>1630000</v>
      </c>
      <c r="J14" s="2" t="s">
        <v>27</v>
      </c>
      <c r="L14" s="6">
        <v>0.37077</v>
      </c>
      <c r="N14" s="5">
        <f>H14*L14</f>
        <v>604355.1</v>
      </c>
    </row>
    <row r="15" spans="2:14" ht="12.75">
      <c r="B15">
        <v>5</v>
      </c>
      <c r="D15" t="s">
        <v>210</v>
      </c>
      <c r="H15" s="7">
        <v>400000</v>
      </c>
      <c r="J15" s="2" t="s">
        <v>27</v>
      </c>
      <c r="L15" s="6">
        <v>0.37077</v>
      </c>
      <c r="N15" s="7">
        <f>H15*L15</f>
        <v>148308</v>
      </c>
    </row>
    <row r="16" spans="2:14" ht="13.5" thickBot="1">
      <c r="B16">
        <v>6</v>
      </c>
      <c r="D16" s="2" t="s">
        <v>10</v>
      </c>
      <c r="H16" s="34">
        <f>SUM(H12:H15)</f>
        <v>7402000</v>
      </c>
      <c r="N16" s="34">
        <f>SUM(N12:N15)</f>
        <v>2744439.54</v>
      </c>
    </row>
    <row r="17" ht="13.5" thickTop="1">
      <c r="H17" s="5"/>
    </row>
    <row r="18" spans="2:14" ht="12.75">
      <c r="B18">
        <v>7</v>
      </c>
      <c r="D18" t="s">
        <v>166</v>
      </c>
      <c r="F18">
        <v>930</v>
      </c>
      <c r="H18" s="5">
        <f>H29</f>
        <v>-2467333.3333333335</v>
      </c>
      <c r="J18" s="2" t="s">
        <v>27</v>
      </c>
      <c r="L18" s="6">
        <v>0.37077</v>
      </c>
      <c r="N18" s="5">
        <f>H18*L18</f>
        <v>-914813.18</v>
      </c>
    </row>
    <row r="19" ht="12.75">
      <c r="H19" s="5"/>
    </row>
    <row r="20" ht="12.75">
      <c r="H20" s="5"/>
    </row>
    <row r="21" spans="2:8" ht="12.75">
      <c r="B21">
        <v>7</v>
      </c>
      <c r="D21" s="1" t="s">
        <v>151</v>
      </c>
      <c r="H21" s="5"/>
    </row>
    <row r="22" ht="12.75">
      <c r="H22" s="5"/>
    </row>
    <row r="23" spans="2:14" ht="12.75">
      <c r="B23">
        <v>8</v>
      </c>
      <c r="D23" t="s">
        <v>152</v>
      </c>
      <c r="F23" s="35" t="s">
        <v>145</v>
      </c>
      <c r="H23" s="5">
        <f>-H33</f>
        <v>-1542083.333333333</v>
      </c>
      <c r="J23" s="2" t="s">
        <v>27</v>
      </c>
      <c r="L23" s="6">
        <v>0.37077</v>
      </c>
      <c r="N23" s="5">
        <f>H23*L23</f>
        <v>-571758.2374999998</v>
      </c>
    </row>
    <row r="24" ht="12.75">
      <c r="H24" s="5"/>
    </row>
    <row r="25" ht="12.75">
      <c r="H25" s="5"/>
    </row>
    <row r="26" spans="2:4" ht="12.75">
      <c r="B26">
        <v>9</v>
      </c>
      <c r="D26" t="s">
        <v>153</v>
      </c>
    </row>
    <row r="28" spans="2:14" ht="12.75">
      <c r="B28">
        <v>10</v>
      </c>
      <c r="D28" t="s">
        <v>167</v>
      </c>
      <c r="H28" s="5">
        <v>7402000</v>
      </c>
      <c r="N28" s="5">
        <f>N16</f>
        <v>2744439.54</v>
      </c>
    </row>
    <row r="29" spans="2:14" ht="12.75">
      <c r="B29">
        <v>11</v>
      </c>
      <c r="D29" t="s">
        <v>155</v>
      </c>
      <c r="H29" s="5">
        <f>-H28/3</f>
        <v>-2467333.3333333335</v>
      </c>
      <c r="N29" s="5">
        <f>-N28/3</f>
        <v>-914813.18</v>
      </c>
    </row>
    <row r="30" spans="2:14" ht="12.75">
      <c r="B30">
        <v>12</v>
      </c>
      <c r="D30" t="s">
        <v>156</v>
      </c>
      <c r="H30" s="7">
        <f>H29*0.75</f>
        <v>-1850500</v>
      </c>
      <c r="N30" s="7">
        <f>N29*0.75</f>
        <v>-686109.885</v>
      </c>
    </row>
    <row r="31" spans="2:14" ht="13.5" thickBot="1">
      <c r="B31">
        <v>13</v>
      </c>
      <c r="D31" t="s">
        <v>157</v>
      </c>
      <c r="H31" s="34">
        <f>SUM(H28:H30)</f>
        <v>3084166.666666666</v>
      </c>
      <c r="N31" s="34">
        <f>SUM(N28:N30)</f>
        <v>1143516.4749999999</v>
      </c>
    </row>
    <row r="32" spans="8:14" ht="13.5" thickTop="1">
      <c r="H32" s="5"/>
      <c r="N32" s="5"/>
    </row>
    <row r="33" spans="2:14" ht="13.5" thickBot="1">
      <c r="B33">
        <v>14</v>
      </c>
      <c r="D33" t="s">
        <v>158</v>
      </c>
      <c r="H33" s="9">
        <f>H31/2</f>
        <v>1542083.333333333</v>
      </c>
      <c r="N33" s="9">
        <f>N31/2</f>
        <v>571758.2374999999</v>
      </c>
    </row>
    <row r="34" ht="13.5" thickTop="1">
      <c r="H34" s="5"/>
    </row>
    <row r="35" ht="12.75">
      <c r="H35" s="5"/>
    </row>
    <row r="36" spans="2:8" ht="12.75">
      <c r="B36" t="s">
        <v>37</v>
      </c>
      <c r="H36" s="5"/>
    </row>
    <row r="37" spans="2:14" ht="12.75">
      <c r="B37" s="12" t="s">
        <v>168</v>
      </c>
      <c r="C37" s="13"/>
      <c r="D37" s="13"/>
      <c r="E37" s="13"/>
      <c r="F37" s="13"/>
      <c r="G37" s="13"/>
      <c r="H37" s="20"/>
      <c r="I37" s="13"/>
      <c r="J37" s="13"/>
      <c r="K37" s="13"/>
      <c r="L37" s="13"/>
      <c r="M37" s="13"/>
      <c r="N37" s="14"/>
    </row>
    <row r="38" spans="2:14" ht="12.75">
      <c r="B38" s="15" t="s">
        <v>209</v>
      </c>
      <c r="C38" s="16"/>
      <c r="D38" s="16"/>
      <c r="E38" s="16"/>
      <c r="F38" s="16"/>
      <c r="G38" s="16"/>
      <c r="H38" s="11"/>
      <c r="I38" s="16"/>
      <c r="J38" s="16"/>
      <c r="K38" s="16"/>
      <c r="L38" s="16"/>
      <c r="M38" s="16"/>
      <c r="N38" s="17"/>
    </row>
    <row r="39" spans="2:14" ht="12.75">
      <c r="B39" s="15" t="s">
        <v>169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2:14" ht="12.75">
      <c r="B40" s="15" t="s">
        <v>170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2:14" ht="12.75">
      <c r="B41" s="15" t="s">
        <v>202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</row>
    <row r="42" spans="2:14" ht="12.75">
      <c r="B42" s="15" t="s">
        <v>203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2:14" ht="12.75">
      <c r="B43" s="15" t="s">
        <v>171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</row>
    <row r="44" spans="2:14" ht="12.75">
      <c r="B44" s="15" t="s">
        <v>174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2:14" ht="12.75">
      <c r="B45" s="18" t="s">
        <v>172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9"/>
    </row>
    <row r="47" spans="2:4" ht="12.75">
      <c r="B47" t="s">
        <v>41</v>
      </c>
      <c r="D47" t="s">
        <v>173</v>
      </c>
    </row>
  </sheetData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schultz</dc:creator>
  <cp:keywords/>
  <dc:description/>
  <cp:lastModifiedBy>Janna Nelson</cp:lastModifiedBy>
  <cp:lastPrinted>2001-05-29T08:08:09Z</cp:lastPrinted>
  <dcterms:created xsi:type="dcterms:W3CDTF">2001-05-21T10:26:34Z</dcterms:created>
  <dcterms:modified xsi:type="dcterms:W3CDTF">2001-05-31T13:43:34Z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