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Exhibit No. 8.2 Summary" sheetId="1" r:id="rId1"/>
    <sheet name="Summary Worksheet" sheetId="2" r:id="rId2"/>
    <sheet name="Exhibit No. 8.2 Worksheet" sheetId="3" r:id="rId3"/>
    <sheet name="Exhibit No. 8.2 Top Sheet" sheetId="4" r:id="rId4"/>
  </sheets>
  <definedNames>
    <definedName name="_xlnm.Print_Area" localSheetId="0">'Exhibit No. 8.2 Summary'!$A$1:$L$97</definedName>
    <definedName name="_xlnm.Print_Area" localSheetId="1">'Summary Worksheet'!$A$1:$J$25</definedName>
  </definedNames>
  <calcPr fullCalcOnLoad="1"/>
</workbook>
</file>

<file path=xl/sharedStrings.xml><?xml version="1.0" encoding="utf-8"?>
<sst xmlns="http://schemas.openxmlformats.org/spreadsheetml/2006/main" count="699" uniqueCount="165">
  <si>
    <t>PacifiCorp</t>
  </si>
  <si>
    <t>Normalized Actuals</t>
  </si>
  <si>
    <t>Semi Annual Study</t>
  </si>
  <si>
    <t>Net Power Cost Analysis</t>
  </si>
  <si>
    <t>Period ended 09/30/00, UT, Type II</t>
  </si>
  <si>
    <t>($)</t>
  </si>
  <si>
    <t>Type II</t>
  </si>
  <si>
    <t>09/00</t>
  </si>
  <si>
    <t>-------</t>
  </si>
  <si>
    <t>SPECIAL SALES FOR RESALE</t>
  </si>
  <si>
    <t>Black Hills</t>
  </si>
  <si>
    <t>So Cal Edison (P)</t>
  </si>
  <si>
    <t>So Cal Edison (U)</t>
  </si>
  <si>
    <t>SMUD</t>
  </si>
  <si>
    <t>Sierra Pacific</t>
  </si>
  <si>
    <t>IPP Sale</t>
  </si>
  <si>
    <t>Puget Power II</t>
  </si>
  <si>
    <t>Sierra Pacific II</t>
  </si>
  <si>
    <t>UMPA Sale</t>
  </si>
  <si>
    <t>Nevada (base)</t>
  </si>
  <si>
    <t>CDWR Sale</t>
  </si>
  <si>
    <t>WAPA Sale</t>
  </si>
  <si>
    <t>WAPA II Sale</t>
  </si>
  <si>
    <t>PSCo Sale</t>
  </si>
  <si>
    <t>EWEB Sale 95</t>
  </si>
  <si>
    <t>Redding Sale</t>
  </si>
  <si>
    <t>Clark Sale</t>
  </si>
  <si>
    <t>Hinson</t>
  </si>
  <si>
    <t>Black Hills Capacity</t>
  </si>
  <si>
    <t>Black Hills Storage</t>
  </si>
  <si>
    <t>Springfield</t>
  </si>
  <si>
    <t>ESI-Kaiser</t>
  </si>
  <si>
    <t>PNGC</t>
  </si>
  <si>
    <t>Cheyenne Sale</t>
  </si>
  <si>
    <t>Deseret Supplemental</t>
  </si>
  <si>
    <t>Okanogan</t>
  </si>
  <si>
    <t>UMPA II Sale</t>
  </si>
  <si>
    <t>Plains Electric G&amp;T</t>
  </si>
  <si>
    <t>Springfield II</t>
  </si>
  <si>
    <t>Cowlitz-BHP</t>
  </si>
  <si>
    <t>Clark-FW</t>
  </si>
  <si>
    <t>Clark-WT</t>
  </si>
  <si>
    <t>Hurricane Sale</t>
  </si>
  <si>
    <t>APPA-AEPCO</t>
  </si>
  <si>
    <t>APPA-ED#2</t>
  </si>
  <si>
    <t>APPA-Mesa</t>
  </si>
  <si>
    <t>Citizens Power</t>
  </si>
  <si>
    <t>Green Mountains</t>
  </si>
  <si>
    <t>Flathead Sale</t>
  </si>
  <si>
    <t>BPA Wind Sale</t>
  </si>
  <si>
    <t>Short Term Firm P</t>
  </si>
  <si>
    <t>Short Term Firm Intertie</t>
  </si>
  <si>
    <t>Short Term Firm U</t>
  </si>
  <si>
    <t>Secondary Sales</t>
  </si>
  <si>
    <t>System Sales PPL</t>
  </si>
  <si>
    <t>System Sales UPL</t>
  </si>
  <si>
    <t>-</t>
  </si>
  <si>
    <t>TOTAL SPECIAL SALES</t>
  </si>
  <si>
    <t>=</t>
  </si>
  <si>
    <t>Net Power Cost Energy Analysis</t>
  </si>
  <si>
    <t>(MWH)</t>
  </si>
  <si>
    <t>NET SYSTEM LOAD</t>
  </si>
  <si>
    <t>TOTAL REQUIREMENTS</t>
  </si>
  <si>
    <t>Resource Statistics</t>
  </si>
  <si>
    <t>"THE MILL"</t>
  </si>
  <si>
    <t>THE MILL  (Mills / KWH)</t>
  </si>
  <si>
    <t>Long Term Firm Change</t>
  </si>
  <si>
    <t>expired 12/2000</t>
  </si>
  <si>
    <t>part expired 12/2000</t>
  </si>
  <si>
    <t>Start Date</t>
  </si>
  <si>
    <t>End Date</t>
  </si>
  <si>
    <t>Revenues at</t>
  </si>
  <si>
    <t>Embedded Cost</t>
  </si>
  <si>
    <t xml:space="preserve">Increase in </t>
  </si>
  <si>
    <t>Revenues Needed</t>
  </si>
  <si>
    <t>Contract Price</t>
  </si>
  <si>
    <t>with Losses</t>
  </si>
  <si>
    <t>Term in Years</t>
  </si>
  <si>
    <t>Years Left</t>
  </si>
  <si>
    <t xml:space="preserve"> &lt;1</t>
  </si>
  <si>
    <t>Contract Details</t>
  </si>
  <si>
    <t>Docket No. 01-035-01</t>
  </si>
  <si>
    <t>Witness: Rebecca L. Wilson</t>
  </si>
  <si>
    <t>Utah Division of Public Utilities</t>
  </si>
  <si>
    <t>Utah Results of Operation September 2000</t>
  </si>
  <si>
    <t>Revenue Normalizing Adjustment</t>
  </si>
  <si>
    <t xml:space="preserve">Total </t>
  </si>
  <si>
    <t>Utah</t>
  </si>
  <si>
    <t>Adjustment to Revenues:</t>
  </si>
  <si>
    <t>Account</t>
  </si>
  <si>
    <t>Type</t>
  </si>
  <si>
    <t>Company</t>
  </si>
  <si>
    <t>Factor</t>
  </si>
  <si>
    <t>Factor %</t>
  </si>
  <si>
    <t>Allocated</t>
  </si>
  <si>
    <t>Sales for Resale</t>
  </si>
  <si>
    <t>SG</t>
  </si>
  <si>
    <t>Description of Adjustment:</t>
  </si>
  <si>
    <t>Summary of Long Term Firm Revenue Increase Adjustment</t>
  </si>
  <si>
    <t xml:space="preserve"> 0-20</t>
  </si>
  <si>
    <t xml:space="preserve"> &lt;1-10</t>
  </si>
  <si>
    <t xml:space="preserve"> = revenue change for contacts &lt; $37.60 and midway through contract term</t>
  </si>
  <si>
    <t>excluded</t>
  </si>
  <si>
    <t>San Diego Gas &amp; Elec</t>
  </si>
  <si>
    <t>0-20</t>
  </si>
  <si>
    <t>part suspended 12/2000</t>
  </si>
  <si>
    <t>TOTAL CONTRACT ADJUSTMENT</t>
  </si>
  <si>
    <t>SUMMARY OF EXHIBIT NO. DPU 8.2 - LONG TERM FIRM REVENUE INCREASE</t>
  </si>
  <si>
    <t>Contract Life</t>
  </si>
  <si>
    <t>Price w/</t>
  </si>
  <si>
    <t>Losses</t>
  </si>
  <si>
    <t>super peak</t>
  </si>
  <si>
    <t>Hinson *</t>
  </si>
  <si>
    <t>Columbia Falls Aluminum C.</t>
  </si>
  <si>
    <t>Cowlitz-BHP *</t>
  </si>
  <si>
    <t>BHP Steel Co.</t>
  </si>
  <si>
    <t>Clark-FW *</t>
  </si>
  <si>
    <t>Clark-WT *</t>
  </si>
  <si>
    <t>added</t>
  </si>
  <si>
    <t>per MWh</t>
  </si>
  <si>
    <t xml:space="preserve"> = revenue change for contacts &lt; embedded cost and at end of life.</t>
  </si>
  <si>
    <t>Market Price</t>
  </si>
  <si>
    <t xml:space="preserve"> = Utah Share</t>
  </si>
  <si>
    <t xml:space="preserve"> = revenue change for contacts &lt; $37.25 and midway through contract term</t>
  </si>
  <si>
    <t xml:space="preserve"> = revenue change for contacts &lt; $33.72 and midway through contract term</t>
  </si>
  <si>
    <t>Division Direct Testimony</t>
  </si>
  <si>
    <t xml:space="preserve">Adjusted to include San Diego </t>
  </si>
  <si>
    <t xml:space="preserve"> = Utah Share at 37.1550%</t>
  </si>
  <si>
    <t xml:space="preserve"> = Utah Share at stipulated SG = 37.0634%</t>
  </si>
  <si>
    <t>Division Rebuttal Testimony</t>
  </si>
  <si>
    <t>Adjusted for Stip/San Diego/Actual NPC</t>
  </si>
  <si>
    <t>Assumes PacfiCorp Modeled NPC</t>
  </si>
  <si>
    <t>Adjusted for Stip/San Diego/PC Stip NPC</t>
  </si>
  <si>
    <t>Super peak</t>
  </si>
  <si>
    <t>Type II Revenues</t>
  </si>
  <si>
    <t>Notes</t>
  </si>
  <si>
    <t>Contract</t>
  </si>
  <si>
    <t>Page 6</t>
  </si>
  <si>
    <t>Exhibit No. DPU 8.2 Revised</t>
  </si>
  <si>
    <t>This adjustment replaces PacifiCorp adjustment 5.5 and is included in Division adjustment 8.3.  It increases revenue to thirteen long term or intermediate term sales for resale contracts.  The revenue increase is based on raising the average revenue per megawatt hour to PacifiCorp's embedded cost for the 12 months ending September 2000.  This imputation is consistent with the Utah Public Service Commission order in 90-035-06 that revenue credit contracts cover their marginal cost and after a short time expire or cover embedded cost and is also consistent with the consensus language of the Wholesale Contracts Task Force Report that contracts not increase revenue requirement over the life fo the contract.  This revision adds the San Diego contract and updates embedded cost.  the update in embedded cost to reflect actual rather than PacifiCorp filed net power cost results in two less contracts which meet the criteria, hence the original fourteen is reduced to twelve and adding San Diego makes thirteen.</t>
  </si>
  <si>
    <t xml:space="preserve"> = revenue change for all contracts under embedded cost</t>
  </si>
  <si>
    <t>Market Sensitive Price</t>
  </si>
  <si>
    <t>Part suspended 12/2000</t>
  </si>
  <si>
    <t>Mistaken for short term</t>
  </si>
  <si>
    <t>Now expired</t>
  </si>
  <si>
    <t>Columbia Falls Alum. Co., now expired</t>
  </si>
  <si>
    <t>Yankel</t>
  </si>
  <si>
    <t>Yankel and Anderson</t>
  </si>
  <si>
    <t>Yankel and Widmer</t>
  </si>
  <si>
    <t xml:space="preserve">Yankel and Anderson </t>
  </si>
  <si>
    <t>Yankel, Widmer and Anderson</t>
  </si>
  <si>
    <t>Yankel and  Anderson</t>
  </si>
  <si>
    <t>Hinson/Columbia Falls</t>
  </si>
  <si>
    <t>Clark-FiberWeb</t>
  </si>
  <si>
    <t>Clark-WaferTech</t>
  </si>
  <si>
    <t>Term</t>
  </si>
  <si>
    <t>TABLE 1</t>
  </si>
  <si>
    <t>TABLE 2</t>
  </si>
  <si>
    <t>TABLE 3</t>
  </si>
  <si>
    <t>TABLE 4</t>
  </si>
  <si>
    <t>Hot Input for Embedded Cost</t>
  </si>
  <si>
    <t>Anderson</t>
  </si>
  <si>
    <t>Other Witnesses adjusting</t>
  </si>
  <si>
    <t>this contract's revenues or costs</t>
  </si>
  <si>
    <t>Adj. For Losses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</si>
</sst>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_);[Red]\(#,##0.0\)"/>
    <numFmt numFmtId="167" formatCode="_(* #,##0.0_);_(* \(#,##0.0\);_(* &quot;-&quot;??_);_(@_)"/>
    <numFmt numFmtId="168" formatCode="_(* #,##0_);_(* \(#,##0\);_(* &quot;-&quot;??_);_(@_)"/>
    <numFmt numFmtId="169" formatCode="0.0000%"/>
  </numFmts>
  <fonts count="14">
    <font>
      <sz val="10"/>
      <name val="Arial"/>
      <family val="0"/>
    </font>
    <font>
      <sz val="10"/>
      <color indexed="10"/>
      <name val="Arial"/>
      <family val="2"/>
    </font>
    <font>
      <b/>
      <sz val="10"/>
      <name val="Arial"/>
      <family val="2"/>
    </font>
    <font>
      <sz val="8"/>
      <name val="Arial"/>
      <family val="2"/>
    </font>
    <font>
      <sz val="10"/>
      <color indexed="57"/>
      <name val="Arial"/>
      <family val="2"/>
    </font>
    <font>
      <b/>
      <sz val="10"/>
      <color indexed="12"/>
      <name val="Arial"/>
      <family val="2"/>
    </font>
    <font>
      <b/>
      <sz val="10"/>
      <color indexed="57"/>
      <name val="Arial"/>
      <family val="2"/>
    </font>
    <font>
      <b/>
      <sz val="8"/>
      <name val="Arial"/>
      <family val="2"/>
    </font>
    <font>
      <b/>
      <sz val="10"/>
      <color indexed="10"/>
      <name val="Arial"/>
      <family val="2"/>
    </font>
    <font>
      <b/>
      <sz val="10"/>
      <color indexed="48"/>
      <name val="Arial"/>
      <family val="2"/>
    </font>
    <font>
      <sz val="9"/>
      <name val="Arial"/>
      <family val="2"/>
    </font>
    <font>
      <b/>
      <sz val="9"/>
      <name val="Arial"/>
      <family val="2"/>
    </font>
    <font>
      <b/>
      <sz val="10"/>
      <color indexed="17"/>
      <name val="Arial"/>
      <family val="2"/>
    </font>
    <font>
      <b/>
      <sz val="12"/>
      <name val="Arial"/>
      <family val="2"/>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165" fontId="0" fillId="0" borderId="0" xfId="17" applyNumberFormat="1" applyAlignment="1">
      <alignment/>
    </xf>
    <xf numFmtId="165" fontId="0" fillId="0" borderId="0" xfId="0" applyNumberFormat="1" applyAlignment="1">
      <alignment/>
    </xf>
    <xf numFmtId="0" fontId="0" fillId="0" borderId="0" xfId="0" applyFill="1" applyAlignment="1">
      <alignment/>
    </xf>
    <xf numFmtId="17" fontId="0" fillId="0" borderId="0" xfId="0" applyNumberFormat="1" applyAlignment="1">
      <alignment/>
    </xf>
    <xf numFmtId="16" fontId="0" fillId="0" borderId="0" xfId="0" applyNumberFormat="1" applyAlignment="1">
      <alignment/>
    </xf>
    <xf numFmtId="166" fontId="0" fillId="0" borderId="0" xfId="0" applyNumberFormat="1" applyAlignment="1">
      <alignment/>
    </xf>
    <xf numFmtId="165" fontId="1" fillId="0" borderId="0" xfId="0" applyNumberFormat="1" applyFont="1" applyAlignment="1">
      <alignment/>
    </xf>
    <xf numFmtId="166" fontId="0" fillId="0" borderId="0" xfId="0" applyNumberFormat="1" applyFont="1" applyAlignment="1">
      <alignment/>
    </xf>
    <xf numFmtId="168" fontId="0" fillId="0" borderId="0" xfId="15" applyNumberFormat="1" applyAlignment="1">
      <alignment/>
    </xf>
    <xf numFmtId="43" fontId="0" fillId="0" borderId="0" xfId="0" applyNumberFormat="1" applyAlignment="1">
      <alignment/>
    </xf>
    <xf numFmtId="2" fontId="0" fillId="0" borderId="0" xfId="0" applyNumberFormat="1" applyAlignment="1">
      <alignment/>
    </xf>
    <xf numFmtId="44" fontId="0" fillId="0" borderId="0" xfId="17" applyAlignment="1">
      <alignment/>
    </xf>
    <xf numFmtId="17" fontId="0" fillId="0" borderId="0" xfId="0" applyNumberFormat="1" applyFill="1" applyAlignment="1">
      <alignment/>
    </xf>
    <xf numFmtId="44" fontId="0" fillId="0" borderId="0" xfId="17" applyFill="1" applyAlignment="1">
      <alignment/>
    </xf>
    <xf numFmtId="0" fontId="0" fillId="0" borderId="0" xfId="0" applyAlignment="1">
      <alignment horizontal="right"/>
    </xf>
    <xf numFmtId="165" fontId="0" fillId="0" borderId="0" xfId="0" applyNumberFormat="1" applyFill="1" applyAlignment="1">
      <alignment/>
    </xf>
    <xf numFmtId="165" fontId="2" fillId="0" borderId="1" xfId="0" applyNumberFormat="1" applyFont="1" applyFill="1" applyBorder="1" applyAlignment="1">
      <alignment/>
    </xf>
    <xf numFmtId="165" fontId="0" fillId="0" borderId="0" xfId="17" applyNumberFormat="1" applyAlignment="1">
      <alignment/>
    </xf>
    <xf numFmtId="169" fontId="0" fillId="0" borderId="0" xfId="19" applyNumberFormat="1" applyAlignment="1">
      <alignment/>
    </xf>
    <xf numFmtId="0" fontId="2" fillId="0" borderId="0" xfId="0" applyFont="1" applyAlignment="1">
      <alignment/>
    </xf>
    <xf numFmtId="0" fontId="2" fillId="0" borderId="0" xfId="0" applyFont="1" applyAlignment="1">
      <alignment horizontal="center"/>
    </xf>
    <xf numFmtId="165" fontId="2" fillId="0" borderId="0" xfId="17" applyNumberFormat="1" applyFont="1" applyAlignment="1">
      <alignment horizontal="center"/>
    </xf>
    <xf numFmtId="169" fontId="2" fillId="0" borderId="0" xfId="19" applyNumberFormat="1" applyFont="1" applyAlignment="1">
      <alignment horizontal="center"/>
    </xf>
    <xf numFmtId="0" fontId="0" fillId="0" borderId="0" xfId="0" applyAlignment="1">
      <alignment horizontal="center"/>
    </xf>
    <xf numFmtId="165" fontId="0" fillId="0" borderId="0" xfId="17" applyNumberFormat="1" applyAlignment="1">
      <alignment horizontal="center"/>
    </xf>
    <xf numFmtId="169" fontId="0" fillId="0" borderId="0" xfId="19" applyNumberFormat="1" applyAlignment="1">
      <alignment horizontal="center"/>
    </xf>
    <xf numFmtId="0" fontId="0" fillId="0" borderId="2" xfId="0" applyBorder="1" applyAlignment="1">
      <alignment horizontal="center"/>
    </xf>
    <xf numFmtId="0" fontId="0" fillId="0" borderId="3" xfId="0" applyBorder="1" applyAlignment="1">
      <alignment horizontal="center"/>
    </xf>
    <xf numFmtId="17" fontId="0" fillId="0" borderId="1" xfId="0" applyNumberFormat="1" applyBorder="1" applyAlignment="1">
      <alignment/>
    </xf>
    <xf numFmtId="166" fontId="0" fillId="0" borderId="1" xfId="0" applyNumberFormat="1" applyBorder="1" applyAlignment="1">
      <alignment/>
    </xf>
    <xf numFmtId="0" fontId="0" fillId="0" borderId="1" xfId="0" applyBorder="1" applyAlignment="1">
      <alignment/>
    </xf>
    <xf numFmtId="166" fontId="0" fillId="0" borderId="0" xfId="0" applyNumberFormat="1" applyAlignment="1">
      <alignment horizontal="right"/>
    </xf>
    <xf numFmtId="17" fontId="3" fillId="0" borderId="0" xfId="0" applyNumberFormat="1" applyFont="1" applyAlignment="1">
      <alignment/>
    </xf>
    <xf numFmtId="0" fontId="4" fillId="0" borderId="0" xfId="0" applyFont="1" applyAlignment="1">
      <alignment/>
    </xf>
    <xf numFmtId="44" fontId="4" fillId="0" borderId="0" xfId="17" applyFont="1" applyAlignment="1">
      <alignment/>
    </xf>
    <xf numFmtId="165" fontId="2" fillId="0" borderId="0" xfId="17" applyNumberFormat="1" applyFont="1" applyAlignment="1">
      <alignment/>
    </xf>
    <xf numFmtId="165" fontId="2" fillId="0" borderId="0" xfId="0" applyNumberFormat="1" applyFont="1" applyAlignment="1">
      <alignment/>
    </xf>
    <xf numFmtId="17" fontId="2" fillId="0" borderId="0" xfId="0" applyNumberFormat="1" applyFont="1" applyAlignment="1">
      <alignment/>
    </xf>
    <xf numFmtId="166" fontId="2" fillId="0" borderId="0" xfId="0" applyNumberFormat="1" applyFont="1" applyAlignment="1">
      <alignment/>
    </xf>
    <xf numFmtId="165" fontId="5" fillId="0" borderId="0" xfId="0" applyNumberFormat="1" applyFont="1" applyAlignment="1">
      <alignment/>
    </xf>
    <xf numFmtId="0" fontId="2" fillId="0" borderId="0" xfId="0" applyFont="1" applyAlignment="1">
      <alignment horizontal="right"/>
    </xf>
    <xf numFmtId="0" fontId="2" fillId="0" borderId="0" xfId="0" applyFont="1" applyFill="1" applyAlignment="1">
      <alignment/>
    </xf>
    <xf numFmtId="0" fontId="6" fillId="0" borderId="0" xfId="0" applyFont="1" applyAlignment="1">
      <alignment/>
    </xf>
    <xf numFmtId="165" fontId="6" fillId="0" borderId="0" xfId="17" applyNumberFormat="1" applyFont="1" applyAlignment="1">
      <alignment/>
    </xf>
    <xf numFmtId="165" fontId="6" fillId="0" borderId="0" xfId="0" applyNumberFormat="1" applyFont="1" applyAlignment="1">
      <alignment/>
    </xf>
    <xf numFmtId="17" fontId="6" fillId="0" borderId="0" xfId="0" applyNumberFormat="1" applyFont="1" applyAlignment="1">
      <alignment/>
    </xf>
    <xf numFmtId="0" fontId="0" fillId="0" borderId="0" xfId="0" applyFont="1" applyAlignment="1">
      <alignment/>
    </xf>
    <xf numFmtId="0" fontId="0" fillId="0" borderId="2" xfId="0" applyFont="1" applyBorder="1" applyAlignment="1">
      <alignment horizontal="center"/>
    </xf>
    <xf numFmtId="0" fontId="0" fillId="0" borderId="3" xfId="0" applyFont="1" applyBorder="1" applyAlignment="1">
      <alignment horizontal="center"/>
    </xf>
    <xf numFmtId="17" fontId="0" fillId="0" borderId="1" xfId="0" applyNumberFormat="1" applyFont="1" applyBorder="1" applyAlignment="1">
      <alignment/>
    </xf>
    <xf numFmtId="166" fontId="0" fillId="0" borderId="1" xfId="0" applyNumberFormat="1" applyFont="1" applyBorder="1" applyAlignment="1">
      <alignment/>
    </xf>
    <xf numFmtId="0" fontId="0" fillId="0" borderId="1" xfId="0" applyFont="1" applyBorder="1" applyAlignment="1">
      <alignment/>
    </xf>
    <xf numFmtId="0" fontId="7" fillId="0" borderId="0" xfId="0" applyFont="1" applyAlignment="1">
      <alignment/>
    </xf>
    <xf numFmtId="166" fontId="2" fillId="0" borderId="0" xfId="0" applyNumberFormat="1" applyFont="1" applyAlignment="1">
      <alignment horizontal="center"/>
    </xf>
    <xf numFmtId="44" fontId="0" fillId="0" borderId="0" xfId="0" applyNumberFormat="1" applyAlignment="1">
      <alignment/>
    </xf>
    <xf numFmtId="0" fontId="8" fillId="0" borderId="0" xfId="0" applyFont="1" applyAlignment="1">
      <alignment/>
    </xf>
    <xf numFmtId="0" fontId="8" fillId="0" borderId="0" xfId="0" applyFont="1" applyFill="1" applyAlignment="1">
      <alignment/>
    </xf>
    <xf numFmtId="0" fontId="9" fillId="0" borderId="0" xfId="0" applyFont="1" applyAlignment="1">
      <alignment/>
    </xf>
    <xf numFmtId="44" fontId="5" fillId="0" borderId="4" xfId="17" applyFont="1" applyBorder="1" applyAlignment="1">
      <alignment/>
    </xf>
    <xf numFmtId="165" fontId="1" fillId="0" borderId="0" xfId="0" applyNumberFormat="1" applyFont="1" applyFill="1" applyAlignment="1">
      <alignment/>
    </xf>
    <xf numFmtId="0" fontId="1" fillId="0" borderId="0" xfId="0" applyFont="1" applyFill="1" applyAlignment="1">
      <alignment/>
    </xf>
    <xf numFmtId="165" fontId="1" fillId="0" borderId="0" xfId="17" applyNumberFormat="1" applyFont="1" applyFill="1" applyAlignment="1">
      <alignment/>
    </xf>
    <xf numFmtId="17" fontId="1" fillId="0" borderId="0" xfId="0" applyNumberFormat="1" applyFont="1" applyFill="1" applyAlignment="1">
      <alignment/>
    </xf>
    <xf numFmtId="166" fontId="1" fillId="0" borderId="0" xfId="0" applyNumberFormat="1" applyFont="1" applyFill="1" applyAlignment="1">
      <alignment/>
    </xf>
    <xf numFmtId="0" fontId="1" fillId="0" borderId="0" xfId="0" applyFont="1" applyAlignment="1">
      <alignment/>
    </xf>
    <xf numFmtId="165" fontId="1" fillId="0" borderId="0" xfId="17" applyNumberFormat="1" applyFont="1" applyAlignment="1">
      <alignment/>
    </xf>
    <xf numFmtId="17" fontId="1" fillId="0" borderId="0" xfId="0" applyNumberFormat="1" applyFont="1" applyAlignment="1">
      <alignment/>
    </xf>
    <xf numFmtId="166" fontId="1" fillId="0" borderId="0" xfId="0" applyNumberFormat="1" applyFont="1" applyAlignment="1">
      <alignment/>
    </xf>
    <xf numFmtId="166" fontId="0" fillId="0" borderId="0" xfId="0" applyNumberFormat="1" applyFont="1" applyAlignment="1">
      <alignment horizontal="right"/>
    </xf>
    <xf numFmtId="166" fontId="2" fillId="0" borderId="0" xfId="0" applyNumberFormat="1" applyFont="1" applyAlignment="1">
      <alignment horizontal="right"/>
    </xf>
    <xf numFmtId="17" fontId="10" fillId="0" borderId="0" xfId="0" applyNumberFormat="1" applyFont="1" applyAlignment="1">
      <alignment/>
    </xf>
    <xf numFmtId="165" fontId="2" fillId="0" borderId="1" xfId="17" applyNumberFormat="1" applyFont="1" applyBorder="1" applyAlignment="1">
      <alignment/>
    </xf>
    <xf numFmtId="165" fontId="2" fillId="0" borderId="1" xfId="0" applyNumberFormat="1" applyFont="1" applyBorder="1" applyAlignment="1">
      <alignment/>
    </xf>
    <xf numFmtId="0" fontId="11" fillId="0" borderId="0" xfId="0" applyFont="1" applyAlignment="1">
      <alignment/>
    </xf>
    <xf numFmtId="0" fontId="5" fillId="0" borderId="0" xfId="0" applyFont="1" applyAlignment="1">
      <alignment/>
    </xf>
    <xf numFmtId="4" fontId="5" fillId="0" borderId="5" xfId="0" applyNumberFormat="1" applyFont="1" applyBorder="1" applyAlignment="1">
      <alignment/>
    </xf>
    <xf numFmtId="165" fontId="0" fillId="0" borderId="0" xfId="0" applyNumberFormat="1" applyFont="1" applyAlignment="1">
      <alignment/>
    </xf>
    <xf numFmtId="165" fontId="0" fillId="0" borderId="0" xfId="17" applyNumberFormat="1" applyFont="1" applyAlignment="1">
      <alignment/>
    </xf>
    <xf numFmtId="0" fontId="0" fillId="0" borderId="0" xfId="0" applyBorder="1" applyAlignment="1">
      <alignment/>
    </xf>
    <xf numFmtId="44" fontId="2" fillId="0" borderId="0" xfId="17" applyFont="1" applyBorder="1" applyAlignment="1">
      <alignment/>
    </xf>
    <xf numFmtId="0" fontId="12" fillId="0" borderId="0" xfId="0" applyFont="1" applyAlignment="1">
      <alignment/>
    </xf>
    <xf numFmtId="165" fontId="2" fillId="0" borderId="0" xfId="17" applyNumberFormat="1" applyFont="1" applyBorder="1" applyAlignment="1">
      <alignment/>
    </xf>
    <xf numFmtId="0" fontId="10" fillId="0" borderId="2" xfId="0" applyFont="1" applyBorder="1" applyAlignment="1">
      <alignment horizontal="center"/>
    </xf>
    <xf numFmtId="0" fontId="10" fillId="0" borderId="3" xfId="0" applyFont="1" applyBorder="1" applyAlignment="1">
      <alignment horizontal="center"/>
    </xf>
    <xf numFmtId="0" fontId="10" fillId="0" borderId="0" xfId="0" applyFont="1" applyAlignment="1">
      <alignment/>
    </xf>
    <xf numFmtId="44" fontId="10" fillId="0" borderId="0" xfId="0" applyNumberFormat="1" applyFont="1" applyAlignment="1">
      <alignment/>
    </xf>
    <xf numFmtId="44" fontId="1" fillId="0" borderId="0" xfId="0" applyNumberFormat="1" applyFont="1" applyAlignment="1">
      <alignment/>
    </xf>
    <xf numFmtId="166" fontId="0" fillId="0" borderId="1" xfId="0" applyNumberFormat="1" applyBorder="1" applyAlignment="1">
      <alignment horizontal="center"/>
    </xf>
    <xf numFmtId="0" fontId="13" fillId="0" borderId="0" xfId="0" applyFont="1" applyAlignment="1">
      <alignment/>
    </xf>
    <xf numFmtId="0" fontId="2" fillId="0" borderId="0" xfId="0" applyFont="1" applyAlignment="1">
      <alignment horizontal="center"/>
    </xf>
    <xf numFmtId="17" fontId="0" fillId="0" borderId="6" xfId="0" applyNumberFormat="1" applyBorder="1" applyAlignment="1">
      <alignment horizontal="center"/>
    </xf>
    <xf numFmtId="17" fontId="0" fillId="0" borderId="7" xfId="0" applyNumberFormat="1" applyBorder="1" applyAlignment="1">
      <alignment horizontal="center"/>
    </xf>
    <xf numFmtId="17" fontId="0" fillId="0" borderId="8" xfId="0" applyNumberFormat="1" applyBorder="1" applyAlignment="1">
      <alignment horizontal="center"/>
    </xf>
    <xf numFmtId="17" fontId="0" fillId="0" borderId="6" xfId="0" applyNumberFormat="1" applyFont="1" applyBorder="1" applyAlignment="1">
      <alignment horizontal="center"/>
    </xf>
    <xf numFmtId="17" fontId="0" fillId="0" borderId="7" xfId="0" applyNumberFormat="1" applyFont="1" applyBorder="1" applyAlignment="1">
      <alignment horizontal="center"/>
    </xf>
    <xf numFmtId="17" fontId="0" fillId="0" borderId="8" xfId="0" applyNumberFormat="1" applyFont="1" applyBorder="1" applyAlignment="1">
      <alignment horizontal="center"/>
    </xf>
    <xf numFmtId="0" fontId="8" fillId="0" borderId="9" xfId="0" applyFont="1" applyBorder="1" applyAlignment="1">
      <alignment horizontal="center"/>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146"/>
  <sheetViews>
    <sheetView tabSelected="1" workbookViewId="0" topLeftCell="A1">
      <selection activeCell="D97" sqref="D97"/>
    </sheetView>
  </sheetViews>
  <sheetFormatPr defaultColWidth="9.140625" defaultRowHeight="12.75"/>
  <cols>
    <col min="1" max="1" width="6.7109375" style="0" customWidth="1"/>
    <col min="3" max="3" width="16.00390625" style="0" customWidth="1"/>
    <col min="4" max="4" width="15.140625" style="0" customWidth="1"/>
    <col min="5" max="5" width="16.8515625" style="0" customWidth="1"/>
    <col min="6" max="6" width="15.7109375" style="0" customWidth="1"/>
    <col min="7" max="8" width="9.140625" style="4" customWidth="1"/>
    <col min="9" max="9" width="9.7109375" style="6" customWidth="1"/>
    <col min="12" max="12" width="26.57421875" style="0" customWidth="1"/>
    <col min="13" max="13" width="32.7109375" style="0" customWidth="1"/>
  </cols>
  <sheetData>
    <row r="1" spans="1:10" ht="12.75">
      <c r="A1" s="90" t="s">
        <v>98</v>
      </c>
      <c r="B1" s="90"/>
      <c r="C1" s="90"/>
      <c r="D1" s="90"/>
      <c r="E1" s="90"/>
      <c r="F1" s="90"/>
      <c r="G1" s="90"/>
      <c r="H1" s="90"/>
      <c r="I1" s="90"/>
      <c r="J1" s="90"/>
    </row>
    <row r="2" ht="15.75">
      <c r="A2" s="89" t="s">
        <v>156</v>
      </c>
    </row>
    <row r="3" spans="1:13" ht="12.75">
      <c r="A3" s="20" t="s">
        <v>125</v>
      </c>
      <c r="D3" s="27" t="s">
        <v>134</v>
      </c>
      <c r="E3" s="27" t="s">
        <v>71</v>
      </c>
      <c r="F3" s="27" t="s">
        <v>73</v>
      </c>
      <c r="G3" s="91" t="s">
        <v>80</v>
      </c>
      <c r="H3" s="92"/>
      <c r="I3" s="92"/>
      <c r="J3" s="93"/>
      <c r="K3" s="27" t="s">
        <v>109</v>
      </c>
      <c r="L3" s="83" t="s">
        <v>162</v>
      </c>
      <c r="M3" s="27" t="s">
        <v>136</v>
      </c>
    </row>
    <row r="4" spans="1:13" ht="12.75">
      <c r="A4" s="74" t="s">
        <v>131</v>
      </c>
      <c r="D4" s="28" t="s">
        <v>164</v>
      </c>
      <c r="E4" s="28" t="s">
        <v>72</v>
      </c>
      <c r="F4" s="28" t="s">
        <v>74</v>
      </c>
      <c r="G4" s="29" t="s">
        <v>69</v>
      </c>
      <c r="H4" s="29" t="s">
        <v>70</v>
      </c>
      <c r="I4" s="88" t="s">
        <v>155</v>
      </c>
      <c r="J4" s="31" t="s">
        <v>78</v>
      </c>
      <c r="K4" s="28" t="s">
        <v>110</v>
      </c>
      <c r="L4" s="84" t="s">
        <v>163</v>
      </c>
      <c r="M4" s="28" t="s">
        <v>135</v>
      </c>
    </row>
    <row r="5" spans="7:12" ht="12.75">
      <c r="G5"/>
      <c r="H5"/>
      <c r="I5"/>
      <c r="L5" s="85"/>
    </row>
    <row r="6" ht="12.75">
      <c r="L6" s="85"/>
    </row>
    <row r="7" spans="1:20" ht="12.75">
      <c r="A7">
        <v>1</v>
      </c>
      <c r="B7" s="75" t="s">
        <v>21</v>
      </c>
      <c r="D7" s="1">
        <v>18194307.149465468</v>
      </c>
      <c r="E7" s="1">
        <v>19733171.84</v>
      </c>
      <c r="F7" s="2">
        <v>1538864.690534532</v>
      </c>
      <c r="G7" s="4">
        <v>33573</v>
      </c>
      <c r="H7" s="4">
        <v>40878</v>
      </c>
      <c r="I7" s="32" t="s">
        <v>99</v>
      </c>
      <c r="J7" s="15" t="s">
        <v>100</v>
      </c>
      <c r="K7" s="55">
        <v>34.667814904099146</v>
      </c>
      <c r="L7" s="86" t="s">
        <v>146</v>
      </c>
      <c r="M7" t="s">
        <v>142</v>
      </c>
      <c r="Q7" t="s">
        <v>146</v>
      </c>
      <c r="T7">
        <v>1</v>
      </c>
    </row>
    <row r="8" spans="1:13" ht="12.75">
      <c r="A8">
        <v>2</v>
      </c>
      <c r="B8" s="20" t="s">
        <v>25</v>
      </c>
      <c r="D8" s="1">
        <v>10811260.60128</v>
      </c>
      <c r="E8" s="1">
        <v>14028221.6</v>
      </c>
      <c r="F8" s="77">
        <v>3216960.9987199996</v>
      </c>
      <c r="G8" s="4">
        <v>34486</v>
      </c>
      <c r="H8" s="4">
        <v>36831</v>
      </c>
      <c r="I8" s="6">
        <f>2000-1994</f>
        <v>6</v>
      </c>
      <c r="J8">
        <v>0</v>
      </c>
      <c r="K8" s="55">
        <v>28.97754328375651</v>
      </c>
      <c r="L8" s="86"/>
      <c r="M8" t="s">
        <v>144</v>
      </c>
    </row>
    <row r="9" spans="1:20" ht="12.75">
      <c r="A9">
        <v>3</v>
      </c>
      <c r="B9" s="56" t="s">
        <v>26</v>
      </c>
      <c r="D9" s="1">
        <v>31835555.498976003</v>
      </c>
      <c r="E9" s="1">
        <v>53881288.800000004</v>
      </c>
      <c r="F9" s="77">
        <v>22045733.301024</v>
      </c>
      <c r="G9" s="4">
        <v>35339</v>
      </c>
      <c r="H9" s="4">
        <v>37073</v>
      </c>
      <c r="I9" s="6">
        <f>2001-1996</f>
        <v>5</v>
      </c>
      <c r="J9" s="15" t="s">
        <v>79</v>
      </c>
      <c r="K9" s="55">
        <v>22.21581765062564</v>
      </c>
      <c r="L9" s="86" t="s">
        <v>146</v>
      </c>
      <c r="M9" t="s">
        <v>144</v>
      </c>
      <c r="Q9" t="s">
        <v>146</v>
      </c>
      <c r="T9">
        <v>1</v>
      </c>
    </row>
    <row r="10" spans="1:20" ht="12.75">
      <c r="A10">
        <v>4</v>
      </c>
      <c r="B10" s="56" t="s">
        <v>152</v>
      </c>
      <c r="D10" s="1">
        <v>14671870.0896</v>
      </c>
      <c r="E10" s="1">
        <v>25110257.6</v>
      </c>
      <c r="F10" s="77">
        <v>10438387.510400001</v>
      </c>
      <c r="G10" s="4">
        <v>35156</v>
      </c>
      <c r="H10" s="4">
        <v>36861</v>
      </c>
      <c r="I10" s="6">
        <v>4.5</v>
      </c>
      <c r="J10" s="15" t="s">
        <v>79</v>
      </c>
      <c r="K10" s="55">
        <v>21.9696</v>
      </c>
      <c r="L10" s="86" t="s">
        <v>147</v>
      </c>
      <c r="M10" t="s">
        <v>145</v>
      </c>
      <c r="Q10" t="s">
        <v>147</v>
      </c>
      <c r="T10">
        <v>2</v>
      </c>
    </row>
    <row r="11" spans="1:13" ht="12.75">
      <c r="A11">
        <v>5</v>
      </c>
      <c r="B11" s="20" t="s">
        <v>29</v>
      </c>
      <c r="D11" s="1">
        <v>10664.808</v>
      </c>
      <c r="E11" s="1">
        <v>38164</v>
      </c>
      <c r="F11" s="77">
        <v>27499.192</v>
      </c>
      <c r="G11" s="4">
        <v>35065</v>
      </c>
      <c r="H11" s="4">
        <v>36861</v>
      </c>
      <c r="I11" s="6">
        <v>5</v>
      </c>
      <c r="J11" s="15" t="s">
        <v>79</v>
      </c>
      <c r="K11" s="87">
        <v>10.507200000000001</v>
      </c>
      <c r="L11" s="86"/>
      <c r="M11" t="s">
        <v>144</v>
      </c>
    </row>
    <row r="12" spans="1:20" ht="12.75">
      <c r="A12">
        <v>6</v>
      </c>
      <c r="B12" s="56" t="s">
        <v>32</v>
      </c>
      <c r="D12" s="1">
        <v>5899362.0048</v>
      </c>
      <c r="E12" s="1">
        <v>13555552</v>
      </c>
      <c r="F12" s="77">
        <v>7656189.9952</v>
      </c>
      <c r="G12" s="4">
        <v>35278</v>
      </c>
      <c r="H12" s="4">
        <v>36982</v>
      </c>
      <c r="I12" s="6">
        <f>2001-1996</f>
        <v>5</v>
      </c>
      <c r="J12" s="15" t="s">
        <v>79</v>
      </c>
      <c r="K12" s="87">
        <v>16.363480541440143</v>
      </c>
      <c r="L12" s="86" t="s">
        <v>148</v>
      </c>
      <c r="M12" t="s">
        <v>144</v>
      </c>
      <c r="Q12" t="s">
        <v>148</v>
      </c>
      <c r="T12">
        <v>3</v>
      </c>
    </row>
    <row r="13" spans="1:13" ht="12.75">
      <c r="A13">
        <v>7</v>
      </c>
      <c r="B13" s="20" t="s">
        <v>33</v>
      </c>
      <c r="D13" s="1">
        <v>25405216.746239997</v>
      </c>
      <c r="E13" s="1">
        <v>36214703.2</v>
      </c>
      <c r="F13" s="77">
        <v>10809486.453760006</v>
      </c>
      <c r="G13" s="4">
        <v>35431</v>
      </c>
      <c r="H13" s="4">
        <v>36861</v>
      </c>
      <c r="I13" s="6">
        <f>2000-1997</f>
        <v>3</v>
      </c>
      <c r="J13" s="15" t="s">
        <v>79</v>
      </c>
      <c r="K13" s="55">
        <v>26.37702549661166</v>
      </c>
      <c r="L13" s="86"/>
      <c r="M13" t="s">
        <v>144</v>
      </c>
    </row>
    <row r="14" spans="1:20" ht="12.75">
      <c r="A14">
        <v>8</v>
      </c>
      <c r="B14" s="75" t="s">
        <v>34</v>
      </c>
      <c r="D14" s="1">
        <v>20621725.8768</v>
      </c>
      <c r="E14" s="1">
        <v>21747088</v>
      </c>
      <c r="F14" s="77">
        <v>1125362.1231999993</v>
      </c>
      <c r="G14" s="4">
        <v>35278</v>
      </c>
      <c r="H14" s="4">
        <v>37803</v>
      </c>
      <c r="I14" s="6">
        <f>2003-1996</f>
        <v>7</v>
      </c>
      <c r="J14">
        <v>2.5</v>
      </c>
      <c r="K14" s="55">
        <v>35.65428589646945</v>
      </c>
      <c r="L14" s="86" t="s">
        <v>146</v>
      </c>
      <c r="M14" t="s">
        <v>141</v>
      </c>
      <c r="Q14" t="s">
        <v>146</v>
      </c>
      <c r="T14">
        <v>1</v>
      </c>
    </row>
    <row r="15" spans="1:20" ht="12.75">
      <c r="A15">
        <v>9</v>
      </c>
      <c r="B15" s="56" t="s">
        <v>35</v>
      </c>
      <c r="D15" s="1">
        <v>696540.4368</v>
      </c>
      <c r="E15" s="1">
        <v>1815779.2</v>
      </c>
      <c r="F15" s="77">
        <v>1119238.7632</v>
      </c>
      <c r="G15" s="4">
        <v>35339</v>
      </c>
      <c r="H15" s="4">
        <v>37135</v>
      </c>
      <c r="I15" s="6">
        <f>2001-1996</f>
        <v>5</v>
      </c>
      <c r="J15">
        <v>1</v>
      </c>
      <c r="K15" s="87">
        <v>14.42351604406527</v>
      </c>
      <c r="L15" s="86" t="s">
        <v>148</v>
      </c>
      <c r="Q15" t="s">
        <v>148</v>
      </c>
      <c r="T15">
        <v>3</v>
      </c>
    </row>
    <row r="16" spans="1:20" ht="12.75">
      <c r="A16">
        <v>10</v>
      </c>
      <c r="B16" s="56" t="s">
        <v>38</v>
      </c>
      <c r="D16" s="1">
        <v>2661294.1824000003</v>
      </c>
      <c r="E16" s="1">
        <v>5459520</v>
      </c>
      <c r="F16" s="77">
        <v>2798225.8175999997</v>
      </c>
      <c r="G16" s="4">
        <v>35674</v>
      </c>
      <c r="H16" s="4">
        <v>37347</v>
      </c>
      <c r="I16" s="6">
        <f>2002-1997</f>
        <v>5</v>
      </c>
      <c r="J16">
        <v>1.5</v>
      </c>
      <c r="K16" s="55">
        <v>18.328472330578514</v>
      </c>
      <c r="L16" s="86" t="s">
        <v>147</v>
      </c>
      <c r="Q16" t="s">
        <v>147</v>
      </c>
      <c r="T16">
        <v>2</v>
      </c>
    </row>
    <row r="17" spans="1:20" ht="12.75">
      <c r="A17">
        <v>11</v>
      </c>
      <c r="B17" s="56" t="s">
        <v>39</v>
      </c>
      <c r="D17" s="1">
        <v>1168265.9568</v>
      </c>
      <c r="E17" s="1">
        <v>2610756</v>
      </c>
      <c r="F17" s="2">
        <v>1442490.0432</v>
      </c>
      <c r="G17" s="4">
        <v>35551</v>
      </c>
      <c r="H17" s="4">
        <v>37347</v>
      </c>
      <c r="I17" s="8">
        <f>2002-1997</f>
        <v>5</v>
      </c>
      <c r="J17">
        <v>1.5</v>
      </c>
      <c r="K17" s="55">
        <v>16.82531802117088</v>
      </c>
      <c r="L17" s="86" t="s">
        <v>151</v>
      </c>
      <c r="M17" t="s">
        <v>115</v>
      </c>
      <c r="Q17" t="s">
        <v>149</v>
      </c>
      <c r="T17">
        <v>2</v>
      </c>
    </row>
    <row r="18" spans="1:20" ht="12.75">
      <c r="A18">
        <v>12</v>
      </c>
      <c r="B18" s="56" t="s">
        <v>153</v>
      </c>
      <c r="C18" s="3"/>
      <c r="D18" s="1">
        <v>1198821.8496</v>
      </c>
      <c r="E18" s="1">
        <v>2838988</v>
      </c>
      <c r="F18" s="2">
        <v>1640166.1504</v>
      </c>
      <c r="G18" s="4">
        <v>35704</v>
      </c>
      <c r="H18" s="4">
        <v>36770</v>
      </c>
      <c r="I18" s="6">
        <f>2000-1997</f>
        <v>3</v>
      </c>
      <c r="J18">
        <v>0</v>
      </c>
      <c r="K18" s="55">
        <v>15.877383611681346</v>
      </c>
      <c r="L18" s="86" t="s">
        <v>150</v>
      </c>
      <c r="M18" t="s">
        <v>144</v>
      </c>
      <c r="Q18" t="s">
        <v>150</v>
      </c>
      <c r="T18">
        <v>4</v>
      </c>
    </row>
    <row r="19" spans="1:20" ht="12.75">
      <c r="A19">
        <v>13</v>
      </c>
      <c r="B19" s="57" t="s">
        <v>154</v>
      </c>
      <c r="D19" s="1">
        <v>1367876.9664</v>
      </c>
      <c r="E19" s="1">
        <v>3302784</v>
      </c>
      <c r="F19" s="2">
        <v>1934907.0336</v>
      </c>
      <c r="G19" s="4">
        <v>35765</v>
      </c>
      <c r="H19" s="4">
        <v>37561</v>
      </c>
      <c r="I19" s="6">
        <f>2002-1997</f>
        <v>5</v>
      </c>
      <c r="J19">
        <v>2</v>
      </c>
      <c r="K19" s="55">
        <v>15.572369836065574</v>
      </c>
      <c r="L19" s="86" t="s">
        <v>150</v>
      </c>
      <c r="Q19" t="s">
        <v>150</v>
      </c>
      <c r="T19">
        <v>4</v>
      </c>
    </row>
    <row r="20" spans="1:20" ht="12.75">
      <c r="A20">
        <v>14</v>
      </c>
      <c r="B20" s="75" t="s">
        <v>46</v>
      </c>
      <c r="D20" s="1">
        <v>3858156.9168</v>
      </c>
      <c r="E20" s="1">
        <v>4979330.4</v>
      </c>
      <c r="F20" s="2">
        <v>1121173.4832000006</v>
      </c>
      <c r="G20" s="4">
        <v>35855</v>
      </c>
      <c r="H20" s="4">
        <v>37469</v>
      </c>
      <c r="I20" s="6">
        <f>2002-1998</f>
        <v>4</v>
      </c>
      <c r="J20">
        <v>1.5</v>
      </c>
      <c r="K20" s="55">
        <v>29.133776716580204</v>
      </c>
      <c r="L20" s="86" t="s">
        <v>146</v>
      </c>
      <c r="M20" t="s">
        <v>133</v>
      </c>
      <c r="Q20" t="s">
        <v>146</v>
      </c>
      <c r="T20">
        <v>1</v>
      </c>
    </row>
    <row r="21" spans="4:5" ht="12.75">
      <c r="D21" s="1" t="s">
        <v>56</v>
      </c>
      <c r="E21" s="1"/>
    </row>
    <row r="22" spans="1:7" ht="12.75">
      <c r="A22" t="s">
        <v>106</v>
      </c>
      <c r="D22" s="1">
        <f>SUM(D7:D20)</f>
        <v>138400919.0839615</v>
      </c>
      <c r="E22" s="1">
        <f>SUM(E7:E20)</f>
        <v>205315604.64000002</v>
      </c>
      <c r="F22" s="17">
        <f>SUM(F7:F20)</f>
        <v>66914685.55603854</v>
      </c>
      <c r="G22" s="33" t="s">
        <v>101</v>
      </c>
    </row>
    <row r="23" spans="4:7" ht="12.75">
      <c r="D23" s="10"/>
      <c r="F23" s="73">
        <v>24862151.418346066</v>
      </c>
      <c r="G23" s="71" t="s">
        <v>127</v>
      </c>
    </row>
    <row r="27" ht="15.75">
      <c r="A27" s="89" t="s">
        <v>157</v>
      </c>
    </row>
    <row r="28" spans="1:13" ht="12.75">
      <c r="A28" s="20" t="s">
        <v>125</v>
      </c>
      <c r="D28" s="27" t="s">
        <v>134</v>
      </c>
      <c r="E28" s="27" t="s">
        <v>71</v>
      </c>
      <c r="F28" s="27" t="s">
        <v>73</v>
      </c>
      <c r="G28" s="91" t="s">
        <v>80</v>
      </c>
      <c r="H28" s="92"/>
      <c r="I28" s="92"/>
      <c r="J28" s="93"/>
      <c r="K28" s="27" t="s">
        <v>109</v>
      </c>
      <c r="L28" s="83" t="s">
        <v>162</v>
      </c>
      <c r="M28" s="27" t="s">
        <v>136</v>
      </c>
    </row>
    <row r="29" spans="1:13" ht="12.75">
      <c r="A29" s="74" t="s">
        <v>126</v>
      </c>
      <c r="D29" s="28" t="s">
        <v>164</v>
      </c>
      <c r="E29" s="28" t="s">
        <v>72</v>
      </c>
      <c r="F29" s="28" t="s">
        <v>74</v>
      </c>
      <c r="G29" s="29" t="s">
        <v>69</v>
      </c>
      <c r="H29" s="29" t="s">
        <v>70</v>
      </c>
      <c r="I29" s="30" t="s">
        <v>77</v>
      </c>
      <c r="J29" s="31" t="s">
        <v>78</v>
      </c>
      <c r="K29" s="28" t="s">
        <v>110</v>
      </c>
      <c r="L29" s="84" t="s">
        <v>163</v>
      </c>
      <c r="M29" s="28" t="s">
        <v>135</v>
      </c>
    </row>
    <row r="30" spans="7:12" ht="12.75">
      <c r="G30"/>
      <c r="H30"/>
      <c r="I30"/>
      <c r="L30" s="85"/>
    </row>
    <row r="31" spans="1:13" ht="12.75">
      <c r="A31">
        <v>1</v>
      </c>
      <c r="B31" s="75" t="s">
        <v>21</v>
      </c>
      <c r="D31" s="1">
        <v>18194307.149465468</v>
      </c>
      <c r="E31" s="1">
        <v>19733171.84</v>
      </c>
      <c r="F31" s="1">
        <v>1538864.690534532</v>
      </c>
      <c r="G31" s="4">
        <v>33573</v>
      </c>
      <c r="H31" s="4">
        <v>40878</v>
      </c>
      <c r="I31" s="32" t="s">
        <v>104</v>
      </c>
      <c r="J31" s="15" t="s">
        <v>100</v>
      </c>
      <c r="K31" s="55">
        <v>34.667814904099146</v>
      </c>
      <c r="L31" s="86" t="s">
        <v>146</v>
      </c>
      <c r="M31" t="s">
        <v>142</v>
      </c>
    </row>
    <row r="32" spans="1:13" ht="12.75">
      <c r="A32">
        <v>2</v>
      </c>
      <c r="B32" s="20" t="s">
        <v>25</v>
      </c>
      <c r="D32" s="1">
        <v>10811260.60128</v>
      </c>
      <c r="E32" s="1">
        <v>14028221.6</v>
      </c>
      <c r="F32" s="2">
        <v>3216960.9987199996</v>
      </c>
      <c r="G32" s="4">
        <v>34486</v>
      </c>
      <c r="H32" s="4">
        <v>36831</v>
      </c>
      <c r="I32" s="32">
        <v>6</v>
      </c>
      <c r="J32" s="15">
        <v>0</v>
      </c>
      <c r="K32" s="55">
        <v>28.97754328375651</v>
      </c>
      <c r="L32" s="86"/>
      <c r="M32" t="s">
        <v>144</v>
      </c>
    </row>
    <row r="33" spans="1:13" ht="12.75">
      <c r="A33">
        <v>3</v>
      </c>
      <c r="B33" s="56" t="s">
        <v>26</v>
      </c>
      <c r="D33" s="1">
        <v>31835555.498976003</v>
      </c>
      <c r="E33" s="1">
        <v>53881288.800000004</v>
      </c>
      <c r="F33" s="77">
        <v>22045733.301024</v>
      </c>
      <c r="G33" s="4">
        <v>35339</v>
      </c>
      <c r="H33" s="4">
        <v>37073</v>
      </c>
      <c r="I33" s="32">
        <v>5</v>
      </c>
      <c r="J33" s="15" t="s">
        <v>79</v>
      </c>
      <c r="K33" s="55">
        <v>22.21581765062564</v>
      </c>
      <c r="L33" s="86" t="s">
        <v>146</v>
      </c>
      <c r="M33" t="s">
        <v>144</v>
      </c>
    </row>
    <row r="34" spans="1:13" ht="12.75">
      <c r="A34">
        <v>4</v>
      </c>
      <c r="B34" s="56" t="s">
        <v>152</v>
      </c>
      <c r="D34" s="1">
        <v>14671870.0896</v>
      </c>
      <c r="E34" s="1">
        <v>25110257.6</v>
      </c>
      <c r="F34" s="77">
        <v>10438387.510400001</v>
      </c>
      <c r="G34" s="4">
        <v>35156</v>
      </c>
      <c r="H34" s="4">
        <v>36861</v>
      </c>
      <c r="I34" s="32">
        <v>4.5</v>
      </c>
      <c r="J34" s="15" t="s">
        <v>79</v>
      </c>
      <c r="K34" s="55">
        <v>21.9696</v>
      </c>
      <c r="L34" s="86" t="s">
        <v>147</v>
      </c>
      <c r="M34" t="s">
        <v>145</v>
      </c>
    </row>
    <row r="35" spans="1:13" ht="12.75">
      <c r="A35">
        <v>5</v>
      </c>
      <c r="B35" s="20" t="s">
        <v>29</v>
      </c>
      <c r="D35" s="1">
        <v>10664.808</v>
      </c>
      <c r="E35" s="1">
        <v>38164</v>
      </c>
      <c r="F35" s="77">
        <v>27499.192</v>
      </c>
      <c r="G35" s="4">
        <v>35065</v>
      </c>
      <c r="H35" s="4">
        <v>36861</v>
      </c>
      <c r="I35" s="32">
        <v>5</v>
      </c>
      <c r="J35" s="15" t="s">
        <v>79</v>
      </c>
      <c r="K35" s="55">
        <v>10.507200000000001</v>
      </c>
      <c r="L35" s="86"/>
      <c r="M35" t="s">
        <v>144</v>
      </c>
    </row>
    <row r="36" spans="1:13" ht="12.75">
      <c r="A36">
        <v>6</v>
      </c>
      <c r="B36" s="56" t="s">
        <v>32</v>
      </c>
      <c r="D36" s="1">
        <v>5899362.0048</v>
      </c>
      <c r="E36" s="1">
        <v>13555552</v>
      </c>
      <c r="F36" s="77">
        <v>7656189.9952</v>
      </c>
      <c r="G36" s="4">
        <v>35278</v>
      </c>
      <c r="H36" s="4">
        <v>36982</v>
      </c>
      <c r="I36" s="32">
        <v>5</v>
      </c>
      <c r="J36" s="15" t="s">
        <v>79</v>
      </c>
      <c r="K36" s="55">
        <v>16.363480541440143</v>
      </c>
      <c r="L36" s="86" t="s">
        <v>148</v>
      </c>
      <c r="M36" t="s">
        <v>144</v>
      </c>
    </row>
    <row r="37" spans="1:13" ht="12.75">
      <c r="A37">
        <v>7</v>
      </c>
      <c r="B37" s="20" t="s">
        <v>33</v>
      </c>
      <c r="D37" s="1">
        <v>25405216.746239997</v>
      </c>
      <c r="E37" s="1">
        <v>36214703.2</v>
      </c>
      <c r="F37" s="77">
        <v>10809486.453760006</v>
      </c>
      <c r="G37" s="4">
        <v>35431</v>
      </c>
      <c r="H37" s="4">
        <v>36861</v>
      </c>
      <c r="I37" s="32">
        <v>3</v>
      </c>
      <c r="J37" s="15" t="s">
        <v>79</v>
      </c>
      <c r="K37" s="55">
        <v>26.37702549661166</v>
      </c>
      <c r="L37" s="86"/>
      <c r="M37" t="s">
        <v>144</v>
      </c>
    </row>
    <row r="38" spans="1:13" ht="12.75">
      <c r="A38">
        <v>8</v>
      </c>
      <c r="B38" s="75" t="s">
        <v>34</v>
      </c>
      <c r="D38" s="1">
        <v>20621725.8768</v>
      </c>
      <c r="E38" s="1">
        <v>21747088</v>
      </c>
      <c r="F38" s="77">
        <v>1125362.1231999993</v>
      </c>
      <c r="G38" s="4">
        <v>35278</v>
      </c>
      <c r="H38" s="4">
        <v>37803</v>
      </c>
      <c r="I38" s="32">
        <v>7</v>
      </c>
      <c r="J38" s="15">
        <v>2.5</v>
      </c>
      <c r="K38" s="55">
        <v>35.65428589646945</v>
      </c>
      <c r="L38" s="86" t="s">
        <v>146</v>
      </c>
      <c r="M38" t="s">
        <v>141</v>
      </c>
    </row>
    <row r="39" spans="1:12" ht="12.75">
      <c r="A39">
        <v>9</v>
      </c>
      <c r="B39" s="56" t="s">
        <v>35</v>
      </c>
      <c r="D39" s="1">
        <v>696540.4368</v>
      </c>
      <c r="E39" s="1">
        <v>1815779.2</v>
      </c>
      <c r="F39" s="77">
        <v>1119238.7632</v>
      </c>
      <c r="G39" s="4">
        <v>35339</v>
      </c>
      <c r="H39" s="4">
        <v>37135</v>
      </c>
      <c r="I39" s="32">
        <v>5</v>
      </c>
      <c r="J39" s="15">
        <v>1</v>
      </c>
      <c r="K39" s="55">
        <v>14.42351604406527</v>
      </c>
      <c r="L39" s="86" t="s">
        <v>148</v>
      </c>
    </row>
    <row r="40" spans="1:12" ht="12.75">
      <c r="A40">
        <v>10</v>
      </c>
      <c r="B40" s="56" t="s">
        <v>38</v>
      </c>
      <c r="D40" s="1">
        <v>2661294.1824000003</v>
      </c>
      <c r="E40" s="1">
        <v>5459520</v>
      </c>
      <c r="F40" s="77">
        <v>2798225.8175999997</v>
      </c>
      <c r="G40" s="4">
        <v>35674</v>
      </c>
      <c r="H40" s="4">
        <v>37347</v>
      </c>
      <c r="I40" s="32">
        <v>5</v>
      </c>
      <c r="J40" s="15">
        <v>1.5</v>
      </c>
      <c r="K40" s="55">
        <v>18.328472330578514</v>
      </c>
      <c r="L40" s="86" t="s">
        <v>147</v>
      </c>
    </row>
    <row r="41" spans="1:13" ht="12.75">
      <c r="A41">
        <v>11</v>
      </c>
      <c r="B41" s="56" t="s">
        <v>39</v>
      </c>
      <c r="D41" s="1">
        <v>1168265.9568</v>
      </c>
      <c r="E41" s="1">
        <v>2610756</v>
      </c>
      <c r="F41" s="77">
        <v>1442490.0432</v>
      </c>
      <c r="G41" s="4">
        <v>35551</v>
      </c>
      <c r="H41" s="4">
        <v>37347</v>
      </c>
      <c r="I41" s="32">
        <v>5</v>
      </c>
      <c r="J41" s="15">
        <v>1.5</v>
      </c>
      <c r="K41" s="55">
        <v>16.82531802117088</v>
      </c>
      <c r="L41" s="86" t="s">
        <v>151</v>
      </c>
      <c r="M41" t="s">
        <v>115</v>
      </c>
    </row>
    <row r="42" spans="1:13" ht="12.75">
      <c r="A42">
        <v>12</v>
      </c>
      <c r="B42" s="56" t="s">
        <v>153</v>
      </c>
      <c r="D42" s="1">
        <v>1198821.8496</v>
      </c>
      <c r="E42" s="1">
        <v>2838988</v>
      </c>
      <c r="F42" s="77">
        <v>1640166.1504</v>
      </c>
      <c r="G42" s="4">
        <v>35704</v>
      </c>
      <c r="H42" s="4">
        <v>36770</v>
      </c>
      <c r="I42" s="69">
        <v>3</v>
      </c>
      <c r="J42" s="15">
        <v>0</v>
      </c>
      <c r="K42" s="55">
        <v>15.877383611681346</v>
      </c>
      <c r="L42" s="86" t="s">
        <v>150</v>
      </c>
      <c r="M42" t="s">
        <v>144</v>
      </c>
    </row>
    <row r="43" spans="1:12" ht="12.75">
      <c r="A43">
        <v>13</v>
      </c>
      <c r="B43" s="57" t="s">
        <v>154</v>
      </c>
      <c r="C43" s="3"/>
      <c r="D43" s="1">
        <v>1367876.9664</v>
      </c>
      <c r="E43" s="1">
        <v>3302784</v>
      </c>
      <c r="F43" s="2">
        <v>1934907.0336</v>
      </c>
      <c r="G43" s="4">
        <v>35765</v>
      </c>
      <c r="H43" s="4">
        <v>37561</v>
      </c>
      <c r="I43" s="32">
        <v>5</v>
      </c>
      <c r="J43" s="15">
        <v>2</v>
      </c>
      <c r="K43" s="55">
        <v>15.572369836065574</v>
      </c>
      <c r="L43" s="86" t="s">
        <v>150</v>
      </c>
    </row>
    <row r="44" spans="1:13" ht="12.75">
      <c r="A44">
        <v>14</v>
      </c>
      <c r="B44" s="75" t="s">
        <v>46</v>
      </c>
      <c r="D44" s="1">
        <v>3858156.9168</v>
      </c>
      <c r="E44" s="1">
        <v>4979330.4</v>
      </c>
      <c r="F44" s="2">
        <v>1121173.4832000006</v>
      </c>
      <c r="G44" s="4">
        <v>35855</v>
      </c>
      <c r="H44" s="4">
        <v>37469</v>
      </c>
      <c r="I44" s="32">
        <v>4</v>
      </c>
      <c r="J44" s="15">
        <v>1.5</v>
      </c>
      <c r="K44" s="55">
        <v>29.133776716580204</v>
      </c>
      <c r="L44" s="86" t="s">
        <v>146</v>
      </c>
      <c r="M44" t="s">
        <v>133</v>
      </c>
    </row>
    <row r="45" spans="1:13" ht="12.75">
      <c r="A45" s="20">
        <v>15</v>
      </c>
      <c r="B45" s="81" t="s">
        <v>103</v>
      </c>
      <c r="C45" s="20"/>
      <c r="D45" s="36">
        <v>13802334.336</v>
      </c>
      <c r="E45" s="36">
        <v>33027840</v>
      </c>
      <c r="F45" s="37">
        <v>19225505.664</v>
      </c>
      <c r="G45" s="38">
        <v>35796</v>
      </c>
      <c r="H45" s="38">
        <v>37226</v>
      </c>
      <c r="I45" s="70">
        <v>3</v>
      </c>
      <c r="J45" s="41">
        <v>1</v>
      </c>
      <c r="K45" s="55">
        <v>15.722912634008814</v>
      </c>
      <c r="L45" s="86" t="s">
        <v>161</v>
      </c>
      <c r="M45" t="s">
        <v>143</v>
      </c>
    </row>
    <row r="46" spans="4:5" ht="12.75">
      <c r="D46" s="1" t="s">
        <v>56</v>
      </c>
      <c r="E46" s="1"/>
    </row>
    <row r="47" spans="1:7" ht="12.75">
      <c r="A47" t="s">
        <v>106</v>
      </c>
      <c r="D47" s="1">
        <v>152203253.41996148</v>
      </c>
      <c r="E47" s="1">
        <v>238343444.64000002</v>
      </c>
      <c r="F47" s="17">
        <v>86140191.22003855</v>
      </c>
      <c r="G47" s="33" t="s">
        <v>101</v>
      </c>
    </row>
    <row r="48" spans="6:7" ht="12.75">
      <c r="F48" s="72">
        <v>32005388.04780532</v>
      </c>
      <c r="G48" s="71" t="s">
        <v>127</v>
      </c>
    </row>
    <row r="49" spans="6:7" ht="12.75">
      <c r="F49" s="82"/>
      <c r="G49" s="71"/>
    </row>
    <row r="50" spans="6:7" ht="12.75">
      <c r="F50" s="82"/>
      <c r="G50" s="71"/>
    </row>
    <row r="52" ht="15.75">
      <c r="A52" s="89" t="s">
        <v>158</v>
      </c>
    </row>
    <row r="53" spans="1:13" ht="12.75">
      <c r="A53" s="20" t="s">
        <v>129</v>
      </c>
      <c r="D53" s="27" t="s">
        <v>134</v>
      </c>
      <c r="E53" s="27" t="s">
        <v>71</v>
      </c>
      <c r="F53" s="27" t="s">
        <v>73</v>
      </c>
      <c r="G53" s="91" t="s">
        <v>80</v>
      </c>
      <c r="H53" s="92"/>
      <c r="I53" s="92"/>
      <c r="J53" s="93"/>
      <c r="K53" s="27" t="s">
        <v>109</v>
      </c>
      <c r="L53" s="83" t="s">
        <v>162</v>
      </c>
      <c r="M53" s="27" t="s">
        <v>136</v>
      </c>
    </row>
    <row r="54" spans="1:13" ht="12.75">
      <c r="A54" s="74" t="s">
        <v>132</v>
      </c>
      <c r="D54" s="28" t="s">
        <v>164</v>
      </c>
      <c r="E54" s="28" t="s">
        <v>72</v>
      </c>
      <c r="F54" s="28" t="s">
        <v>74</v>
      </c>
      <c r="G54" s="29" t="s">
        <v>69</v>
      </c>
      <c r="H54" s="29" t="s">
        <v>70</v>
      </c>
      <c r="I54" s="30" t="s">
        <v>77</v>
      </c>
      <c r="J54" s="31" t="s">
        <v>78</v>
      </c>
      <c r="K54" s="28" t="s">
        <v>110</v>
      </c>
      <c r="L54" s="84" t="s">
        <v>163</v>
      </c>
      <c r="M54" s="28" t="s">
        <v>135</v>
      </c>
    </row>
    <row r="55" ht="12.75">
      <c r="L55" s="85"/>
    </row>
    <row r="56" spans="1:13" ht="12.75">
      <c r="A56">
        <v>1</v>
      </c>
      <c r="B56" s="75" t="s">
        <v>21</v>
      </c>
      <c r="D56" s="1">
        <v>18194307.149465468</v>
      </c>
      <c r="E56" s="1">
        <v>19549485.400000002</v>
      </c>
      <c r="F56" s="78">
        <v>1355178.2505345345</v>
      </c>
      <c r="G56" s="4">
        <v>33573</v>
      </c>
      <c r="H56" s="4">
        <v>40878</v>
      </c>
      <c r="I56" s="32" t="s">
        <v>104</v>
      </c>
      <c r="J56" s="15" t="s">
        <v>100</v>
      </c>
      <c r="K56" s="55">
        <v>34.667814904099146</v>
      </c>
      <c r="L56" s="86" t="s">
        <v>146</v>
      </c>
      <c r="M56" t="s">
        <v>142</v>
      </c>
    </row>
    <row r="57" spans="1:13" ht="12.75">
      <c r="A57">
        <v>2</v>
      </c>
      <c r="B57" s="20" t="s">
        <v>25</v>
      </c>
      <c r="D57" s="1">
        <v>10811260.60128</v>
      </c>
      <c r="E57" s="1">
        <v>13897639.75</v>
      </c>
      <c r="F57" s="77">
        <v>3086379.14872</v>
      </c>
      <c r="G57" s="4">
        <v>34486</v>
      </c>
      <c r="H57" s="4">
        <v>36831</v>
      </c>
      <c r="I57" s="32">
        <v>6</v>
      </c>
      <c r="J57" s="15">
        <v>0</v>
      </c>
      <c r="K57" s="55">
        <v>28.97754328375651</v>
      </c>
      <c r="L57" s="86"/>
      <c r="M57" t="s">
        <v>144</v>
      </c>
    </row>
    <row r="58" spans="1:13" ht="12.75">
      <c r="A58">
        <v>3</v>
      </c>
      <c r="B58" s="56" t="s">
        <v>26</v>
      </c>
      <c r="D58" s="1">
        <v>31835555.498976003</v>
      </c>
      <c r="E58" s="1">
        <v>53379734.25</v>
      </c>
      <c r="F58" s="77">
        <v>21544178.751023997</v>
      </c>
      <c r="G58" s="4">
        <v>35339</v>
      </c>
      <c r="H58" s="4">
        <v>37073</v>
      </c>
      <c r="I58" s="32">
        <v>5</v>
      </c>
      <c r="J58" s="15" t="s">
        <v>79</v>
      </c>
      <c r="K58" s="55">
        <v>22.21581765062564</v>
      </c>
      <c r="L58" s="86" t="s">
        <v>146</v>
      </c>
      <c r="M58" t="s">
        <v>144</v>
      </c>
    </row>
    <row r="59" spans="1:13" ht="12.75">
      <c r="A59">
        <v>4</v>
      </c>
      <c r="B59" s="56" t="s">
        <v>152</v>
      </c>
      <c r="D59" s="1">
        <v>14671870.0896</v>
      </c>
      <c r="E59" s="1">
        <v>24876518.5</v>
      </c>
      <c r="F59" s="77">
        <v>10204648.4104</v>
      </c>
      <c r="G59" s="4">
        <v>35156</v>
      </c>
      <c r="H59" s="4">
        <v>36861</v>
      </c>
      <c r="I59" s="32">
        <v>4.5</v>
      </c>
      <c r="J59" s="15" t="s">
        <v>79</v>
      </c>
      <c r="K59" s="55">
        <v>21.9696</v>
      </c>
      <c r="L59" s="86" t="s">
        <v>147</v>
      </c>
      <c r="M59" t="s">
        <v>145</v>
      </c>
    </row>
    <row r="60" spans="1:13" ht="12.75">
      <c r="A60">
        <v>5</v>
      </c>
      <c r="B60" s="20" t="s">
        <v>29</v>
      </c>
      <c r="D60" s="1">
        <v>10664.808</v>
      </c>
      <c r="E60" s="1">
        <v>37808.75</v>
      </c>
      <c r="F60" s="77">
        <v>27143.942</v>
      </c>
      <c r="G60" s="4">
        <v>35065</v>
      </c>
      <c r="H60" s="4">
        <v>36861</v>
      </c>
      <c r="I60" s="32">
        <v>5</v>
      </c>
      <c r="J60" s="15" t="s">
        <v>79</v>
      </c>
      <c r="K60" s="55">
        <v>10.507200000000001</v>
      </c>
      <c r="L60" s="86"/>
      <c r="M60" t="s">
        <v>144</v>
      </c>
    </row>
    <row r="61" spans="1:13" ht="12.75">
      <c r="A61">
        <v>6</v>
      </c>
      <c r="B61" s="56" t="s">
        <v>32</v>
      </c>
      <c r="D61" s="1">
        <v>5899362.0048</v>
      </c>
      <c r="E61" s="1">
        <v>13429370</v>
      </c>
      <c r="F61" s="77">
        <v>7530007.9952</v>
      </c>
      <c r="G61" s="4">
        <v>35278</v>
      </c>
      <c r="H61" s="4">
        <v>36982</v>
      </c>
      <c r="I61" s="32">
        <v>5</v>
      </c>
      <c r="J61" s="15" t="s">
        <v>79</v>
      </c>
      <c r="K61" s="55">
        <v>16.363480541440143</v>
      </c>
      <c r="L61" s="86" t="s">
        <v>148</v>
      </c>
      <c r="M61" t="s">
        <v>144</v>
      </c>
    </row>
    <row r="62" spans="1:13" ht="12.75">
      <c r="A62">
        <v>7</v>
      </c>
      <c r="B62" s="20" t="s">
        <v>33</v>
      </c>
      <c r="D62" s="1">
        <v>25405216.746239997</v>
      </c>
      <c r="E62" s="1">
        <v>35877598.25</v>
      </c>
      <c r="F62" s="77">
        <v>10472381.503760003</v>
      </c>
      <c r="G62" s="4">
        <v>35431</v>
      </c>
      <c r="H62" s="4">
        <v>36861</v>
      </c>
      <c r="I62" s="32">
        <v>3</v>
      </c>
      <c r="J62" s="15" t="s">
        <v>79</v>
      </c>
      <c r="K62" s="55">
        <v>26.37702549661166</v>
      </c>
      <c r="L62" s="86"/>
      <c r="M62" t="s">
        <v>144</v>
      </c>
    </row>
    <row r="63" spans="2:13" ht="12.75">
      <c r="B63" s="75" t="s">
        <v>34</v>
      </c>
      <c r="D63" s="1">
        <v>20621725.8768</v>
      </c>
      <c r="E63" s="1">
        <v>20621725.8768</v>
      </c>
      <c r="F63" s="77">
        <v>0</v>
      </c>
      <c r="G63" s="4">
        <v>35278</v>
      </c>
      <c r="H63" s="4">
        <v>37803</v>
      </c>
      <c r="I63" s="32">
        <v>7</v>
      </c>
      <c r="J63" s="15">
        <v>2.5</v>
      </c>
      <c r="K63" s="55">
        <v>35.65428589646945</v>
      </c>
      <c r="L63" s="86" t="s">
        <v>146</v>
      </c>
      <c r="M63" t="s">
        <v>141</v>
      </c>
    </row>
    <row r="64" spans="1:12" ht="12.75">
      <c r="A64">
        <v>8</v>
      </c>
      <c r="B64" s="56" t="s">
        <v>35</v>
      </c>
      <c r="D64" s="1">
        <v>696540.4368</v>
      </c>
      <c r="E64" s="1">
        <v>1798877</v>
      </c>
      <c r="F64" s="77">
        <v>1102336.5632</v>
      </c>
      <c r="G64" s="4">
        <v>35339</v>
      </c>
      <c r="H64" s="4">
        <v>37135</v>
      </c>
      <c r="I64" s="32">
        <v>5</v>
      </c>
      <c r="J64" s="15">
        <v>1</v>
      </c>
      <c r="K64" s="55">
        <v>14.42351604406527</v>
      </c>
      <c r="L64" s="86" t="s">
        <v>148</v>
      </c>
    </row>
    <row r="65" spans="1:12" ht="12.75">
      <c r="A65">
        <v>9</v>
      </c>
      <c r="B65" s="56" t="s">
        <v>38</v>
      </c>
      <c r="D65" s="1">
        <v>2661294.1824000003</v>
      </c>
      <c r="E65" s="1">
        <v>5408700</v>
      </c>
      <c r="F65" s="77">
        <v>2747405.8175999997</v>
      </c>
      <c r="G65" s="4">
        <v>35674</v>
      </c>
      <c r="H65" s="4">
        <v>37347</v>
      </c>
      <c r="I65" s="32">
        <v>5</v>
      </c>
      <c r="J65" s="15">
        <v>1.5</v>
      </c>
      <c r="K65" s="55">
        <v>18.328472330578514</v>
      </c>
      <c r="L65" s="86" t="s">
        <v>147</v>
      </c>
    </row>
    <row r="66" spans="1:13" ht="12.75">
      <c r="A66">
        <v>10</v>
      </c>
      <c r="B66" s="56" t="s">
        <v>39</v>
      </c>
      <c r="D66" s="1">
        <v>1168265.9568</v>
      </c>
      <c r="E66" s="1">
        <v>2586453.75</v>
      </c>
      <c r="F66" s="77">
        <v>1418187.7932</v>
      </c>
      <c r="G66" s="4">
        <v>35551</v>
      </c>
      <c r="H66" s="4">
        <v>37347</v>
      </c>
      <c r="I66" s="32">
        <v>5</v>
      </c>
      <c r="J66" s="15">
        <v>1.5</v>
      </c>
      <c r="K66" s="55">
        <v>16.82531802117088</v>
      </c>
      <c r="L66" s="86" t="s">
        <v>151</v>
      </c>
      <c r="M66" t="s">
        <v>115</v>
      </c>
    </row>
    <row r="67" spans="1:13" ht="12.75">
      <c r="A67">
        <v>11</v>
      </c>
      <c r="B67" s="56" t="s">
        <v>153</v>
      </c>
      <c r="D67" s="1">
        <v>1198821.8496</v>
      </c>
      <c r="E67" s="1">
        <v>2812561.25</v>
      </c>
      <c r="F67" s="77">
        <v>1613739.4004</v>
      </c>
      <c r="G67" s="4">
        <v>35704</v>
      </c>
      <c r="H67" s="4">
        <v>36770</v>
      </c>
      <c r="I67" s="69">
        <v>3</v>
      </c>
      <c r="J67" s="15">
        <v>0</v>
      </c>
      <c r="K67" s="55">
        <v>15.877383611681346</v>
      </c>
      <c r="L67" s="86" t="s">
        <v>150</v>
      </c>
      <c r="M67" t="s">
        <v>144</v>
      </c>
    </row>
    <row r="68" spans="1:12" ht="12.75">
      <c r="A68">
        <v>12</v>
      </c>
      <c r="B68" s="57" t="s">
        <v>154</v>
      </c>
      <c r="C68" s="3"/>
      <c r="D68" s="1">
        <v>1367876.9664</v>
      </c>
      <c r="E68" s="1">
        <v>3272040</v>
      </c>
      <c r="F68" s="77">
        <v>1904163.0336</v>
      </c>
      <c r="G68" s="4">
        <v>35765</v>
      </c>
      <c r="H68" s="4">
        <v>37561</v>
      </c>
      <c r="I68" s="32">
        <v>5</v>
      </c>
      <c r="J68" s="15">
        <v>2</v>
      </c>
      <c r="K68" s="55">
        <v>15.572369836065574</v>
      </c>
      <c r="L68" s="86" t="s">
        <v>150</v>
      </c>
    </row>
    <row r="69" spans="1:13" ht="12.75">
      <c r="A69">
        <v>13</v>
      </c>
      <c r="B69" s="75" t="s">
        <v>46</v>
      </c>
      <c r="D69" s="1">
        <v>3858156.9168</v>
      </c>
      <c r="E69" s="1">
        <v>4932980.25</v>
      </c>
      <c r="F69" s="77">
        <v>1074823.3332000002</v>
      </c>
      <c r="G69" s="4">
        <v>35855</v>
      </c>
      <c r="H69" s="4">
        <v>37469</v>
      </c>
      <c r="I69" s="32">
        <v>4</v>
      </c>
      <c r="J69" s="15">
        <v>1.5</v>
      </c>
      <c r="K69" s="55">
        <v>29.133776716580204</v>
      </c>
      <c r="L69" s="86" t="s">
        <v>146</v>
      </c>
      <c r="M69" t="s">
        <v>133</v>
      </c>
    </row>
    <row r="70" spans="1:13" ht="12.75">
      <c r="A70" s="20">
        <v>14</v>
      </c>
      <c r="B70" s="81" t="s">
        <v>103</v>
      </c>
      <c r="C70" s="20"/>
      <c r="D70" s="36">
        <v>13802334.336</v>
      </c>
      <c r="E70" s="36">
        <v>32720400</v>
      </c>
      <c r="F70" s="37">
        <v>18918065.664</v>
      </c>
      <c r="G70" s="38">
        <v>35796</v>
      </c>
      <c r="H70" s="38">
        <v>37226</v>
      </c>
      <c r="I70" s="70">
        <v>3</v>
      </c>
      <c r="J70" s="41">
        <v>1</v>
      </c>
      <c r="K70" s="55">
        <v>15.722912634008814</v>
      </c>
      <c r="L70" s="86" t="s">
        <v>161</v>
      </c>
      <c r="M70" t="s">
        <v>143</v>
      </c>
    </row>
    <row r="71" spans="4:5" ht="12.75">
      <c r="D71" s="1" t="s">
        <v>56</v>
      </c>
      <c r="E71" s="1"/>
    </row>
    <row r="72" spans="1:7" ht="12.75">
      <c r="A72" t="s">
        <v>106</v>
      </c>
      <c r="D72" s="1">
        <v>152203253.41996148</v>
      </c>
      <c r="E72" s="1">
        <v>235201893.0268</v>
      </c>
      <c r="F72" s="17">
        <v>82998639.60683852</v>
      </c>
      <c r="G72" s="33" t="s">
        <v>123</v>
      </c>
    </row>
    <row r="73" spans="6:7" ht="12.75">
      <c r="F73" s="72">
        <v>30762084.605973102</v>
      </c>
      <c r="G73" s="71" t="s">
        <v>128</v>
      </c>
    </row>
    <row r="74" spans="6:7" ht="12.75">
      <c r="F74" s="82"/>
      <c r="G74" s="71"/>
    </row>
    <row r="75" spans="6:7" ht="12.75">
      <c r="F75" s="82"/>
      <c r="G75" s="71"/>
    </row>
    <row r="76" ht="15.75">
      <c r="A76" s="89" t="s">
        <v>159</v>
      </c>
    </row>
    <row r="77" spans="1:13" ht="12.75">
      <c r="A77" s="20" t="s">
        <v>129</v>
      </c>
      <c r="D77" s="27" t="s">
        <v>134</v>
      </c>
      <c r="E77" s="27" t="s">
        <v>71</v>
      </c>
      <c r="F77" s="27" t="s">
        <v>73</v>
      </c>
      <c r="G77" s="91" t="s">
        <v>80</v>
      </c>
      <c r="H77" s="92"/>
      <c r="I77" s="92"/>
      <c r="J77" s="93"/>
      <c r="K77" s="27" t="s">
        <v>109</v>
      </c>
      <c r="L77" s="83" t="s">
        <v>162</v>
      </c>
      <c r="M77" s="27" t="s">
        <v>136</v>
      </c>
    </row>
    <row r="78" spans="1:13" ht="12.75">
      <c r="A78" s="74" t="s">
        <v>130</v>
      </c>
      <c r="D78" s="28" t="s">
        <v>164</v>
      </c>
      <c r="E78" s="28" t="s">
        <v>72</v>
      </c>
      <c r="F78" s="28" t="s">
        <v>74</v>
      </c>
      <c r="G78" s="29" t="s">
        <v>69</v>
      </c>
      <c r="H78" s="29" t="s">
        <v>70</v>
      </c>
      <c r="I78" s="30" t="s">
        <v>77</v>
      </c>
      <c r="J78" s="31" t="s">
        <v>78</v>
      </c>
      <c r="K78" s="28" t="s">
        <v>110</v>
      </c>
      <c r="L78" s="84" t="s">
        <v>163</v>
      </c>
      <c r="M78" s="28" t="s">
        <v>135</v>
      </c>
    </row>
    <row r="79" ht="12.75">
      <c r="L79" s="85"/>
    </row>
    <row r="80" spans="2:13" ht="12.75">
      <c r="B80" s="75" t="s">
        <v>21</v>
      </c>
      <c r="D80" s="1">
        <v>18194307.149465468</v>
      </c>
      <c r="E80" s="1">
        <v>18194307.149465468</v>
      </c>
      <c r="F80" s="1">
        <v>0</v>
      </c>
      <c r="G80" s="4">
        <v>33573</v>
      </c>
      <c r="H80" s="4">
        <v>40878</v>
      </c>
      <c r="I80" s="32" t="s">
        <v>104</v>
      </c>
      <c r="J80" s="15" t="s">
        <v>100</v>
      </c>
      <c r="K80" s="55">
        <v>34.667814904099146</v>
      </c>
      <c r="L80" s="86" t="s">
        <v>146</v>
      </c>
      <c r="M80" t="s">
        <v>142</v>
      </c>
    </row>
    <row r="81" spans="1:13" ht="12.75">
      <c r="A81">
        <v>1</v>
      </c>
      <c r="B81" s="20" t="s">
        <v>25</v>
      </c>
      <c r="D81" s="1">
        <v>10811260.60128</v>
      </c>
      <c r="E81" s="1">
        <v>12580628.52</v>
      </c>
      <c r="F81" s="77">
        <v>1769367.9187199995</v>
      </c>
      <c r="G81" s="4">
        <v>34486</v>
      </c>
      <c r="H81" s="4">
        <v>36831</v>
      </c>
      <c r="I81" s="32">
        <v>6</v>
      </c>
      <c r="J81" s="15">
        <v>0</v>
      </c>
      <c r="K81" s="55">
        <v>28.97754328375651</v>
      </c>
      <c r="L81" s="86"/>
      <c r="M81" t="s">
        <v>144</v>
      </c>
    </row>
    <row r="82" spans="1:13" ht="12.75">
      <c r="A82">
        <v>2</v>
      </c>
      <c r="B82" s="56" t="s">
        <v>26</v>
      </c>
      <c r="D82" s="1">
        <v>31835555.498976003</v>
      </c>
      <c r="E82" s="1">
        <v>48321198.36</v>
      </c>
      <c r="F82" s="77">
        <v>16485642.861023996</v>
      </c>
      <c r="G82" s="4">
        <v>35339</v>
      </c>
      <c r="H82" s="4">
        <v>37073</v>
      </c>
      <c r="I82" s="32">
        <v>5</v>
      </c>
      <c r="J82" s="15" t="s">
        <v>79</v>
      </c>
      <c r="K82" s="55">
        <v>22.21581765062564</v>
      </c>
      <c r="L82" s="86" t="s">
        <v>146</v>
      </c>
      <c r="M82" t="s">
        <v>144</v>
      </c>
    </row>
    <row r="83" spans="1:13" ht="12.75">
      <c r="A83">
        <v>3</v>
      </c>
      <c r="B83" s="56" t="s">
        <v>152</v>
      </c>
      <c r="D83" s="1">
        <v>14671870.0896</v>
      </c>
      <c r="E83" s="1">
        <v>22519092.72</v>
      </c>
      <c r="F83" s="77">
        <v>7847222.630399998</v>
      </c>
      <c r="G83" s="4">
        <v>35156</v>
      </c>
      <c r="H83" s="4">
        <v>36861</v>
      </c>
      <c r="I83" s="32">
        <v>4.5</v>
      </c>
      <c r="J83" s="15" t="s">
        <v>79</v>
      </c>
      <c r="K83" s="55">
        <v>21.9696</v>
      </c>
      <c r="L83" s="86" t="s">
        <v>147</v>
      </c>
      <c r="M83" t="s">
        <v>145</v>
      </c>
    </row>
    <row r="84" spans="1:13" ht="12.75">
      <c r="A84">
        <v>4</v>
      </c>
      <c r="B84" s="20" t="s">
        <v>29</v>
      </c>
      <c r="D84" s="1">
        <v>10664.808</v>
      </c>
      <c r="E84" s="1">
        <v>34225.8</v>
      </c>
      <c r="F84" s="77">
        <v>23560.991999999995</v>
      </c>
      <c r="G84" s="4">
        <v>35065</v>
      </c>
      <c r="H84" s="4">
        <v>36861</v>
      </c>
      <c r="I84" s="32">
        <v>5</v>
      </c>
      <c r="J84" s="15" t="s">
        <v>79</v>
      </c>
      <c r="K84" s="55">
        <v>10.507200000000001</v>
      </c>
      <c r="L84" s="86"/>
      <c r="M84" t="s">
        <v>144</v>
      </c>
    </row>
    <row r="85" spans="1:13" ht="12.75">
      <c r="A85">
        <v>5</v>
      </c>
      <c r="B85" s="56" t="s">
        <v>32</v>
      </c>
      <c r="D85" s="1">
        <v>5899362.0048</v>
      </c>
      <c r="E85" s="1">
        <v>12156734.4</v>
      </c>
      <c r="F85" s="77">
        <v>6257372.3952</v>
      </c>
      <c r="G85" s="4">
        <v>35278</v>
      </c>
      <c r="H85" s="4">
        <v>36982</v>
      </c>
      <c r="I85" s="32">
        <v>5</v>
      </c>
      <c r="J85" s="15" t="s">
        <v>79</v>
      </c>
      <c r="K85" s="55">
        <v>16.363480541440143</v>
      </c>
      <c r="L85" s="86" t="s">
        <v>148</v>
      </c>
      <c r="M85" t="s">
        <v>144</v>
      </c>
    </row>
    <row r="86" spans="1:13" ht="12.75">
      <c r="A86">
        <v>6</v>
      </c>
      <c r="B86" s="20" t="s">
        <v>33</v>
      </c>
      <c r="D86" s="1">
        <v>25405216.746239997</v>
      </c>
      <c r="E86" s="1">
        <v>32477654.04</v>
      </c>
      <c r="F86" s="77">
        <v>7072437.293760002</v>
      </c>
      <c r="G86" s="4">
        <v>35431</v>
      </c>
      <c r="H86" s="4">
        <v>36861</v>
      </c>
      <c r="I86" s="32">
        <v>3</v>
      </c>
      <c r="J86" s="15" t="s">
        <v>79</v>
      </c>
      <c r="K86" s="55">
        <v>26.37702549661166</v>
      </c>
      <c r="L86" s="86"/>
      <c r="M86" t="s">
        <v>144</v>
      </c>
    </row>
    <row r="87" spans="2:13" ht="12.75">
      <c r="B87" s="75" t="s">
        <v>34</v>
      </c>
      <c r="D87" s="1">
        <v>20621725.8768</v>
      </c>
      <c r="E87" s="1">
        <v>20621725.8768</v>
      </c>
      <c r="F87" s="77">
        <v>0</v>
      </c>
      <c r="G87" s="4">
        <v>35278</v>
      </c>
      <c r="H87" s="4">
        <v>37803</v>
      </c>
      <c r="I87" s="32">
        <v>7</v>
      </c>
      <c r="J87" s="15">
        <v>2.5</v>
      </c>
      <c r="K87" s="55">
        <v>35.65428589646945</v>
      </c>
      <c r="L87" s="86" t="s">
        <v>146</v>
      </c>
      <c r="M87" t="s">
        <v>141</v>
      </c>
    </row>
    <row r="88" spans="1:12" ht="12.75">
      <c r="A88">
        <v>7</v>
      </c>
      <c r="B88" s="56" t="s">
        <v>35</v>
      </c>
      <c r="D88" s="1">
        <v>696540.4368</v>
      </c>
      <c r="E88" s="1">
        <v>1628406.24</v>
      </c>
      <c r="F88" s="77">
        <v>931865.8032</v>
      </c>
      <c r="G88" s="4">
        <v>35339</v>
      </c>
      <c r="H88" s="4">
        <v>37135</v>
      </c>
      <c r="I88" s="32">
        <v>5</v>
      </c>
      <c r="J88" s="15">
        <v>1</v>
      </c>
      <c r="K88" s="55">
        <v>14.42351604406527</v>
      </c>
      <c r="L88" s="86" t="s">
        <v>148</v>
      </c>
    </row>
    <row r="89" spans="1:12" ht="12.75">
      <c r="A89">
        <v>8</v>
      </c>
      <c r="B89" s="56" t="s">
        <v>38</v>
      </c>
      <c r="D89" s="1">
        <v>2661294.1824000003</v>
      </c>
      <c r="E89" s="1">
        <v>4896144</v>
      </c>
      <c r="F89" s="77">
        <v>2234849.8175999997</v>
      </c>
      <c r="G89" s="4">
        <v>35674</v>
      </c>
      <c r="H89" s="4">
        <v>37347</v>
      </c>
      <c r="I89" s="32">
        <v>5</v>
      </c>
      <c r="J89" s="15">
        <v>1.5</v>
      </c>
      <c r="K89" s="55">
        <v>18.328472330578514</v>
      </c>
      <c r="L89" s="86" t="s">
        <v>147</v>
      </c>
    </row>
    <row r="90" spans="1:13" ht="12.75">
      <c r="A90">
        <v>9</v>
      </c>
      <c r="B90" s="56" t="s">
        <v>39</v>
      </c>
      <c r="D90" s="1">
        <v>1168265.9568</v>
      </c>
      <c r="E90" s="1">
        <v>2341348.2</v>
      </c>
      <c r="F90" s="77">
        <v>1173082.2431999997</v>
      </c>
      <c r="G90" s="4">
        <v>35551</v>
      </c>
      <c r="H90" s="4">
        <v>37347</v>
      </c>
      <c r="I90" s="32">
        <v>5</v>
      </c>
      <c r="J90" s="15">
        <v>1.5</v>
      </c>
      <c r="K90" s="55">
        <v>16.82531802117088</v>
      </c>
      <c r="L90" s="86" t="s">
        <v>151</v>
      </c>
      <c r="M90" t="s">
        <v>115</v>
      </c>
    </row>
    <row r="91" spans="1:13" ht="12.75">
      <c r="A91">
        <v>10</v>
      </c>
      <c r="B91" s="56" t="s">
        <v>153</v>
      </c>
      <c r="D91" s="1">
        <v>1198821.8496</v>
      </c>
      <c r="E91" s="1">
        <v>2546028.6</v>
      </c>
      <c r="F91" s="77">
        <v>1347206.7504</v>
      </c>
      <c r="G91" s="4">
        <v>35704</v>
      </c>
      <c r="H91" s="4">
        <v>36770</v>
      </c>
      <c r="I91" s="69">
        <v>3</v>
      </c>
      <c r="J91" s="15">
        <v>0</v>
      </c>
      <c r="K91" s="55">
        <v>15.877383611681346</v>
      </c>
      <c r="L91" s="86" t="s">
        <v>150</v>
      </c>
      <c r="M91" t="s">
        <v>144</v>
      </c>
    </row>
    <row r="92" spans="1:12" ht="12.75">
      <c r="A92">
        <v>11</v>
      </c>
      <c r="B92" s="57" t="s">
        <v>154</v>
      </c>
      <c r="C92" s="3"/>
      <c r="D92" s="1">
        <v>1367876.9664</v>
      </c>
      <c r="E92" s="1">
        <v>2961964.8</v>
      </c>
      <c r="F92" s="77">
        <v>1594087.8335999998</v>
      </c>
      <c r="G92" s="4">
        <v>35765</v>
      </c>
      <c r="H92" s="4">
        <v>37561</v>
      </c>
      <c r="I92" s="32">
        <v>5</v>
      </c>
      <c r="J92" s="15">
        <v>2</v>
      </c>
      <c r="K92" s="55">
        <v>15.572369836065574</v>
      </c>
      <c r="L92" s="86" t="s">
        <v>150</v>
      </c>
    </row>
    <row r="93" spans="1:13" ht="12.75">
      <c r="A93">
        <v>12</v>
      </c>
      <c r="B93" s="75" t="s">
        <v>46</v>
      </c>
      <c r="D93" s="1">
        <v>3858156.9168</v>
      </c>
      <c r="E93" s="1">
        <v>4465505.88</v>
      </c>
      <c r="F93" s="77">
        <v>607348.9632000001</v>
      </c>
      <c r="G93" s="4">
        <v>35855</v>
      </c>
      <c r="H93" s="4">
        <v>37469</v>
      </c>
      <c r="I93" s="32">
        <v>4</v>
      </c>
      <c r="J93" s="15">
        <v>1.5</v>
      </c>
      <c r="K93" s="55">
        <v>29.133776716580204</v>
      </c>
      <c r="L93" s="86" t="s">
        <v>146</v>
      </c>
      <c r="M93" t="s">
        <v>133</v>
      </c>
    </row>
    <row r="94" spans="1:13" ht="12.75">
      <c r="A94" s="20">
        <v>13</v>
      </c>
      <c r="B94" s="81" t="s">
        <v>103</v>
      </c>
      <c r="C94" s="20"/>
      <c r="D94" s="36">
        <v>13802334.336</v>
      </c>
      <c r="E94" s="36">
        <v>29619648</v>
      </c>
      <c r="F94" s="37">
        <v>15817313.664</v>
      </c>
      <c r="G94" s="38">
        <v>35796</v>
      </c>
      <c r="H94" s="38">
        <v>37226</v>
      </c>
      <c r="I94" s="70">
        <v>3</v>
      </c>
      <c r="J94" s="41">
        <v>1</v>
      </c>
      <c r="K94" s="55">
        <v>15.722912634008814</v>
      </c>
      <c r="L94" s="86" t="s">
        <v>161</v>
      </c>
      <c r="M94" t="s">
        <v>143</v>
      </c>
    </row>
    <row r="95" spans="4:5" ht="12.75">
      <c r="D95" s="1" t="s">
        <v>56</v>
      </c>
      <c r="E95" s="1"/>
    </row>
    <row r="96" spans="1:7" ht="12.75">
      <c r="A96" t="s">
        <v>106</v>
      </c>
      <c r="D96" s="1">
        <v>152203253.41996148</v>
      </c>
      <c r="E96" s="1">
        <v>215364612.58626547</v>
      </c>
      <c r="F96" s="17">
        <v>63161359.16630399</v>
      </c>
      <c r="G96" s="33" t="s">
        <v>124</v>
      </c>
    </row>
    <row r="97" spans="6:7" ht="12.75">
      <c r="F97" s="72">
        <v>23409721.93888837</v>
      </c>
      <c r="G97" s="71" t="s">
        <v>128</v>
      </c>
    </row>
    <row r="99" ht="12.75">
      <c r="B99" s="15"/>
    </row>
    <row r="100" spans="2:5" ht="12.75">
      <c r="B100" s="15"/>
      <c r="E100" s="4"/>
    </row>
    <row r="101" ht="12.75">
      <c r="B101" s="15"/>
    </row>
    <row r="102" spans="2:6" ht="12.75">
      <c r="B102" s="15"/>
      <c r="D102" s="12"/>
      <c r="E102" s="12"/>
      <c r="F102" s="12"/>
    </row>
    <row r="103" spans="2:8" ht="12.75">
      <c r="B103" s="15"/>
      <c r="D103" s="12"/>
      <c r="E103" s="12"/>
      <c r="F103" s="12"/>
      <c r="G103"/>
      <c r="H103" s="11"/>
    </row>
    <row r="104" spans="2:7" ht="12.75">
      <c r="B104" s="15"/>
      <c r="D104" s="12"/>
      <c r="E104" s="12"/>
      <c r="F104" s="12"/>
      <c r="G104"/>
    </row>
    <row r="105" ht="12.75">
      <c r="G105"/>
    </row>
    <row r="106" spans="4:7" ht="12.75">
      <c r="D106" s="12"/>
      <c r="E106" s="12"/>
      <c r="F106" s="12"/>
      <c r="G106"/>
    </row>
    <row r="107" spans="1:7" ht="12.75">
      <c r="A107" s="4"/>
      <c r="D107" s="12"/>
      <c r="E107" s="12"/>
      <c r="F107" s="12"/>
      <c r="G107"/>
    </row>
    <row r="108" spans="4:7" ht="12.75">
      <c r="D108" s="12"/>
      <c r="E108" s="12"/>
      <c r="F108" s="12"/>
      <c r="G108"/>
    </row>
    <row r="109" spans="4:7" ht="12.75">
      <c r="D109" s="12"/>
      <c r="E109" s="12"/>
      <c r="F109" s="12"/>
      <c r="G109"/>
    </row>
    <row r="110" spans="4:7" ht="12.75">
      <c r="D110" s="12"/>
      <c r="E110" s="12"/>
      <c r="F110" s="12"/>
      <c r="G110"/>
    </row>
    <row r="111" spans="4:7" ht="12.75">
      <c r="D111" s="12"/>
      <c r="E111" s="12"/>
      <c r="F111" s="12"/>
      <c r="G111"/>
    </row>
    <row r="112" spans="4:7" ht="12.75">
      <c r="D112" s="12"/>
      <c r="E112" s="12"/>
      <c r="F112" s="12"/>
      <c r="G112"/>
    </row>
    <row r="113" spans="4:7" ht="12.75">
      <c r="D113" s="12"/>
      <c r="E113" s="12"/>
      <c r="F113" s="12"/>
      <c r="G113"/>
    </row>
    <row r="114" spans="4:7" ht="12.75">
      <c r="D114" s="12"/>
      <c r="E114" s="12"/>
      <c r="F114" s="12"/>
      <c r="G114"/>
    </row>
    <row r="115" spans="1:7" ht="12.75">
      <c r="A115" s="4"/>
      <c r="D115" s="12"/>
      <c r="E115" s="12"/>
      <c r="F115" s="12"/>
      <c r="G115"/>
    </row>
    <row r="116" spans="4:7" ht="12.75">
      <c r="D116" s="12"/>
      <c r="E116" s="12"/>
      <c r="F116" s="12"/>
      <c r="G116"/>
    </row>
    <row r="117" spans="1:7" ht="12.75">
      <c r="A117" s="4"/>
      <c r="D117" s="12"/>
      <c r="E117" s="12"/>
      <c r="F117" s="12"/>
      <c r="G117"/>
    </row>
    <row r="118" spans="1:7" ht="12.75">
      <c r="A118" s="4"/>
      <c r="D118" s="12"/>
      <c r="E118" s="12"/>
      <c r="F118" s="12"/>
      <c r="G118"/>
    </row>
    <row r="119" spans="1:7" ht="12.75">
      <c r="A119" s="5"/>
      <c r="D119" s="12"/>
      <c r="E119" s="12"/>
      <c r="F119" s="12"/>
      <c r="G119"/>
    </row>
    <row r="120" spans="1:7" ht="12.75">
      <c r="A120" s="4"/>
      <c r="D120" s="12"/>
      <c r="E120" s="12"/>
      <c r="F120" s="12"/>
      <c r="G120"/>
    </row>
    <row r="121" spans="4:7" ht="12.75">
      <c r="D121" s="12"/>
      <c r="E121" s="12"/>
      <c r="F121" s="12"/>
      <c r="G121"/>
    </row>
    <row r="122" spans="4:7" ht="12.75">
      <c r="D122" s="12"/>
      <c r="E122" s="12"/>
      <c r="F122" s="12"/>
      <c r="G122"/>
    </row>
    <row r="123" spans="4:7" ht="12.75">
      <c r="D123" s="12"/>
      <c r="E123" s="12"/>
      <c r="F123" s="12"/>
      <c r="G123"/>
    </row>
    <row r="124" spans="4:7" ht="12.75">
      <c r="D124" s="12"/>
      <c r="E124" s="12"/>
      <c r="F124" s="12"/>
      <c r="G124"/>
    </row>
    <row r="125" spans="1:7" ht="12.75">
      <c r="A125" s="5"/>
      <c r="D125" s="12"/>
      <c r="E125" s="12"/>
      <c r="F125" s="12"/>
      <c r="G125"/>
    </row>
    <row r="126" spans="1:7" ht="12.75">
      <c r="A126" s="4"/>
      <c r="D126" s="12"/>
      <c r="E126" s="12"/>
      <c r="F126" s="12"/>
      <c r="G126"/>
    </row>
    <row r="127" spans="4:7" ht="12.75">
      <c r="D127" s="12"/>
      <c r="E127" s="12"/>
      <c r="F127" s="12"/>
      <c r="G127"/>
    </row>
    <row r="128" spans="1:7" ht="12.75">
      <c r="A128" s="5"/>
      <c r="D128" s="12"/>
      <c r="E128" s="12"/>
      <c r="F128" s="12"/>
      <c r="G128"/>
    </row>
    <row r="129" spans="4:7" ht="12.75">
      <c r="D129" s="12"/>
      <c r="E129" s="12"/>
      <c r="F129" s="12"/>
      <c r="G129"/>
    </row>
    <row r="130" spans="1:7" ht="12.75">
      <c r="A130" s="4"/>
      <c r="D130" s="12"/>
      <c r="E130" s="12"/>
      <c r="F130" s="12"/>
      <c r="G130"/>
    </row>
    <row r="131" spans="4:7" ht="12.75">
      <c r="D131" s="12"/>
      <c r="E131" s="12"/>
      <c r="F131" s="12"/>
      <c r="G131"/>
    </row>
    <row r="132" spans="4:7" ht="12.75">
      <c r="D132" s="12"/>
      <c r="E132" s="12"/>
      <c r="F132" s="12"/>
      <c r="G132"/>
    </row>
    <row r="133" spans="1:7" ht="12.75">
      <c r="A133" s="13"/>
      <c r="B133" s="3"/>
      <c r="C133" s="3"/>
      <c r="D133" s="14"/>
      <c r="E133" s="14"/>
      <c r="F133" s="12"/>
      <c r="G133"/>
    </row>
    <row r="134" spans="4:7" ht="12.75">
      <c r="D134" s="12"/>
      <c r="E134" s="12"/>
      <c r="F134" s="12"/>
      <c r="G134"/>
    </row>
    <row r="135" spans="4:7" ht="12.75">
      <c r="D135" s="12"/>
      <c r="E135" s="12"/>
      <c r="F135" s="12"/>
      <c r="G135"/>
    </row>
    <row r="136" spans="4:7" ht="12.75">
      <c r="D136" s="12"/>
      <c r="E136" s="12"/>
      <c r="F136" s="12"/>
      <c r="G136"/>
    </row>
    <row r="137" spans="1:7" ht="12.75">
      <c r="A137" s="4"/>
      <c r="D137" s="12"/>
      <c r="E137" s="12"/>
      <c r="F137" s="12"/>
      <c r="G137"/>
    </row>
    <row r="138" spans="1:7" ht="12.75">
      <c r="A138" s="13"/>
      <c r="B138" s="3"/>
      <c r="C138" s="3"/>
      <c r="D138" s="14"/>
      <c r="E138" s="14"/>
      <c r="F138" s="12"/>
      <c r="G138"/>
    </row>
    <row r="139" spans="4:7" ht="12.75">
      <c r="D139" s="12"/>
      <c r="E139" s="12"/>
      <c r="F139" s="12"/>
      <c r="G139"/>
    </row>
    <row r="140" spans="1:7" ht="12.75">
      <c r="A140" s="5"/>
      <c r="D140" s="12"/>
      <c r="E140" s="12"/>
      <c r="F140" s="12"/>
      <c r="G140"/>
    </row>
    <row r="141" spans="4:7" ht="12.75">
      <c r="D141" s="12"/>
      <c r="E141" s="12"/>
      <c r="F141" s="12"/>
      <c r="G141"/>
    </row>
    <row r="142" spans="4:7" ht="12.75">
      <c r="D142" s="12"/>
      <c r="E142" s="12"/>
      <c r="F142" s="12"/>
      <c r="G142"/>
    </row>
    <row r="143" spans="4:7" ht="12.75">
      <c r="D143" s="12"/>
      <c r="E143" s="12"/>
      <c r="F143" s="12"/>
      <c r="G143"/>
    </row>
    <row r="144" spans="4:7" ht="12.75">
      <c r="D144" s="12"/>
      <c r="E144" s="12"/>
      <c r="F144" s="12"/>
      <c r="G144"/>
    </row>
    <row r="145" spans="4:7" ht="12.75">
      <c r="D145" s="12"/>
      <c r="E145" s="12"/>
      <c r="F145" s="12"/>
      <c r="G145"/>
    </row>
    <row r="146" spans="4:7" ht="12.75">
      <c r="D146" s="12"/>
      <c r="E146" s="12"/>
      <c r="F146" s="12"/>
      <c r="G146"/>
    </row>
  </sheetData>
  <mergeCells count="5">
    <mergeCell ref="A1:J1"/>
    <mergeCell ref="G28:J28"/>
    <mergeCell ref="G53:J53"/>
    <mergeCell ref="G77:J77"/>
    <mergeCell ref="G3:J3"/>
  </mergeCells>
  <printOptions horizontalCentered="1"/>
  <pageMargins left="0.46" right="0.44" top="1" bottom="1" header="0.5" footer="0.5"/>
  <pageSetup fitToHeight="2" fitToWidth="1" horizontalDpi="600" verticalDpi="600" orientation="landscape" scale="72" r:id="rId1"/>
  <headerFooter alignWithMargins="0">
    <oddHeader>&amp;R&amp;9Docket No. 01-035-01
Witness: Rebecca L. Wilson
Exhibit No. DPU 8.2 Revised
Page &amp;P</oddHeader>
  </headerFooter>
</worksheet>
</file>

<file path=xl/worksheets/sheet2.xml><?xml version="1.0" encoding="utf-8"?>
<worksheet xmlns="http://schemas.openxmlformats.org/spreadsheetml/2006/main" xmlns:r="http://schemas.openxmlformats.org/officeDocument/2006/relationships">
  <dimension ref="A2:L147"/>
  <sheetViews>
    <sheetView workbookViewId="0" topLeftCell="A5">
      <selection activeCell="D9" sqref="D9:F26"/>
    </sheetView>
  </sheetViews>
  <sheetFormatPr defaultColWidth="9.140625" defaultRowHeight="12.75"/>
  <cols>
    <col min="1" max="1" width="4.57421875" style="0" customWidth="1"/>
    <col min="3" max="3" width="14.140625" style="0" customWidth="1"/>
    <col min="4" max="4" width="15.140625" style="0" customWidth="1"/>
    <col min="5" max="5" width="16.8515625" style="0" customWidth="1"/>
    <col min="6" max="6" width="16.28125" style="0" customWidth="1"/>
    <col min="7" max="8" width="9.140625" style="4" customWidth="1"/>
    <col min="9" max="9" width="12.7109375" style="6" customWidth="1"/>
  </cols>
  <sheetData>
    <row r="2" spans="1:10" ht="12.75">
      <c r="A2" s="90" t="s">
        <v>107</v>
      </c>
      <c r="B2" s="90"/>
      <c r="C2" s="90"/>
      <c r="D2" s="90"/>
      <c r="E2" s="90"/>
      <c r="F2" s="90"/>
      <c r="G2" s="90"/>
      <c r="H2" s="90"/>
      <c r="I2" s="90"/>
      <c r="J2" s="90"/>
    </row>
    <row r="6" spans="1:11" ht="12.75">
      <c r="A6" s="47"/>
      <c r="B6" s="47"/>
      <c r="C6" s="47"/>
      <c r="D6" s="48" t="s">
        <v>6</v>
      </c>
      <c r="E6" s="48" t="s">
        <v>71</v>
      </c>
      <c r="F6" s="48" t="s">
        <v>73</v>
      </c>
      <c r="G6" s="94" t="s">
        <v>108</v>
      </c>
      <c r="H6" s="95"/>
      <c r="I6" s="95"/>
      <c r="J6" s="96"/>
      <c r="K6" s="27" t="s">
        <v>109</v>
      </c>
    </row>
    <row r="7" spans="1:11" ht="12.75">
      <c r="A7" s="47"/>
      <c r="B7" s="47"/>
      <c r="C7" s="47"/>
      <c r="D7" s="49" t="s">
        <v>7</v>
      </c>
      <c r="E7" s="49" t="s">
        <v>72</v>
      </c>
      <c r="F7" s="49" t="s">
        <v>74</v>
      </c>
      <c r="G7" s="50" t="s">
        <v>69</v>
      </c>
      <c r="H7" s="50" t="s">
        <v>70</v>
      </c>
      <c r="I7" s="51" t="s">
        <v>77</v>
      </c>
      <c r="J7" s="52" t="s">
        <v>78</v>
      </c>
      <c r="K7" s="28" t="s">
        <v>110</v>
      </c>
    </row>
    <row r="8" spans="7:9" ht="12.75">
      <c r="G8"/>
      <c r="H8"/>
      <c r="I8"/>
    </row>
    <row r="9" spans="1:12" ht="12.75">
      <c r="A9" s="20">
        <v>1</v>
      </c>
      <c r="B9" s="58" t="s">
        <v>21</v>
      </c>
      <c r="C9" s="20"/>
      <c r="D9" s="36">
        <f>+D49*F111</f>
        <v>18194307.149465468</v>
      </c>
      <c r="E9" s="36">
        <f>IF(D111&lt;$E$100,E111*D49,D9)</f>
        <v>18194307.149465468</v>
      </c>
      <c r="F9" s="37">
        <f aca="true" t="shared" si="0" ref="F9:F23">+E9-D9</f>
        <v>0</v>
      </c>
      <c r="G9" s="38">
        <v>33573</v>
      </c>
      <c r="H9" s="38">
        <v>40878</v>
      </c>
      <c r="I9" s="54" t="s">
        <v>104</v>
      </c>
      <c r="J9" s="21" t="s">
        <v>100</v>
      </c>
      <c r="K9" s="55">
        <f>+F111</f>
        <v>34.667814904099146</v>
      </c>
      <c r="L9" t="s">
        <v>105</v>
      </c>
    </row>
    <row r="10" spans="1:11" ht="12.75">
      <c r="A10" s="20">
        <v>2</v>
      </c>
      <c r="B10" s="20" t="s">
        <v>25</v>
      </c>
      <c r="C10" s="20"/>
      <c r="D10" s="36">
        <f>+D53*F115</f>
        <v>10811260.60128</v>
      </c>
      <c r="E10" s="36">
        <f>IF(D115&lt;$E$100,E115*D53,D10)</f>
        <v>12580628.52</v>
      </c>
      <c r="F10" s="37">
        <f t="shared" si="0"/>
        <v>1769367.9187199995</v>
      </c>
      <c r="G10" s="38">
        <v>34486</v>
      </c>
      <c r="H10" s="38">
        <v>36831</v>
      </c>
      <c r="I10" s="54">
        <f>2000-1994</f>
        <v>6</v>
      </c>
      <c r="J10" s="21">
        <v>0</v>
      </c>
      <c r="K10" s="55">
        <f>+F115</f>
        <v>28.97754328375651</v>
      </c>
    </row>
    <row r="11" spans="1:11" ht="12.75">
      <c r="A11" s="20">
        <v>3</v>
      </c>
      <c r="B11" s="56" t="s">
        <v>26</v>
      </c>
      <c r="C11" s="20"/>
      <c r="D11" s="36">
        <f>+D54*F116</f>
        <v>31835555.498976003</v>
      </c>
      <c r="E11" s="36">
        <f>IF(D116&lt;$E$100,E116*D54,D11)</f>
        <v>48321198.36</v>
      </c>
      <c r="F11" s="37">
        <f t="shared" si="0"/>
        <v>16485642.861023996</v>
      </c>
      <c r="G11" s="38">
        <v>35339</v>
      </c>
      <c r="H11" s="38">
        <v>37073</v>
      </c>
      <c r="I11" s="54">
        <f>2001-1996</f>
        <v>5</v>
      </c>
      <c r="J11" s="21" t="s">
        <v>79</v>
      </c>
      <c r="K11" s="55">
        <f>+F116</f>
        <v>22.21581765062564</v>
      </c>
    </row>
    <row r="12" spans="1:12" ht="12.75">
      <c r="A12" s="20">
        <v>4</v>
      </c>
      <c r="B12" s="56" t="s">
        <v>112</v>
      </c>
      <c r="C12" s="20"/>
      <c r="D12" s="36">
        <f>+D55*F117</f>
        <v>14671870.0896</v>
      </c>
      <c r="E12" s="36">
        <f>IF(D117&lt;$E$100,E117*D55,D12)</f>
        <v>22519092.72</v>
      </c>
      <c r="F12" s="37">
        <f t="shared" si="0"/>
        <v>7847222.630399998</v>
      </c>
      <c r="G12" s="38">
        <v>35156</v>
      </c>
      <c r="H12" s="38">
        <v>36861</v>
      </c>
      <c r="I12" s="54">
        <v>4.5</v>
      </c>
      <c r="J12" s="21" t="s">
        <v>79</v>
      </c>
      <c r="K12" s="55">
        <f>+F117</f>
        <v>21.9696</v>
      </c>
      <c r="L12" t="s">
        <v>113</v>
      </c>
    </row>
    <row r="13" spans="1:11" ht="12.75">
      <c r="A13" s="20">
        <v>5</v>
      </c>
      <c r="B13" s="20" t="s">
        <v>29</v>
      </c>
      <c r="C13" s="20"/>
      <c r="D13" s="36">
        <f>+D57*F119</f>
        <v>10664.808</v>
      </c>
      <c r="E13" s="36">
        <f>IF(D119&lt;$E$100,E119*D57,D13)</f>
        <v>34225.799999999996</v>
      </c>
      <c r="F13" s="37">
        <f t="shared" si="0"/>
        <v>23560.991999999995</v>
      </c>
      <c r="G13" s="38">
        <v>35065</v>
      </c>
      <c r="H13" s="38">
        <v>36861</v>
      </c>
      <c r="I13" s="54">
        <v>5</v>
      </c>
      <c r="J13" s="21" t="s">
        <v>79</v>
      </c>
      <c r="K13" s="55">
        <f>+F119</f>
        <v>10.507200000000001</v>
      </c>
    </row>
    <row r="14" spans="1:11" ht="12.75">
      <c r="A14" s="20">
        <v>6</v>
      </c>
      <c r="B14" s="56" t="s">
        <v>32</v>
      </c>
      <c r="C14" s="20"/>
      <c r="D14" s="36">
        <f>+D60*F122</f>
        <v>5899362.0048</v>
      </c>
      <c r="E14" s="36">
        <f>IF(D122&lt;$E$100,E122*D60,D14)</f>
        <v>12156734.4</v>
      </c>
      <c r="F14" s="37">
        <f t="shared" si="0"/>
        <v>6257372.3952</v>
      </c>
      <c r="G14" s="38">
        <v>35278</v>
      </c>
      <c r="H14" s="38">
        <v>36982</v>
      </c>
      <c r="I14" s="54">
        <f>2001-1996</f>
        <v>5</v>
      </c>
      <c r="J14" s="21" t="s">
        <v>79</v>
      </c>
      <c r="K14" s="55">
        <f>+F122</f>
        <v>16.363480541440143</v>
      </c>
    </row>
    <row r="15" spans="1:11" ht="12.75">
      <c r="A15" s="20">
        <v>7</v>
      </c>
      <c r="B15" s="20" t="s">
        <v>33</v>
      </c>
      <c r="C15" s="20"/>
      <c r="D15" s="36">
        <f>+D61*F123</f>
        <v>25405216.746239997</v>
      </c>
      <c r="E15" s="36">
        <f>IF(D123&lt;$E$100,E123*D61,D15)</f>
        <v>32477654.04</v>
      </c>
      <c r="F15" s="37">
        <f t="shared" si="0"/>
        <v>7072437.293760002</v>
      </c>
      <c r="G15" s="38">
        <v>35431</v>
      </c>
      <c r="H15" s="38">
        <v>36861</v>
      </c>
      <c r="I15" s="54">
        <f>2000-1997</f>
        <v>3</v>
      </c>
      <c r="J15" s="21" t="s">
        <v>79</v>
      </c>
      <c r="K15" s="55">
        <f>+F123</f>
        <v>26.37702549661166</v>
      </c>
    </row>
    <row r="16" spans="1:12" ht="12.75">
      <c r="A16" s="20">
        <v>8</v>
      </c>
      <c r="B16" s="58" t="s">
        <v>34</v>
      </c>
      <c r="C16" s="20"/>
      <c r="D16" s="36">
        <f>+D62*F124</f>
        <v>20621725.8768</v>
      </c>
      <c r="E16" s="36">
        <f>IF(D124&lt;$E$100,E124*D62,D16)</f>
        <v>20621725.8768</v>
      </c>
      <c r="F16" s="37">
        <f t="shared" si="0"/>
        <v>0</v>
      </c>
      <c r="G16" s="38">
        <v>35278</v>
      </c>
      <c r="H16" s="38">
        <v>37803</v>
      </c>
      <c r="I16" s="54">
        <f>2003-1996</f>
        <v>7</v>
      </c>
      <c r="J16" s="21">
        <v>2.5</v>
      </c>
      <c r="K16" s="55">
        <f>+F124</f>
        <v>35.65428589646945</v>
      </c>
      <c r="L16" t="s">
        <v>121</v>
      </c>
    </row>
    <row r="17" spans="1:11" ht="12.75">
      <c r="A17" s="20">
        <v>9</v>
      </c>
      <c r="B17" s="56" t="s">
        <v>35</v>
      </c>
      <c r="C17" s="20"/>
      <c r="D17" s="36">
        <f>+D63*F125</f>
        <v>696540.4368</v>
      </c>
      <c r="E17" s="36">
        <f>IF(D125&lt;$E$100,E125*D63,D17)</f>
        <v>1628406.24</v>
      </c>
      <c r="F17" s="37">
        <f t="shared" si="0"/>
        <v>931865.8032</v>
      </c>
      <c r="G17" s="38">
        <v>35339</v>
      </c>
      <c r="H17" s="38">
        <v>37135</v>
      </c>
      <c r="I17" s="54">
        <f>2001-1996</f>
        <v>5</v>
      </c>
      <c r="J17" s="21">
        <v>1</v>
      </c>
      <c r="K17" s="55">
        <f>+F125</f>
        <v>14.42351604406527</v>
      </c>
    </row>
    <row r="18" spans="1:11" ht="12.75">
      <c r="A18" s="20">
        <v>10</v>
      </c>
      <c r="B18" s="56" t="s">
        <v>38</v>
      </c>
      <c r="C18" s="20"/>
      <c r="D18" s="36">
        <f>+D66*F128</f>
        <v>2661294.1824000003</v>
      </c>
      <c r="E18" s="36">
        <f>IF(D128&lt;$E$100,E128*D66,D18)</f>
        <v>4896144</v>
      </c>
      <c r="F18" s="37">
        <f t="shared" si="0"/>
        <v>2234849.8175999997</v>
      </c>
      <c r="G18" s="38">
        <v>35674</v>
      </c>
      <c r="H18" s="38">
        <v>37347</v>
      </c>
      <c r="I18" s="54">
        <f>2002-1997</f>
        <v>5</v>
      </c>
      <c r="J18" s="21">
        <v>1.5</v>
      </c>
      <c r="K18" s="55">
        <f>+F128</f>
        <v>18.328472330578514</v>
      </c>
    </row>
    <row r="19" spans="1:12" ht="12.75">
      <c r="A19" s="20">
        <v>11</v>
      </c>
      <c r="B19" s="56" t="s">
        <v>114</v>
      </c>
      <c r="C19" s="20"/>
      <c r="D19" s="36">
        <f>+D67*F129</f>
        <v>1168265.9568</v>
      </c>
      <c r="E19" s="36">
        <f>IF(D129&lt;$E$100,E129*D67,D19)</f>
        <v>2341348.1999999997</v>
      </c>
      <c r="F19" s="37">
        <f t="shared" si="0"/>
        <v>1173082.2431999997</v>
      </c>
      <c r="G19" s="38">
        <v>35551</v>
      </c>
      <c r="H19" s="38">
        <v>37347</v>
      </c>
      <c r="I19" s="54">
        <f>2002-1997</f>
        <v>5</v>
      </c>
      <c r="J19" s="21">
        <v>1.5</v>
      </c>
      <c r="K19" s="55">
        <f>+F129</f>
        <v>16.82531802117088</v>
      </c>
      <c r="L19" t="s">
        <v>115</v>
      </c>
    </row>
    <row r="20" spans="1:11" ht="12.75">
      <c r="A20" s="20">
        <v>12</v>
      </c>
      <c r="B20" s="57" t="s">
        <v>116</v>
      </c>
      <c r="C20" s="42"/>
      <c r="D20" s="36">
        <f>+D68*F130</f>
        <v>1198821.8496</v>
      </c>
      <c r="E20" s="36">
        <f>IF(D130&lt;$E$100,E130*D68,D20)</f>
        <v>2546028.6</v>
      </c>
      <c r="F20" s="37">
        <f t="shared" si="0"/>
        <v>1347206.7504</v>
      </c>
      <c r="G20" s="38">
        <v>35704</v>
      </c>
      <c r="H20" s="38">
        <v>36770</v>
      </c>
      <c r="I20" s="54">
        <f>2000-1997</f>
        <v>3</v>
      </c>
      <c r="J20" s="21">
        <v>0</v>
      </c>
      <c r="K20" s="55">
        <f>+F130</f>
        <v>15.877383611681346</v>
      </c>
    </row>
    <row r="21" spans="1:11" ht="12.75">
      <c r="A21" s="20">
        <v>13</v>
      </c>
      <c r="B21" s="56" t="s">
        <v>117</v>
      </c>
      <c r="C21" s="20"/>
      <c r="D21" s="36">
        <f>+D69*F131</f>
        <v>1367876.9664</v>
      </c>
      <c r="E21" s="36">
        <f>IF(D131&lt;$E$100,E131*D69,D21)</f>
        <v>2961964.8</v>
      </c>
      <c r="F21" s="37">
        <f t="shared" si="0"/>
        <v>1594087.8335999998</v>
      </c>
      <c r="G21" s="38">
        <v>35765</v>
      </c>
      <c r="H21" s="38">
        <v>37561</v>
      </c>
      <c r="I21" s="54">
        <f>2002-1997</f>
        <v>5</v>
      </c>
      <c r="J21" s="21">
        <v>2</v>
      </c>
      <c r="K21" s="55">
        <f>+F131</f>
        <v>15.572369836065574</v>
      </c>
    </row>
    <row r="22" spans="1:12" ht="12.75">
      <c r="A22" s="20">
        <v>14</v>
      </c>
      <c r="B22" s="58" t="s">
        <v>46</v>
      </c>
      <c r="C22" s="20"/>
      <c r="D22" s="36">
        <f>+D74*F136</f>
        <v>3858156.9168</v>
      </c>
      <c r="E22" s="36">
        <f>IF(D136&lt;$E$100,E136*D74,D22)</f>
        <v>4465505.88</v>
      </c>
      <c r="F22" s="37">
        <f t="shared" si="0"/>
        <v>607348.9632000001</v>
      </c>
      <c r="G22" s="38">
        <v>35855</v>
      </c>
      <c r="H22" s="38">
        <v>37469</v>
      </c>
      <c r="I22" s="54">
        <f>2002-1998</f>
        <v>4</v>
      </c>
      <c r="J22" s="21">
        <v>1.5</v>
      </c>
      <c r="K22" s="55">
        <f>+F136</f>
        <v>29.133776716580204</v>
      </c>
      <c r="L22" t="s">
        <v>111</v>
      </c>
    </row>
    <row r="23" spans="1:11" ht="12.75">
      <c r="A23" s="20">
        <v>15</v>
      </c>
      <c r="B23" s="43" t="s">
        <v>103</v>
      </c>
      <c r="C23" s="43"/>
      <c r="D23" s="44">
        <f>+D78*F140</f>
        <v>13802334.336</v>
      </c>
      <c r="E23" s="44">
        <f>IF(D140&lt;$E$100,E140*D78,D23)</f>
        <v>29619648</v>
      </c>
      <c r="F23" s="45">
        <f t="shared" si="0"/>
        <v>15817313.664</v>
      </c>
      <c r="G23" s="46">
        <v>35796</v>
      </c>
      <c r="H23" s="46">
        <v>37226</v>
      </c>
      <c r="I23" s="54">
        <f>2001-1998</f>
        <v>3</v>
      </c>
      <c r="J23" s="21">
        <v>1</v>
      </c>
      <c r="K23" s="55">
        <f>+F140</f>
        <v>15.71304</v>
      </c>
    </row>
    <row r="24" spans="4:5" ht="12.75">
      <c r="D24" s="1" t="s">
        <v>56</v>
      </c>
      <c r="E24" s="1"/>
    </row>
    <row r="25" spans="1:7" ht="12.75">
      <c r="A25" s="53" t="s">
        <v>106</v>
      </c>
      <c r="D25" s="1">
        <f>SUM(D9:D23)</f>
        <v>152203253.41996148</v>
      </c>
      <c r="E25" s="1">
        <f>SUM(E9:E23)</f>
        <v>215364612.58626547</v>
      </c>
      <c r="F25" s="36">
        <f>SUM(F9:F23)</f>
        <v>63161359.16630399</v>
      </c>
      <c r="G25" s="33" t="s">
        <v>120</v>
      </c>
    </row>
    <row r="26" spans="4:7" ht="12.75">
      <c r="D26" s="10"/>
      <c r="F26" s="37">
        <f>+'Exhibit No. 8.2 Top Sheet'!G10</f>
        <v>23409721.93888837</v>
      </c>
      <c r="G26" s="4" t="s">
        <v>122</v>
      </c>
    </row>
    <row r="27" spans="1:4" ht="12.75">
      <c r="A27" t="s">
        <v>0</v>
      </c>
      <c r="D27" t="s">
        <v>1</v>
      </c>
    </row>
    <row r="28" spans="1:4" ht="12.75">
      <c r="A28" t="s">
        <v>2</v>
      </c>
      <c r="D28" t="s">
        <v>59</v>
      </c>
    </row>
    <row r="29" spans="1:4" ht="12.75">
      <c r="A29" t="s">
        <v>4</v>
      </c>
      <c r="D29" t="s">
        <v>60</v>
      </c>
    </row>
    <row r="31" ht="12.75">
      <c r="D31" t="s">
        <v>6</v>
      </c>
    </row>
    <row r="32" ht="12.75">
      <c r="D32" t="s">
        <v>7</v>
      </c>
    </row>
    <row r="33" ht="12.75">
      <c r="D33" t="s">
        <v>8</v>
      </c>
    </row>
    <row r="35" spans="1:4" ht="12.75">
      <c r="A35" t="s">
        <v>61</v>
      </c>
      <c r="D35">
        <v>52876916</v>
      </c>
    </row>
    <row r="37" ht="12.75">
      <c r="A37" t="s">
        <v>9</v>
      </c>
    </row>
    <row r="38" spans="2:4" ht="12.75">
      <c r="B38" t="s">
        <v>10</v>
      </c>
      <c r="D38">
        <v>501159</v>
      </c>
    </row>
    <row r="39" spans="2:4" ht="12.75">
      <c r="B39" t="s">
        <v>11</v>
      </c>
      <c r="D39">
        <v>621833</v>
      </c>
    </row>
    <row r="40" spans="2:4" ht="12.75">
      <c r="B40" t="s">
        <v>12</v>
      </c>
      <c r="D40">
        <v>621833</v>
      </c>
    </row>
    <row r="41" spans="2:4" ht="12.75">
      <c r="B41" t="s">
        <v>13</v>
      </c>
      <c r="D41">
        <v>350400</v>
      </c>
    </row>
    <row r="42" spans="2:4" ht="12.75">
      <c r="B42" t="s">
        <v>14</v>
      </c>
      <c r="D42">
        <v>0</v>
      </c>
    </row>
    <row r="43" spans="2:4" ht="12.75">
      <c r="B43" t="s">
        <v>15</v>
      </c>
      <c r="D43">
        <v>426599</v>
      </c>
    </row>
    <row r="44" spans="2:4" ht="12.75">
      <c r="B44" t="s">
        <v>16</v>
      </c>
      <c r="D44">
        <v>1094215</v>
      </c>
    </row>
    <row r="45" spans="2:4" ht="12.75">
      <c r="B45" t="s">
        <v>17</v>
      </c>
      <c r="D45">
        <v>459495</v>
      </c>
    </row>
    <row r="46" spans="2:4" ht="12.75">
      <c r="B46" t="s">
        <v>18</v>
      </c>
      <c r="D46">
        <v>42629</v>
      </c>
    </row>
    <row r="47" spans="2:4" ht="12.75">
      <c r="B47" t="s">
        <v>19</v>
      </c>
      <c r="D47">
        <v>0</v>
      </c>
    </row>
    <row r="48" spans="2:4" ht="12.75">
      <c r="B48" t="s">
        <v>20</v>
      </c>
      <c r="D48">
        <v>607081</v>
      </c>
    </row>
    <row r="49" spans="2:4" ht="12.75">
      <c r="B49" t="s">
        <v>21</v>
      </c>
      <c r="D49">
        <v>524818.4</v>
      </c>
    </row>
    <row r="50" spans="2:4" ht="12.75">
      <c r="B50" t="s">
        <v>22</v>
      </c>
      <c r="D50">
        <v>597271</v>
      </c>
    </row>
    <row r="51" spans="2:4" ht="12.75">
      <c r="B51" t="s">
        <v>23</v>
      </c>
      <c r="D51">
        <v>1159572</v>
      </c>
    </row>
    <row r="52" spans="2:4" ht="12.75">
      <c r="B52" t="s">
        <v>24</v>
      </c>
      <c r="D52">
        <v>0</v>
      </c>
    </row>
    <row r="53" spans="2:4" ht="12.75">
      <c r="B53" t="s">
        <v>25</v>
      </c>
      <c r="D53">
        <v>373091</v>
      </c>
    </row>
    <row r="54" spans="2:4" ht="12.75">
      <c r="B54" t="s">
        <v>26</v>
      </c>
      <c r="D54">
        <v>1433013</v>
      </c>
    </row>
    <row r="55" spans="2:4" ht="12.75">
      <c r="B55" t="s">
        <v>27</v>
      </c>
      <c r="D55">
        <v>667826</v>
      </c>
    </row>
    <row r="56" spans="2:4" ht="12.75">
      <c r="B56" t="s">
        <v>28</v>
      </c>
      <c r="D56">
        <v>2380</v>
      </c>
    </row>
    <row r="57" spans="2:4" ht="12.75">
      <c r="B57" t="s">
        <v>29</v>
      </c>
      <c r="D57">
        <v>1015</v>
      </c>
    </row>
    <row r="58" spans="2:4" ht="12.75">
      <c r="B58" t="s">
        <v>30</v>
      </c>
      <c r="D58">
        <v>239115</v>
      </c>
    </row>
    <row r="59" spans="2:4" ht="12.75">
      <c r="B59" t="s">
        <v>31</v>
      </c>
      <c r="D59">
        <v>0</v>
      </c>
    </row>
    <row r="60" spans="2:4" ht="12.75">
      <c r="B60" t="s">
        <v>32</v>
      </c>
      <c r="D60">
        <v>360520</v>
      </c>
    </row>
    <row r="61" spans="2:4" ht="12.75">
      <c r="B61" t="s">
        <v>33</v>
      </c>
      <c r="D61">
        <v>963157</v>
      </c>
    </row>
    <row r="62" spans="2:4" ht="12.75">
      <c r="B62" t="s">
        <v>34</v>
      </c>
      <c r="D62">
        <v>578380</v>
      </c>
    </row>
    <row r="63" spans="2:4" ht="12.75">
      <c r="B63" t="s">
        <v>35</v>
      </c>
      <c r="D63">
        <v>48292</v>
      </c>
    </row>
    <row r="64" spans="2:4" ht="12.75">
      <c r="B64" t="s">
        <v>36</v>
      </c>
      <c r="D64">
        <v>136489</v>
      </c>
    </row>
    <row r="65" spans="2:4" ht="12.75">
      <c r="B65" t="s">
        <v>37</v>
      </c>
      <c r="D65">
        <v>0</v>
      </c>
    </row>
    <row r="66" spans="2:4" ht="12.75">
      <c r="B66" t="s">
        <v>38</v>
      </c>
      <c r="D66">
        <v>145200</v>
      </c>
    </row>
    <row r="67" spans="2:4" ht="12.75">
      <c r="B67" t="s">
        <v>39</v>
      </c>
      <c r="D67">
        <v>69435</v>
      </c>
    </row>
    <row r="68" spans="2:4" ht="12.75">
      <c r="B68" t="s">
        <v>40</v>
      </c>
      <c r="D68">
        <v>75505</v>
      </c>
    </row>
    <row r="69" spans="2:4" ht="12.75">
      <c r="B69" t="s">
        <v>41</v>
      </c>
      <c r="D69">
        <v>87840</v>
      </c>
    </row>
    <row r="70" spans="2:4" ht="12.75">
      <c r="B70" t="s">
        <v>42</v>
      </c>
      <c r="D70">
        <v>7682</v>
      </c>
    </row>
    <row r="71" spans="2:4" ht="12.75">
      <c r="B71" t="s">
        <v>43</v>
      </c>
      <c r="D71">
        <v>114146</v>
      </c>
    </row>
    <row r="72" spans="2:4" ht="12.75">
      <c r="B72" t="s">
        <v>44</v>
      </c>
      <c r="D72">
        <v>37193</v>
      </c>
    </row>
    <row r="73" spans="2:4" ht="12.75">
      <c r="B73" t="s">
        <v>45</v>
      </c>
      <c r="D73">
        <v>41984</v>
      </c>
    </row>
    <row r="74" spans="2:4" ht="12.75">
      <c r="B74" t="s">
        <v>46</v>
      </c>
      <c r="D74">
        <v>132429</v>
      </c>
    </row>
    <row r="75" spans="2:4" ht="12.75">
      <c r="B75" t="s">
        <v>47</v>
      </c>
      <c r="D75">
        <v>183502</v>
      </c>
    </row>
    <row r="76" spans="2:4" ht="12.75">
      <c r="B76" t="s">
        <v>48</v>
      </c>
      <c r="D76">
        <v>614880</v>
      </c>
    </row>
    <row r="77" spans="2:4" ht="12.75">
      <c r="B77" t="s">
        <v>49</v>
      </c>
      <c r="D77">
        <v>42789</v>
      </c>
    </row>
    <row r="78" spans="2:4" ht="12.75">
      <c r="B78" s="34" t="s">
        <v>103</v>
      </c>
      <c r="C78" s="34"/>
      <c r="D78" s="34">
        <v>878400</v>
      </c>
    </row>
    <row r="79" spans="2:4" ht="12.75">
      <c r="B79" t="s">
        <v>50</v>
      </c>
      <c r="D79">
        <v>4781649.114217984</v>
      </c>
    </row>
    <row r="80" spans="2:4" ht="12.75">
      <c r="B80" t="s">
        <v>51</v>
      </c>
      <c r="D80">
        <v>2378773.8857820174</v>
      </c>
    </row>
    <row r="81" spans="2:4" ht="12.75">
      <c r="B81" t="s">
        <v>52</v>
      </c>
      <c r="D81">
        <v>7151989</v>
      </c>
    </row>
    <row r="82" spans="2:4" ht="12.75">
      <c r="B82" t="s">
        <v>53</v>
      </c>
      <c r="D82">
        <v>336351.16039553354</v>
      </c>
    </row>
    <row r="84" spans="3:4" ht="12.75">
      <c r="C84" t="s">
        <v>54</v>
      </c>
      <c r="D84">
        <v>272468.49349139794</v>
      </c>
    </row>
    <row r="85" spans="3:4" ht="12.75">
      <c r="C85" t="s">
        <v>55</v>
      </c>
      <c r="D85">
        <v>63882.66690413561</v>
      </c>
    </row>
    <row r="86" ht="12.75">
      <c r="D86" t="s">
        <v>56</v>
      </c>
    </row>
    <row r="87" spans="1:4" ht="12.75">
      <c r="A87" t="s">
        <v>57</v>
      </c>
      <c r="D87">
        <v>28011531.560395535</v>
      </c>
    </row>
    <row r="88" ht="12.75">
      <c r="D88" t="s">
        <v>58</v>
      </c>
    </row>
    <row r="89" spans="1:4" ht="12.75">
      <c r="A89" t="s">
        <v>62</v>
      </c>
      <c r="D89">
        <v>80888447.56039554</v>
      </c>
    </row>
    <row r="90" ht="12.75">
      <c r="D90" t="s">
        <v>58</v>
      </c>
    </row>
    <row r="91" ht="12.75">
      <c r="D91" s="9">
        <f>SUM(D38:D77)</f>
        <v>13362768.4</v>
      </c>
    </row>
    <row r="92" spans="1:4" ht="12.75">
      <c r="A92" t="s">
        <v>0</v>
      </c>
      <c r="D92" t="s">
        <v>1</v>
      </c>
    </row>
    <row r="93" spans="1:4" ht="12.75">
      <c r="A93" t="s">
        <v>2</v>
      </c>
      <c r="D93" t="s">
        <v>63</v>
      </c>
    </row>
    <row r="94" spans="1:4" ht="12.75">
      <c r="A94" t="s">
        <v>4</v>
      </c>
      <c r="D94" t="s">
        <v>64</v>
      </c>
    </row>
    <row r="96" spans="4:6" ht="12.75">
      <c r="D96" t="s">
        <v>6</v>
      </c>
      <c r="E96" t="s">
        <v>72</v>
      </c>
      <c r="F96" t="s">
        <v>75</v>
      </c>
    </row>
    <row r="97" spans="4:6" ht="12.75">
      <c r="D97" t="s">
        <v>7</v>
      </c>
      <c r="E97" s="4"/>
      <c r="F97" t="s">
        <v>76</v>
      </c>
    </row>
    <row r="98" spans="4:6" ht="12.75">
      <c r="D98" t="s">
        <v>8</v>
      </c>
      <c r="E98" t="s">
        <v>8</v>
      </c>
      <c r="F98" t="s">
        <v>8</v>
      </c>
    </row>
    <row r="99" ht="13.5" thickBot="1">
      <c r="A99" t="s">
        <v>65</v>
      </c>
    </row>
    <row r="100" spans="2:8" ht="13.5" thickBot="1">
      <c r="B100" t="s">
        <v>10</v>
      </c>
      <c r="D100" s="12">
        <v>28.855746798920105</v>
      </c>
      <c r="E100" s="59">
        <f>+'Exhibit No. 8.2 Worksheet'!G2</f>
        <v>33.72</v>
      </c>
      <c r="F100" s="12">
        <f aca="true" t="shared" si="1" ref="F100:F144">+D100*(1-0.0448)</f>
        <v>27.563009342328485</v>
      </c>
      <c r="G100"/>
      <c r="H100" s="11"/>
    </row>
    <row r="101" spans="2:7" ht="12.75">
      <c r="B101" t="s">
        <v>11</v>
      </c>
      <c r="D101" s="12">
        <v>47.66535113125227</v>
      </c>
      <c r="E101" s="12">
        <f>+E100</f>
        <v>33.72</v>
      </c>
      <c r="F101" s="12">
        <f t="shared" si="1"/>
        <v>45.52994340057217</v>
      </c>
      <c r="G101"/>
    </row>
    <row r="102" spans="2:7" ht="12.75">
      <c r="B102" t="s">
        <v>12</v>
      </c>
      <c r="D102" s="12">
        <v>47.66535113125227</v>
      </c>
      <c r="E102" s="12">
        <f aca="true" t="shared" si="2" ref="E102:E144">+E101</f>
        <v>33.72</v>
      </c>
      <c r="F102" s="12">
        <f t="shared" si="1"/>
        <v>45.52994340057217</v>
      </c>
      <c r="G102"/>
    </row>
    <row r="103" spans="2:7" ht="12.75">
      <c r="B103" t="s">
        <v>13</v>
      </c>
      <c r="D103" s="12">
        <v>14.56</v>
      </c>
      <c r="E103" s="12">
        <f t="shared" si="2"/>
        <v>33.72</v>
      </c>
      <c r="F103" s="12">
        <f t="shared" si="1"/>
        <v>13.907712000000002</v>
      </c>
      <c r="G103"/>
    </row>
    <row r="104" spans="1:7" ht="12.75">
      <c r="A104" s="4"/>
      <c r="B104" t="s">
        <v>14</v>
      </c>
      <c r="D104" s="12">
        <v>0</v>
      </c>
      <c r="E104" s="12">
        <f t="shared" si="2"/>
        <v>33.72</v>
      </c>
      <c r="F104" s="12">
        <f t="shared" si="1"/>
        <v>0</v>
      </c>
      <c r="G104"/>
    </row>
    <row r="105" spans="2:7" ht="12.75">
      <c r="B105" t="s">
        <v>15</v>
      </c>
      <c r="D105" s="12">
        <v>37.25099097747533</v>
      </c>
      <c r="E105" s="12">
        <f t="shared" si="2"/>
        <v>33.72</v>
      </c>
      <c r="F105" s="12">
        <f t="shared" si="1"/>
        <v>35.58214658168444</v>
      </c>
      <c r="G105"/>
    </row>
    <row r="106" spans="2:7" ht="12.75">
      <c r="B106" t="s">
        <v>16</v>
      </c>
      <c r="D106" s="12">
        <v>44.48951376100675</v>
      </c>
      <c r="E106" s="12">
        <f t="shared" si="2"/>
        <v>33.72</v>
      </c>
      <c r="F106" s="12">
        <f t="shared" si="1"/>
        <v>42.49638354451365</v>
      </c>
      <c r="G106"/>
    </row>
    <row r="107" spans="2:7" ht="12.75">
      <c r="B107" t="s">
        <v>17</v>
      </c>
      <c r="D107" s="12">
        <v>46.07483759344497</v>
      </c>
      <c r="E107" s="12">
        <f t="shared" si="2"/>
        <v>33.72</v>
      </c>
      <c r="F107" s="12">
        <f t="shared" si="1"/>
        <v>44.01068486925863</v>
      </c>
      <c r="G107"/>
    </row>
    <row r="108" spans="2:7" ht="12.75">
      <c r="B108" t="s">
        <v>18</v>
      </c>
      <c r="D108" s="12">
        <v>56.00516784348684</v>
      </c>
      <c r="E108" s="12">
        <f t="shared" si="2"/>
        <v>33.72</v>
      </c>
      <c r="F108" s="12">
        <f t="shared" si="1"/>
        <v>53.49613632409863</v>
      </c>
      <c r="G108"/>
    </row>
    <row r="109" spans="2:7" ht="12.75">
      <c r="B109" t="s">
        <v>19</v>
      </c>
      <c r="D109" s="12">
        <v>0</v>
      </c>
      <c r="E109" s="12">
        <f t="shared" si="2"/>
        <v>33.72</v>
      </c>
      <c r="F109" s="12">
        <f t="shared" si="1"/>
        <v>0</v>
      </c>
      <c r="G109"/>
    </row>
    <row r="110" spans="2:7" ht="12.75">
      <c r="B110" t="s">
        <v>20</v>
      </c>
      <c r="D110" s="12">
        <v>52.13034438567505</v>
      </c>
      <c r="E110" s="12">
        <f t="shared" si="2"/>
        <v>33.72</v>
      </c>
      <c r="F110" s="12">
        <f t="shared" si="1"/>
        <v>49.79490495719681</v>
      </c>
      <c r="G110"/>
    </row>
    <row r="111" spans="2:7" ht="12.75">
      <c r="B111" t="s">
        <v>21</v>
      </c>
      <c r="D111" s="12">
        <v>36.2937760721306</v>
      </c>
      <c r="E111" s="12">
        <f t="shared" si="2"/>
        <v>33.72</v>
      </c>
      <c r="F111" s="12">
        <f t="shared" si="1"/>
        <v>34.667814904099146</v>
      </c>
      <c r="G111"/>
    </row>
    <row r="112" spans="1:7" ht="12.75">
      <c r="A112" s="4"/>
      <c r="B112" t="s">
        <v>22</v>
      </c>
      <c r="D112" s="12">
        <v>40.81924576950831</v>
      </c>
      <c r="E112" s="12">
        <f t="shared" si="2"/>
        <v>33.72</v>
      </c>
      <c r="F112" s="12">
        <f t="shared" si="1"/>
        <v>38.99054355903434</v>
      </c>
      <c r="G112"/>
    </row>
    <row r="113" spans="2:7" ht="12.75">
      <c r="B113" t="s">
        <v>23</v>
      </c>
      <c r="D113" s="12">
        <v>42.27545025233448</v>
      </c>
      <c r="E113" s="12">
        <f t="shared" si="2"/>
        <v>33.72</v>
      </c>
      <c r="F113" s="12">
        <f t="shared" si="1"/>
        <v>40.381510081029894</v>
      </c>
      <c r="G113"/>
    </row>
    <row r="114" spans="1:7" ht="12.75">
      <c r="A114" s="4"/>
      <c r="B114" t="s">
        <v>24</v>
      </c>
      <c r="D114" s="12">
        <v>0</v>
      </c>
      <c r="E114" s="12">
        <f t="shared" si="2"/>
        <v>33.72</v>
      </c>
      <c r="F114" s="12">
        <f t="shared" si="1"/>
        <v>0</v>
      </c>
      <c r="G114"/>
    </row>
    <row r="115" spans="1:7" ht="12.75">
      <c r="A115" s="4"/>
      <c r="B115" t="s">
        <v>25</v>
      </c>
      <c r="D115" s="12">
        <v>30.336624040783615</v>
      </c>
      <c r="E115" s="12">
        <f t="shared" si="2"/>
        <v>33.72</v>
      </c>
      <c r="F115" s="12">
        <f t="shared" si="1"/>
        <v>28.97754328375651</v>
      </c>
      <c r="G115"/>
    </row>
    <row r="116" spans="1:7" ht="12.75">
      <c r="A116" s="5"/>
      <c r="B116" t="s">
        <v>26</v>
      </c>
      <c r="D116" s="12">
        <v>23.257765547137396</v>
      </c>
      <c r="E116" s="12">
        <f t="shared" si="2"/>
        <v>33.72</v>
      </c>
      <c r="F116" s="12">
        <f t="shared" si="1"/>
        <v>22.21581765062564</v>
      </c>
      <c r="G116"/>
    </row>
    <row r="117" spans="1:7" ht="12.75">
      <c r="A117" s="4"/>
      <c r="B117" t="s">
        <v>27</v>
      </c>
      <c r="D117" s="12">
        <v>23</v>
      </c>
      <c r="E117" s="12">
        <f t="shared" si="2"/>
        <v>33.72</v>
      </c>
      <c r="F117" s="12">
        <f t="shared" si="1"/>
        <v>21.9696</v>
      </c>
      <c r="G117"/>
    </row>
    <row r="118" spans="2:7" ht="12.75">
      <c r="B118" t="s">
        <v>28</v>
      </c>
      <c r="D118" s="12">
        <v>333.12605042016804</v>
      </c>
      <c r="E118" s="12">
        <f t="shared" si="2"/>
        <v>33.72</v>
      </c>
      <c r="F118" s="12">
        <f t="shared" si="1"/>
        <v>318.2020033613445</v>
      </c>
      <c r="G118"/>
    </row>
    <row r="119" spans="2:7" ht="12.75">
      <c r="B119" t="s">
        <v>29</v>
      </c>
      <c r="D119" s="12">
        <v>11</v>
      </c>
      <c r="E119" s="12">
        <f t="shared" si="2"/>
        <v>33.72</v>
      </c>
      <c r="F119" s="12">
        <f t="shared" si="1"/>
        <v>10.507200000000001</v>
      </c>
      <c r="G119"/>
    </row>
    <row r="120" spans="2:7" ht="12.75">
      <c r="B120" t="s">
        <v>30</v>
      </c>
      <c r="D120" s="12">
        <v>40.73252012629906</v>
      </c>
      <c r="E120" s="12">
        <f t="shared" si="2"/>
        <v>33.72</v>
      </c>
      <c r="F120" s="12">
        <f t="shared" si="1"/>
        <v>38.90770322464086</v>
      </c>
      <c r="G120"/>
    </row>
    <row r="121" spans="2:7" ht="12.75">
      <c r="B121" t="s">
        <v>31</v>
      </c>
      <c r="D121" s="12">
        <v>0</v>
      </c>
      <c r="E121" s="12">
        <f t="shared" si="2"/>
        <v>33.72</v>
      </c>
      <c r="F121" s="12">
        <f t="shared" si="1"/>
        <v>0</v>
      </c>
      <c r="G121"/>
    </row>
    <row r="122" spans="1:7" ht="12.75">
      <c r="A122" s="5"/>
      <c r="B122" t="s">
        <v>32</v>
      </c>
      <c r="D122" s="12">
        <v>17.130946965494285</v>
      </c>
      <c r="E122" s="12">
        <f t="shared" si="2"/>
        <v>33.72</v>
      </c>
      <c r="F122" s="12">
        <f t="shared" si="1"/>
        <v>16.363480541440143</v>
      </c>
      <c r="G122"/>
    </row>
    <row r="123" spans="1:7" ht="12.75">
      <c r="A123" s="4"/>
      <c r="B123" t="s">
        <v>33</v>
      </c>
      <c r="D123" s="12">
        <v>27.61413892023834</v>
      </c>
      <c r="E123" s="12">
        <f t="shared" si="2"/>
        <v>33.72</v>
      </c>
      <c r="F123" s="12">
        <f t="shared" si="1"/>
        <v>26.37702549661166</v>
      </c>
      <c r="G123"/>
    </row>
    <row r="124" spans="2:7" ht="12.75">
      <c r="B124" t="s">
        <v>34</v>
      </c>
      <c r="D124" s="12">
        <v>37.32651371070922</v>
      </c>
      <c r="E124" s="12">
        <f t="shared" si="2"/>
        <v>33.72</v>
      </c>
      <c r="F124" s="12">
        <f t="shared" si="1"/>
        <v>35.65428589646945</v>
      </c>
      <c r="G124"/>
    </row>
    <row r="125" spans="1:7" ht="12.75">
      <c r="A125" s="5"/>
      <c r="B125" t="s">
        <v>35</v>
      </c>
      <c r="D125" s="12">
        <v>15.099995858527292</v>
      </c>
      <c r="E125" s="12">
        <f t="shared" si="2"/>
        <v>33.72</v>
      </c>
      <c r="F125" s="12">
        <f t="shared" si="1"/>
        <v>14.42351604406527</v>
      </c>
      <c r="G125"/>
    </row>
    <row r="126" spans="2:7" ht="12.75">
      <c r="B126" t="s">
        <v>36</v>
      </c>
      <c r="D126" s="12">
        <v>26.186601118038816</v>
      </c>
      <c r="E126" s="12">
        <f t="shared" si="2"/>
        <v>33.72</v>
      </c>
      <c r="F126" s="12">
        <f t="shared" si="1"/>
        <v>25.013441387950678</v>
      </c>
      <c r="G126"/>
    </row>
    <row r="127" spans="1:7" ht="12.75">
      <c r="A127" s="4"/>
      <c r="B127" t="s">
        <v>37</v>
      </c>
      <c r="D127" s="12">
        <v>0</v>
      </c>
      <c r="E127" s="12">
        <f t="shared" si="2"/>
        <v>33.72</v>
      </c>
      <c r="F127" s="12">
        <f t="shared" si="1"/>
        <v>0</v>
      </c>
      <c r="G127"/>
    </row>
    <row r="128" spans="2:7" ht="12.75">
      <c r="B128" t="s">
        <v>38</v>
      </c>
      <c r="D128" s="12">
        <v>19.18809917355372</v>
      </c>
      <c r="E128" s="12">
        <f t="shared" si="2"/>
        <v>33.72</v>
      </c>
      <c r="F128" s="12">
        <f t="shared" si="1"/>
        <v>18.328472330578514</v>
      </c>
      <c r="G128"/>
    </row>
    <row r="129" spans="2:7" ht="12.75">
      <c r="B129" t="s">
        <v>39</v>
      </c>
      <c r="D129" s="12">
        <v>17.614445164542378</v>
      </c>
      <c r="E129" s="12">
        <f t="shared" si="2"/>
        <v>33.72</v>
      </c>
      <c r="F129" s="12">
        <f t="shared" si="1"/>
        <v>16.82531802117088</v>
      </c>
      <c r="G129"/>
    </row>
    <row r="130" spans="1:7" ht="12.75">
      <c r="A130" s="13"/>
      <c r="B130" s="3" t="s">
        <v>40</v>
      </c>
      <c r="C130" s="3"/>
      <c r="D130" s="14">
        <v>16.622051519766902</v>
      </c>
      <c r="E130" s="14">
        <f t="shared" si="2"/>
        <v>33.72</v>
      </c>
      <c r="F130" s="12">
        <f t="shared" si="1"/>
        <v>15.877383611681346</v>
      </c>
      <c r="G130"/>
    </row>
    <row r="131" spans="2:7" ht="12.75">
      <c r="B131" t="s">
        <v>41</v>
      </c>
      <c r="D131" s="12">
        <v>16.30273224043716</v>
      </c>
      <c r="E131" s="12">
        <f t="shared" si="2"/>
        <v>33.72</v>
      </c>
      <c r="F131" s="12">
        <f t="shared" si="1"/>
        <v>15.572369836065574</v>
      </c>
      <c r="G131"/>
    </row>
    <row r="132" spans="2:7" ht="12.75">
      <c r="B132" t="s">
        <v>42</v>
      </c>
      <c r="D132" s="12">
        <v>28</v>
      </c>
      <c r="E132" s="12">
        <f t="shared" si="2"/>
        <v>33.72</v>
      </c>
      <c r="F132" s="12">
        <f t="shared" si="1"/>
        <v>26.745600000000003</v>
      </c>
      <c r="G132"/>
    </row>
    <row r="133" spans="2:7" ht="12.75">
      <c r="B133" t="s">
        <v>43</v>
      </c>
      <c r="D133" s="12">
        <v>49.82749286002137</v>
      </c>
      <c r="E133" s="12">
        <f t="shared" si="2"/>
        <v>33.72</v>
      </c>
      <c r="F133" s="12">
        <f t="shared" si="1"/>
        <v>47.59522117989242</v>
      </c>
      <c r="G133"/>
    </row>
    <row r="134" spans="1:7" ht="12.75">
      <c r="A134" s="4"/>
      <c r="B134" t="s">
        <v>44</v>
      </c>
      <c r="D134" s="12">
        <v>52.24297152690023</v>
      </c>
      <c r="E134" s="12">
        <f t="shared" si="2"/>
        <v>33.72</v>
      </c>
      <c r="F134" s="12">
        <f t="shared" si="1"/>
        <v>49.9024864024951</v>
      </c>
      <c r="G134"/>
    </row>
    <row r="135" spans="1:7" ht="12.75">
      <c r="A135" s="13"/>
      <c r="B135" s="3" t="s">
        <v>45</v>
      </c>
      <c r="C135" s="3"/>
      <c r="D135" s="14">
        <v>60.41765910823171</v>
      </c>
      <c r="E135" s="14">
        <f t="shared" si="2"/>
        <v>33.72</v>
      </c>
      <c r="F135" s="12">
        <f t="shared" si="1"/>
        <v>57.71094798018293</v>
      </c>
      <c r="G135"/>
    </row>
    <row r="136" spans="2:7" ht="12.75">
      <c r="B136" t="s">
        <v>46</v>
      </c>
      <c r="D136" s="12">
        <v>30.50018500479502</v>
      </c>
      <c r="E136" s="12">
        <f t="shared" si="2"/>
        <v>33.72</v>
      </c>
      <c r="F136" s="12">
        <f t="shared" si="1"/>
        <v>29.133776716580204</v>
      </c>
      <c r="G136"/>
    </row>
    <row r="137" spans="1:7" ht="12.75">
      <c r="A137" s="5"/>
      <c r="B137" t="s">
        <v>47</v>
      </c>
      <c r="D137" s="12">
        <v>130.68967608694712</v>
      </c>
      <c r="E137" s="12">
        <f t="shared" si="2"/>
        <v>33.72</v>
      </c>
      <c r="F137" s="12">
        <f t="shared" si="1"/>
        <v>124.83477859825189</v>
      </c>
      <c r="G137"/>
    </row>
    <row r="138" spans="2:7" ht="12.75">
      <c r="B138" t="s">
        <v>48</v>
      </c>
      <c r="D138" s="12">
        <v>23.85</v>
      </c>
      <c r="E138" s="12">
        <f t="shared" si="2"/>
        <v>33.72</v>
      </c>
      <c r="F138" s="12">
        <f t="shared" si="1"/>
        <v>22.781520000000004</v>
      </c>
      <c r="G138"/>
    </row>
    <row r="139" spans="2:7" ht="12.75">
      <c r="B139" t="s">
        <v>49</v>
      </c>
      <c r="D139" s="12">
        <v>63.71009838977307</v>
      </c>
      <c r="E139" s="12">
        <f t="shared" si="2"/>
        <v>33.72</v>
      </c>
      <c r="F139" s="12">
        <f t="shared" si="1"/>
        <v>60.85588598191124</v>
      </c>
      <c r="G139"/>
    </row>
    <row r="140" spans="2:7" ht="12.75">
      <c r="B140" s="34" t="s">
        <v>103</v>
      </c>
      <c r="C140" s="34"/>
      <c r="D140" s="35">
        <v>16.45</v>
      </c>
      <c r="E140" s="35">
        <f t="shared" si="2"/>
        <v>33.72</v>
      </c>
      <c r="F140" s="35">
        <f t="shared" si="1"/>
        <v>15.71304</v>
      </c>
      <c r="G140"/>
    </row>
    <row r="141" spans="2:7" ht="12.75">
      <c r="B141" t="s">
        <v>50</v>
      </c>
      <c r="D141" s="12">
        <v>117.50041585501756</v>
      </c>
      <c r="E141" s="12">
        <f>+E139</f>
        <v>33.72</v>
      </c>
      <c r="F141" s="12">
        <f t="shared" si="1"/>
        <v>112.23639722471279</v>
      </c>
      <c r="G141"/>
    </row>
    <row r="142" spans="2:7" ht="12.75">
      <c r="B142" t="s">
        <v>51</v>
      </c>
      <c r="D142" s="12">
        <v>152.17338025806256</v>
      </c>
      <c r="E142" s="12">
        <f t="shared" si="2"/>
        <v>33.72</v>
      </c>
      <c r="F142" s="12">
        <f t="shared" si="1"/>
        <v>145.35601282250136</v>
      </c>
      <c r="G142"/>
    </row>
    <row r="143" spans="2:7" ht="12.75">
      <c r="B143" t="s">
        <v>52</v>
      </c>
      <c r="D143" s="12">
        <v>95.63388553624802</v>
      </c>
      <c r="E143" s="12">
        <f t="shared" si="2"/>
        <v>33.72</v>
      </c>
      <c r="F143" s="12">
        <f t="shared" si="1"/>
        <v>91.34948746422411</v>
      </c>
      <c r="G143"/>
    </row>
    <row r="144" spans="2:7" ht="12.75">
      <c r="B144" t="s">
        <v>53</v>
      </c>
      <c r="D144" s="12">
        <v>102.35112624159161</v>
      </c>
      <c r="E144" s="12">
        <f t="shared" si="2"/>
        <v>33.72</v>
      </c>
      <c r="F144" s="12">
        <f t="shared" si="1"/>
        <v>97.76579578596832</v>
      </c>
      <c r="G144"/>
    </row>
    <row r="146" spans="2:4" ht="12.75">
      <c r="B146">
        <v>0</v>
      </c>
      <c r="C146" t="s">
        <v>54</v>
      </c>
      <c r="D146">
        <v>105.32669108785976</v>
      </c>
    </row>
    <row r="147" spans="2:4" ht="12.75">
      <c r="B147">
        <v>0</v>
      </c>
      <c r="C147" t="s">
        <v>55</v>
      </c>
      <c r="D147">
        <v>89.65992673100635</v>
      </c>
    </row>
  </sheetData>
  <mergeCells count="2">
    <mergeCell ref="G6:J6"/>
    <mergeCell ref="A2:J2"/>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181"/>
  <sheetViews>
    <sheetView workbookViewId="0" topLeftCell="A1">
      <selection activeCell="C16" sqref="C16"/>
    </sheetView>
  </sheetViews>
  <sheetFormatPr defaultColWidth="9.140625" defaultRowHeight="12.75"/>
  <cols>
    <col min="3" max="3" width="18.00390625" style="0" customWidth="1"/>
    <col min="4" max="4" width="15.140625" style="0" customWidth="1"/>
    <col min="5" max="5" width="16.8515625" style="0" customWidth="1"/>
    <col min="6" max="6" width="14.421875" style="0" customWidth="1"/>
    <col min="7" max="8" width="9.140625" style="4" customWidth="1"/>
    <col min="9" max="9" width="14.28125" style="6" customWidth="1"/>
  </cols>
  <sheetData>
    <row r="1" spans="1:8" ht="13.5" thickBot="1">
      <c r="A1" t="s">
        <v>0</v>
      </c>
      <c r="D1" t="s">
        <v>1</v>
      </c>
      <c r="F1" s="97" t="s">
        <v>160</v>
      </c>
      <c r="G1" s="97"/>
      <c r="H1" s="97"/>
    </row>
    <row r="2" spans="1:8" ht="14.25" thickBot="1" thickTop="1">
      <c r="A2" t="s">
        <v>2</v>
      </c>
      <c r="D2" t="s">
        <v>3</v>
      </c>
      <c r="F2" t="s">
        <v>72</v>
      </c>
      <c r="G2" s="76">
        <v>33.72</v>
      </c>
      <c r="H2" s="4" t="s">
        <v>119</v>
      </c>
    </row>
    <row r="3" spans="1:4" ht="12.75">
      <c r="A3" t="s">
        <v>4</v>
      </c>
      <c r="D3" t="s">
        <v>5</v>
      </c>
    </row>
    <row r="4" ht="12.75">
      <c r="D4" t="s">
        <v>164</v>
      </c>
    </row>
    <row r="5" spans="4:6" ht="12.75">
      <c r="D5" t="s">
        <v>6</v>
      </c>
      <c r="E5" t="s">
        <v>71</v>
      </c>
      <c r="F5" t="s">
        <v>73</v>
      </c>
    </row>
    <row r="6" spans="4:6" ht="12.75">
      <c r="D6" t="s">
        <v>7</v>
      </c>
      <c r="E6" t="s">
        <v>72</v>
      </c>
      <c r="F6" t="s">
        <v>74</v>
      </c>
    </row>
    <row r="7" spans="4:10" ht="12.75">
      <c r="D7" t="s">
        <v>8</v>
      </c>
      <c r="E7" t="s">
        <v>8</v>
      </c>
      <c r="F7" t="s">
        <v>8</v>
      </c>
      <c r="G7" s="91" t="s">
        <v>80</v>
      </c>
      <c r="H7" s="92"/>
      <c r="I7" s="92"/>
      <c r="J7" s="93"/>
    </row>
    <row r="8" spans="1:10" ht="12.75">
      <c r="A8" t="s">
        <v>9</v>
      </c>
      <c r="G8" s="4" t="s">
        <v>69</v>
      </c>
      <c r="H8" s="4" t="s">
        <v>70</v>
      </c>
      <c r="I8" s="6" t="s">
        <v>77</v>
      </c>
      <c r="J8" t="s">
        <v>78</v>
      </c>
    </row>
    <row r="9" spans="1:10" ht="12.75">
      <c r="A9" s="65" t="s">
        <v>102</v>
      </c>
      <c r="B9" s="65" t="s">
        <v>10</v>
      </c>
      <c r="C9" s="65"/>
      <c r="D9" s="66">
        <f aca="true" t="shared" si="0" ref="D9:D48">+D72*F134</f>
        <v>13813450.198992</v>
      </c>
      <c r="E9" s="66">
        <f>IF(D134&lt;$E$134,E134*D72,D9)</f>
        <v>16899081.48</v>
      </c>
      <c r="F9" s="7">
        <f>+E9-D9</f>
        <v>3085631.2810079996</v>
      </c>
      <c r="G9" s="67">
        <v>30621</v>
      </c>
      <c r="H9" s="67">
        <v>45261</v>
      </c>
      <c r="I9" s="68">
        <f>2023-1983</f>
        <v>40</v>
      </c>
      <c r="J9" s="65">
        <v>22</v>
      </c>
    </row>
    <row r="10" spans="2:6" ht="12.75">
      <c r="B10" t="s">
        <v>11</v>
      </c>
      <c r="D10" s="1">
        <f t="shared" si="0"/>
        <v>28312021.294607997</v>
      </c>
      <c r="E10" s="1">
        <f>IF(D135&lt;$E$134,E135*D73,D10)</f>
        <v>28312021.294607997</v>
      </c>
      <c r="F10" s="2">
        <f aca="true" t="shared" si="1" ref="F10:F54">+E10-D10</f>
        <v>0</v>
      </c>
    </row>
    <row r="11" spans="2:6" ht="12.75">
      <c r="B11" t="s">
        <v>12</v>
      </c>
      <c r="D11" s="1">
        <f t="shared" si="0"/>
        <v>28312021.294607997</v>
      </c>
      <c r="E11" s="1">
        <f>IF(D136&lt;$E$134,E136*D74,D11)</f>
        <v>28312021.294607997</v>
      </c>
      <c r="F11" s="2">
        <f t="shared" si="1"/>
        <v>0</v>
      </c>
    </row>
    <row r="12" spans="1:10" ht="12.75">
      <c r="A12" s="65" t="s">
        <v>102</v>
      </c>
      <c r="B12" s="61" t="s">
        <v>13</v>
      </c>
      <c r="C12" s="61"/>
      <c r="D12" s="62">
        <f t="shared" si="0"/>
        <v>4873262.2848000005</v>
      </c>
      <c r="E12" s="62">
        <f>+D12</f>
        <v>4873262.2848000005</v>
      </c>
      <c r="F12" s="7">
        <f t="shared" si="1"/>
        <v>0</v>
      </c>
      <c r="G12" s="67"/>
      <c r="H12" s="67"/>
      <c r="I12" s="68"/>
      <c r="J12" s="65"/>
    </row>
    <row r="13" spans="2:6" ht="12.75">
      <c r="B13" t="s">
        <v>14</v>
      </c>
      <c r="D13" s="1">
        <f t="shared" si="0"/>
        <v>0</v>
      </c>
      <c r="E13" s="1">
        <f>IF(D138&lt;$E$134,E138*D76,D13)</f>
        <v>0</v>
      </c>
      <c r="F13" s="2">
        <f t="shared" si="1"/>
        <v>0</v>
      </c>
    </row>
    <row r="14" spans="1:10" ht="12.75">
      <c r="A14" s="65" t="s">
        <v>102</v>
      </c>
      <c r="B14" s="61" t="s">
        <v>15</v>
      </c>
      <c r="C14" s="61"/>
      <c r="D14" s="62">
        <f t="shared" si="0"/>
        <v>15179308.149600001</v>
      </c>
      <c r="E14" s="62">
        <f>+D14</f>
        <v>15179308.149600001</v>
      </c>
      <c r="F14" s="7">
        <f t="shared" si="1"/>
        <v>0</v>
      </c>
      <c r="G14" s="67"/>
      <c r="H14" s="67"/>
      <c r="I14" s="68"/>
      <c r="J14" s="65"/>
    </row>
    <row r="15" spans="2:6" ht="12.75">
      <c r="B15" t="s">
        <v>16</v>
      </c>
      <c r="D15" s="1">
        <f t="shared" si="0"/>
        <v>46500180.32016</v>
      </c>
      <c r="E15" s="1">
        <f aca="true" t="shared" si="2" ref="E15:E21">IF(D140&lt;$E$134,E140*D78,D15)</f>
        <v>46500180.32016</v>
      </c>
      <c r="F15" s="2">
        <f t="shared" si="1"/>
        <v>0</v>
      </c>
    </row>
    <row r="16" spans="2:6" ht="12.75">
      <c r="B16" t="s">
        <v>17</v>
      </c>
      <c r="D16" s="1">
        <f t="shared" si="0"/>
        <v>20222689.643999994</v>
      </c>
      <c r="E16" s="1">
        <f t="shared" si="2"/>
        <v>20222689.643999994</v>
      </c>
      <c r="F16" s="2">
        <f t="shared" si="1"/>
        <v>0</v>
      </c>
    </row>
    <row r="17" spans="2:6" ht="12.75">
      <c r="B17" t="s">
        <v>18</v>
      </c>
      <c r="D17" s="1">
        <f t="shared" si="0"/>
        <v>2280486.7953600003</v>
      </c>
      <c r="E17" s="1">
        <f t="shared" si="2"/>
        <v>2280486.7953600003</v>
      </c>
      <c r="F17" s="2">
        <f t="shared" si="1"/>
        <v>0</v>
      </c>
    </row>
    <row r="18" spans="2:6" ht="12.75">
      <c r="B18" t="s">
        <v>19</v>
      </c>
      <c r="D18" s="1">
        <f t="shared" si="0"/>
        <v>0</v>
      </c>
      <c r="E18" s="1">
        <f t="shared" si="2"/>
        <v>0</v>
      </c>
      <c r="F18" s="2">
        <f t="shared" si="1"/>
        <v>0</v>
      </c>
    </row>
    <row r="19" spans="2:6" ht="12.75">
      <c r="B19" t="s">
        <v>20</v>
      </c>
      <c r="D19" s="1">
        <f t="shared" si="0"/>
        <v>30229540.696319997</v>
      </c>
      <c r="E19" s="1">
        <f t="shared" si="2"/>
        <v>30229540.696319997</v>
      </c>
      <c r="F19" s="2">
        <f t="shared" si="1"/>
        <v>0</v>
      </c>
    </row>
    <row r="20" spans="1:10" ht="12.75">
      <c r="A20" s="20"/>
      <c r="B20" s="20" t="s">
        <v>21</v>
      </c>
      <c r="C20" s="20"/>
      <c r="D20" s="36">
        <f t="shared" si="0"/>
        <v>18194307.149465468</v>
      </c>
      <c r="E20" s="36">
        <f t="shared" si="2"/>
        <v>18194307.149465468</v>
      </c>
      <c r="F20" s="37">
        <f t="shared" si="1"/>
        <v>0</v>
      </c>
      <c r="G20" s="38">
        <v>33573</v>
      </c>
      <c r="H20" s="38">
        <v>40878</v>
      </c>
      <c r="I20" s="39" t="s">
        <v>68</v>
      </c>
      <c r="J20" s="41" t="s">
        <v>79</v>
      </c>
    </row>
    <row r="21" spans="1:10" ht="12.75">
      <c r="A21" s="20"/>
      <c r="B21" s="20" t="s">
        <v>22</v>
      </c>
      <c r="C21" s="20"/>
      <c r="D21" s="36">
        <f t="shared" si="0"/>
        <v>23287920.942048002</v>
      </c>
      <c r="E21" s="36">
        <f t="shared" si="2"/>
        <v>23287920.942048002</v>
      </c>
      <c r="F21" s="37">
        <f t="shared" si="1"/>
        <v>0</v>
      </c>
      <c r="G21" s="38">
        <v>33970</v>
      </c>
      <c r="H21" s="38">
        <v>38322</v>
      </c>
      <c r="I21" s="39" t="s">
        <v>67</v>
      </c>
      <c r="J21" s="41" t="s">
        <v>79</v>
      </c>
    </row>
    <row r="22" spans="1:10" ht="12.75">
      <c r="A22" s="65" t="s">
        <v>102</v>
      </c>
      <c r="B22" s="61" t="s">
        <v>23</v>
      </c>
      <c r="C22" s="61"/>
      <c r="D22" s="62">
        <f t="shared" si="0"/>
        <v>46825268.40768</v>
      </c>
      <c r="E22" s="62">
        <f>+D22</f>
        <v>46825268.40768</v>
      </c>
      <c r="F22" s="7">
        <f t="shared" si="1"/>
        <v>0</v>
      </c>
      <c r="G22" s="67"/>
      <c r="H22" s="67"/>
      <c r="I22" s="68"/>
      <c r="J22" s="65"/>
    </row>
    <row r="23" spans="2:6" ht="12.75">
      <c r="B23" t="s">
        <v>24</v>
      </c>
      <c r="D23" s="1">
        <f t="shared" si="0"/>
        <v>0</v>
      </c>
      <c r="E23" s="1">
        <f aca="true" t="shared" si="3" ref="E23:E53">IF(D148&lt;$E$134,E148*D86,D23)</f>
        <v>0</v>
      </c>
      <c r="F23" s="2">
        <f t="shared" si="1"/>
        <v>0</v>
      </c>
    </row>
    <row r="24" spans="1:10" ht="12.75">
      <c r="A24" s="20"/>
      <c r="B24" s="20" t="s">
        <v>25</v>
      </c>
      <c r="C24" s="20"/>
      <c r="D24" s="36">
        <f t="shared" si="0"/>
        <v>10811260.60128</v>
      </c>
      <c r="E24" s="36">
        <f t="shared" si="3"/>
        <v>12580628.52</v>
      </c>
      <c r="F24" s="40">
        <f t="shared" si="1"/>
        <v>1769367.9187199995</v>
      </c>
      <c r="G24" s="38">
        <v>34486</v>
      </c>
      <c r="H24" s="38">
        <v>36831</v>
      </c>
      <c r="I24" s="39">
        <f>2000-1994</f>
        <v>6</v>
      </c>
      <c r="J24" s="20">
        <v>0</v>
      </c>
    </row>
    <row r="25" spans="1:10" ht="12.75">
      <c r="A25" s="20"/>
      <c r="B25" s="20" t="s">
        <v>26</v>
      </c>
      <c r="C25" s="20"/>
      <c r="D25" s="36">
        <f t="shared" si="0"/>
        <v>31835555.498976003</v>
      </c>
      <c r="E25" s="36">
        <f t="shared" si="3"/>
        <v>48321198.36</v>
      </c>
      <c r="F25" s="40">
        <f t="shared" si="1"/>
        <v>16485642.861023996</v>
      </c>
      <c r="G25" s="38">
        <v>35339</v>
      </c>
      <c r="H25" s="38">
        <v>37073</v>
      </c>
      <c r="I25" s="39">
        <f>2001-1996</f>
        <v>5</v>
      </c>
      <c r="J25" s="41" t="s">
        <v>79</v>
      </c>
    </row>
    <row r="26" spans="1:10" ht="12.75">
      <c r="A26" s="20"/>
      <c r="B26" s="20" t="s">
        <v>27</v>
      </c>
      <c r="C26" s="20"/>
      <c r="D26" s="36">
        <f t="shared" si="0"/>
        <v>14671870.0896</v>
      </c>
      <c r="E26" s="36">
        <f t="shared" si="3"/>
        <v>22519092.72</v>
      </c>
      <c r="F26" s="40">
        <f t="shared" si="1"/>
        <v>7847222.630399998</v>
      </c>
      <c r="G26" s="38">
        <v>35156</v>
      </c>
      <c r="H26" s="38">
        <v>36861</v>
      </c>
      <c r="I26" s="39">
        <v>4.5</v>
      </c>
      <c r="J26" s="41" t="s">
        <v>79</v>
      </c>
    </row>
    <row r="27" spans="2:6" ht="12.75">
      <c r="B27" t="s">
        <v>28</v>
      </c>
      <c r="D27" s="1">
        <f t="shared" si="0"/>
        <v>757320.7679999999</v>
      </c>
      <c r="E27" s="1">
        <f t="shared" si="3"/>
        <v>757320.7679999999</v>
      </c>
      <c r="F27" s="2">
        <f t="shared" si="1"/>
        <v>0</v>
      </c>
    </row>
    <row r="28" spans="2:10" ht="12.75">
      <c r="B28" s="20" t="s">
        <v>29</v>
      </c>
      <c r="C28" s="20"/>
      <c r="D28" s="36">
        <f t="shared" si="0"/>
        <v>10664.808</v>
      </c>
      <c r="E28" s="36">
        <f t="shared" si="3"/>
        <v>34225.799999999996</v>
      </c>
      <c r="F28" s="40">
        <f t="shared" si="1"/>
        <v>23560.991999999995</v>
      </c>
      <c r="G28" s="38">
        <v>35065</v>
      </c>
      <c r="H28" s="38">
        <v>36861</v>
      </c>
      <c r="I28" s="39">
        <v>5</v>
      </c>
      <c r="J28" s="41" t="s">
        <v>79</v>
      </c>
    </row>
    <row r="29" spans="1:10" ht="12.75">
      <c r="A29" s="65" t="s">
        <v>102</v>
      </c>
      <c r="B29" s="65" t="s">
        <v>30</v>
      </c>
      <c r="C29" s="65"/>
      <c r="D29" s="66">
        <f t="shared" si="0"/>
        <v>9303415.456559999</v>
      </c>
      <c r="E29" s="66">
        <f t="shared" si="3"/>
        <v>9303415.456559999</v>
      </c>
      <c r="F29" s="7">
        <f t="shared" si="1"/>
        <v>0</v>
      </c>
      <c r="G29" s="67">
        <v>34943</v>
      </c>
      <c r="H29" s="67">
        <v>42186</v>
      </c>
      <c r="I29" s="68">
        <f>2015-1995</f>
        <v>20</v>
      </c>
      <c r="J29" s="65">
        <v>15</v>
      </c>
    </row>
    <row r="30" spans="2:6" ht="12.75">
      <c r="B30" t="s">
        <v>31</v>
      </c>
      <c r="D30" s="1">
        <f t="shared" si="0"/>
        <v>0</v>
      </c>
      <c r="E30" s="1">
        <f t="shared" si="3"/>
        <v>0</v>
      </c>
      <c r="F30" s="2">
        <f t="shared" si="1"/>
        <v>0</v>
      </c>
    </row>
    <row r="31" spans="2:10" ht="12.75">
      <c r="B31" s="20" t="s">
        <v>32</v>
      </c>
      <c r="C31" s="20"/>
      <c r="D31" s="36">
        <f t="shared" si="0"/>
        <v>5899362.0048</v>
      </c>
      <c r="E31" s="36">
        <f t="shared" si="3"/>
        <v>12156734.4</v>
      </c>
      <c r="F31" s="40">
        <f t="shared" si="1"/>
        <v>6257372.3952</v>
      </c>
      <c r="G31" s="38">
        <v>35278</v>
      </c>
      <c r="H31" s="38">
        <v>36982</v>
      </c>
      <c r="I31" s="39">
        <f>2001-1996</f>
        <v>5</v>
      </c>
      <c r="J31" s="41" t="s">
        <v>79</v>
      </c>
    </row>
    <row r="32" spans="2:10" ht="12.75">
      <c r="B32" s="20" t="s">
        <v>33</v>
      </c>
      <c r="C32" s="20"/>
      <c r="D32" s="36">
        <f t="shared" si="0"/>
        <v>25405216.746239997</v>
      </c>
      <c r="E32" s="36">
        <f t="shared" si="3"/>
        <v>32477654.04</v>
      </c>
      <c r="F32" s="40">
        <f t="shared" si="1"/>
        <v>7072437.293760002</v>
      </c>
      <c r="G32" s="38">
        <v>35431</v>
      </c>
      <c r="H32" s="38">
        <v>36861</v>
      </c>
      <c r="I32" s="39">
        <f>2000-1997</f>
        <v>3</v>
      </c>
      <c r="J32" s="41" t="s">
        <v>79</v>
      </c>
    </row>
    <row r="33" spans="2:10" ht="12.75">
      <c r="B33" s="20" t="s">
        <v>34</v>
      </c>
      <c r="C33" s="20"/>
      <c r="D33" s="36">
        <f t="shared" si="0"/>
        <v>20621725.8768</v>
      </c>
      <c r="E33" s="36">
        <f t="shared" si="3"/>
        <v>20621725.8768</v>
      </c>
      <c r="F33" s="37">
        <f t="shared" si="1"/>
        <v>0</v>
      </c>
      <c r="G33" s="38">
        <v>35278</v>
      </c>
      <c r="H33" s="38">
        <v>37803</v>
      </c>
      <c r="I33" s="39">
        <f>2003-1996</f>
        <v>7</v>
      </c>
      <c r="J33" s="20">
        <v>2.5</v>
      </c>
    </row>
    <row r="34" spans="2:10" ht="12.75">
      <c r="B34" s="20" t="s">
        <v>35</v>
      </c>
      <c r="C34" s="20"/>
      <c r="D34" s="36">
        <f t="shared" si="0"/>
        <v>696540.4368</v>
      </c>
      <c r="E34" s="36">
        <f t="shared" si="3"/>
        <v>1628406.24</v>
      </c>
      <c r="F34" s="40">
        <f t="shared" si="1"/>
        <v>931865.8032</v>
      </c>
      <c r="G34" s="38">
        <v>35339</v>
      </c>
      <c r="H34" s="38">
        <v>37135</v>
      </c>
      <c r="I34" s="39">
        <f>2001-1996</f>
        <v>5</v>
      </c>
      <c r="J34" s="20">
        <v>1</v>
      </c>
    </row>
    <row r="35" spans="1:10" ht="12.75">
      <c r="A35" s="65" t="s">
        <v>102</v>
      </c>
      <c r="B35" s="65" t="s">
        <v>36</v>
      </c>
      <c r="C35" s="65"/>
      <c r="D35" s="66">
        <f t="shared" si="0"/>
        <v>3414059.6016</v>
      </c>
      <c r="E35" s="66">
        <f t="shared" si="3"/>
        <v>4602409.08</v>
      </c>
      <c r="F35" s="7">
        <f t="shared" si="1"/>
        <v>1188349.4784</v>
      </c>
      <c r="G35" s="67">
        <v>35612</v>
      </c>
      <c r="H35" s="67">
        <v>42887</v>
      </c>
      <c r="I35" s="68">
        <f>2017-1997</f>
        <v>20</v>
      </c>
      <c r="J35" s="65">
        <v>17</v>
      </c>
    </row>
    <row r="36" spans="2:6" ht="12.75">
      <c r="B36" t="s">
        <v>37</v>
      </c>
      <c r="D36" s="1">
        <f t="shared" si="0"/>
        <v>0</v>
      </c>
      <c r="E36" s="1">
        <f t="shared" si="3"/>
        <v>0</v>
      </c>
      <c r="F36" s="2">
        <f t="shared" si="1"/>
        <v>0</v>
      </c>
    </row>
    <row r="37" spans="2:10" ht="12.75">
      <c r="B37" s="20" t="s">
        <v>38</v>
      </c>
      <c r="C37" s="20"/>
      <c r="D37" s="36">
        <f t="shared" si="0"/>
        <v>2661294.1824000003</v>
      </c>
      <c r="E37" s="36">
        <f t="shared" si="3"/>
        <v>4896144</v>
      </c>
      <c r="F37" s="37">
        <f t="shared" si="1"/>
        <v>2234849.8175999997</v>
      </c>
      <c r="G37" s="38">
        <v>35674</v>
      </c>
      <c r="H37" s="38">
        <v>37347</v>
      </c>
      <c r="I37" s="39">
        <f>2002-1997</f>
        <v>5</v>
      </c>
      <c r="J37" s="20">
        <v>1.5</v>
      </c>
    </row>
    <row r="38" spans="2:10" ht="12.75">
      <c r="B38" s="20" t="s">
        <v>39</v>
      </c>
      <c r="C38" s="20"/>
      <c r="D38" s="36">
        <f t="shared" si="0"/>
        <v>1168265.9568</v>
      </c>
      <c r="E38" s="36">
        <f t="shared" si="3"/>
        <v>2341348.1999999997</v>
      </c>
      <c r="F38" s="37">
        <f t="shared" si="1"/>
        <v>1173082.2431999997</v>
      </c>
      <c r="G38" s="38">
        <v>35551</v>
      </c>
      <c r="H38" s="38">
        <v>37347</v>
      </c>
      <c r="I38" s="39">
        <f>2002-1997</f>
        <v>5</v>
      </c>
      <c r="J38" s="20">
        <v>1.5</v>
      </c>
    </row>
    <row r="39" spans="1:10" ht="12.75">
      <c r="A39" s="3"/>
      <c r="B39" s="42" t="s">
        <v>40</v>
      </c>
      <c r="C39" s="42"/>
      <c r="D39" s="36">
        <f t="shared" si="0"/>
        <v>1198821.8496</v>
      </c>
      <c r="E39" s="36">
        <f t="shared" si="3"/>
        <v>2546028.6</v>
      </c>
      <c r="F39" s="37">
        <f t="shared" si="1"/>
        <v>1347206.7504</v>
      </c>
      <c r="G39" s="38">
        <v>35704</v>
      </c>
      <c r="H39" s="38">
        <v>36770</v>
      </c>
      <c r="I39" s="39">
        <f>2000-1997</f>
        <v>3</v>
      </c>
      <c r="J39" s="20">
        <v>0</v>
      </c>
    </row>
    <row r="40" spans="2:10" ht="12.75">
      <c r="B40" s="20" t="s">
        <v>41</v>
      </c>
      <c r="C40" s="20"/>
      <c r="D40" s="36">
        <f t="shared" si="0"/>
        <v>1367876.9664</v>
      </c>
      <c r="E40" s="36">
        <f t="shared" si="3"/>
        <v>2961964.8</v>
      </c>
      <c r="F40" s="37">
        <f t="shared" si="1"/>
        <v>1594087.8335999998</v>
      </c>
      <c r="G40" s="38">
        <v>35765</v>
      </c>
      <c r="H40" s="38">
        <v>37561</v>
      </c>
      <c r="I40" s="39">
        <f>2002-1997</f>
        <v>5</v>
      </c>
      <c r="J40" s="20">
        <v>2</v>
      </c>
    </row>
    <row r="41" spans="1:10" ht="12.75">
      <c r="A41" s="61" t="s">
        <v>102</v>
      </c>
      <c r="B41" s="61" t="s">
        <v>42</v>
      </c>
      <c r="C41" s="61"/>
      <c r="D41" s="62">
        <f t="shared" si="0"/>
        <v>205459.69920000003</v>
      </c>
      <c r="E41" s="62">
        <f t="shared" si="3"/>
        <v>259037.03999999998</v>
      </c>
      <c r="F41" s="60">
        <f t="shared" si="1"/>
        <v>53577.34079999995</v>
      </c>
      <c r="G41" s="63">
        <v>35674</v>
      </c>
      <c r="H41" s="63">
        <v>39295</v>
      </c>
      <c r="I41" s="64">
        <f>2007-1997</f>
        <v>10</v>
      </c>
      <c r="J41" s="61">
        <v>7</v>
      </c>
    </row>
    <row r="42" spans="2:6" ht="12.75">
      <c r="B42" t="s">
        <v>43</v>
      </c>
      <c r="D42" s="1">
        <f t="shared" si="0"/>
        <v>5432804.1168</v>
      </c>
      <c r="E42" s="1">
        <f t="shared" si="3"/>
        <v>5432804.1168</v>
      </c>
      <c r="F42" s="2">
        <f t="shared" si="1"/>
        <v>0</v>
      </c>
    </row>
    <row r="43" spans="2:6" ht="12.75">
      <c r="B43" t="s">
        <v>44</v>
      </c>
      <c r="D43" s="1">
        <f t="shared" si="0"/>
        <v>1856023.1767680002</v>
      </c>
      <c r="E43" s="1">
        <f t="shared" si="3"/>
        <v>1856023.1767680002</v>
      </c>
      <c r="F43" s="2">
        <f t="shared" si="1"/>
        <v>0</v>
      </c>
    </row>
    <row r="44" spans="2:6" ht="12.75">
      <c r="B44" t="s">
        <v>45</v>
      </c>
      <c r="D44" s="1">
        <f t="shared" si="0"/>
        <v>2422936.44</v>
      </c>
      <c r="E44" s="1">
        <f t="shared" si="3"/>
        <v>2422936.44</v>
      </c>
      <c r="F44" s="2">
        <f t="shared" si="1"/>
        <v>0</v>
      </c>
    </row>
    <row r="45" spans="2:10" ht="12.75">
      <c r="B45" s="20" t="s">
        <v>46</v>
      </c>
      <c r="C45" s="20"/>
      <c r="D45" s="36">
        <f t="shared" si="0"/>
        <v>3858156.9168</v>
      </c>
      <c r="E45" s="36">
        <f t="shared" si="3"/>
        <v>4465505.88</v>
      </c>
      <c r="F45" s="37">
        <f t="shared" si="1"/>
        <v>607348.9632000001</v>
      </c>
      <c r="G45" s="38">
        <v>35855</v>
      </c>
      <c r="H45" s="38">
        <v>37469</v>
      </c>
      <c r="I45" s="39">
        <f>2002-1998</f>
        <v>4</v>
      </c>
      <c r="J45" s="20">
        <v>1.5</v>
      </c>
    </row>
    <row r="46" spans="2:6" ht="12.75">
      <c r="B46" t="s">
        <v>47</v>
      </c>
      <c r="D46" s="1">
        <f t="shared" si="0"/>
        <v>22907431.54233642</v>
      </c>
      <c r="E46" s="1">
        <f t="shared" si="3"/>
        <v>22907431.54233642</v>
      </c>
      <c r="F46" s="2">
        <f t="shared" si="1"/>
        <v>0</v>
      </c>
    </row>
    <row r="47" spans="1:10" ht="12.75">
      <c r="A47" s="65" t="s">
        <v>102</v>
      </c>
      <c r="B47" s="65" t="s">
        <v>48</v>
      </c>
      <c r="C47" s="65"/>
      <c r="D47" s="66">
        <f t="shared" si="0"/>
        <v>14007901.017600002</v>
      </c>
      <c r="E47" s="66">
        <f t="shared" si="3"/>
        <v>20733753.599999998</v>
      </c>
      <c r="F47" s="7">
        <f t="shared" si="1"/>
        <v>6725852.582399996</v>
      </c>
      <c r="G47" s="67">
        <v>36100</v>
      </c>
      <c r="H47" s="67">
        <v>38961</v>
      </c>
      <c r="I47" s="68">
        <f>2006-1998</f>
        <v>8</v>
      </c>
      <c r="J47" s="65">
        <v>6</v>
      </c>
    </row>
    <row r="48" spans="2:6" ht="12.75">
      <c r="B48" t="s">
        <v>49</v>
      </c>
      <c r="D48" s="1">
        <f t="shared" si="0"/>
        <v>2603962.50528</v>
      </c>
      <c r="E48" s="1">
        <f t="shared" si="3"/>
        <v>2603962.50528</v>
      </c>
      <c r="F48" s="2">
        <f t="shared" si="1"/>
        <v>0</v>
      </c>
    </row>
    <row r="49" spans="1:10" ht="12.75">
      <c r="A49" s="43" t="s">
        <v>118</v>
      </c>
      <c r="B49" s="43" t="s">
        <v>103</v>
      </c>
      <c r="C49" s="43"/>
      <c r="D49" s="44">
        <f>+D112*F174</f>
        <v>13802334.336</v>
      </c>
      <c r="E49" s="44">
        <f t="shared" si="3"/>
        <v>29619648</v>
      </c>
      <c r="F49" s="45">
        <f t="shared" si="1"/>
        <v>15817313.664</v>
      </c>
      <c r="G49" s="46">
        <v>35796</v>
      </c>
      <c r="H49" s="46">
        <v>37226</v>
      </c>
      <c r="I49" s="39">
        <f>2001-1998</f>
        <v>3</v>
      </c>
      <c r="J49" s="20">
        <v>1</v>
      </c>
    </row>
    <row r="50" spans="2:6" ht="12.75">
      <c r="B50" t="s">
        <v>50</v>
      </c>
      <c r="D50" s="1">
        <f>+D113*F175</f>
        <v>536675069.3725656</v>
      </c>
      <c r="E50" s="1">
        <f t="shared" si="3"/>
        <v>536675069.3725656</v>
      </c>
      <c r="F50" s="2">
        <f t="shared" si="1"/>
        <v>0</v>
      </c>
    </row>
    <row r="51" spans="2:6" ht="12.75">
      <c r="B51" t="s">
        <v>51</v>
      </c>
      <c r="D51" s="1">
        <f>+D114*F176</f>
        <v>345769087.44356227</v>
      </c>
      <c r="E51" s="1">
        <f t="shared" si="3"/>
        <v>345769087.44356227</v>
      </c>
      <c r="F51" s="2">
        <f t="shared" si="1"/>
        <v>0</v>
      </c>
    </row>
    <row r="52" spans="2:6" ht="12.75">
      <c r="B52" t="s">
        <v>52</v>
      </c>
      <c r="D52" s="1">
        <f>+D115*F177</f>
        <v>653330529.4997687</v>
      </c>
      <c r="E52" s="1">
        <f t="shared" si="3"/>
        <v>653330529.4997687</v>
      </c>
      <c r="F52" s="2">
        <f t="shared" si="1"/>
        <v>0</v>
      </c>
    </row>
    <row r="53" spans="2:6" ht="12.75">
      <c r="B53" t="s">
        <v>53</v>
      </c>
      <c r="D53" s="1">
        <f>+D116*F178</f>
        <v>32883638.859603208</v>
      </c>
      <c r="E53" s="1">
        <f t="shared" si="3"/>
        <v>32883638.859603208</v>
      </c>
      <c r="F53" s="16">
        <f t="shared" si="1"/>
        <v>0</v>
      </c>
    </row>
    <row r="54" spans="4:6" ht="12.75">
      <c r="D54" s="1"/>
      <c r="E54" s="1">
        <f>IF(D179&lt;44,E179*D117,D54)</f>
        <v>0</v>
      </c>
      <c r="F54" s="2">
        <f t="shared" si="1"/>
        <v>0</v>
      </c>
    </row>
    <row r="55" spans="3:5" ht="12.75">
      <c r="C55" t="s">
        <v>54</v>
      </c>
      <c r="D55" s="1">
        <v>28698204.845142998</v>
      </c>
      <c r="E55" s="1"/>
    </row>
    <row r="56" spans="3:5" ht="12.75">
      <c r="C56" t="s">
        <v>55</v>
      </c>
      <c r="D56" s="1">
        <v>5727715.234006083</v>
      </c>
      <c r="E56" s="1"/>
    </row>
    <row r="57" spans="4:5" ht="12.75">
      <c r="D57" s="1" t="s">
        <v>56</v>
      </c>
      <c r="E57" s="1"/>
    </row>
    <row r="58" spans="1:7" ht="12.75">
      <c r="A58" t="s">
        <v>57</v>
      </c>
      <c r="D58" s="1">
        <f>SUM(D9:D53)</f>
        <v>2043609042.9477818</v>
      </c>
      <c r="E58" s="1">
        <f>SUM(E9:E53)</f>
        <v>2117823812.7966938</v>
      </c>
      <c r="F58" s="17">
        <f>+F59-F47-F41-F35-F29-F9</f>
        <v>63161359.16630389</v>
      </c>
      <c r="G58" s="4" t="s">
        <v>120</v>
      </c>
    </row>
    <row r="59" spans="1:7" ht="12.75">
      <c r="A59" t="s">
        <v>66</v>
      </c>
      <c r="D59" s="1">
        <f>SUM(D9:D49)</f>
        <v>474950717.772282</v>
      </c>
      <c r="E59" s="1">
        <f>SUM(E9:E49)</f>
        <v>549165487.6211939</v>
      </c>
      <c r="F59" s="2">
        <f>+(E59-D59)</f>
        <v>74214769.84891188</v>
      </c>
      <c r="G59" s="4" t="s">
        <v>140</v>
      </c>
    </row>
    <row r="60" spans="4:6" ht="12.75">
      <c r="D60" s="10"/>
      <c r="F60" s="2"/>
    </row>
    <row r="61" spans="1:4" ht="12.75">
      <c r="A61" t="s">
        <v>0</v>
      </c>
      <c r="D61" t="s">
        <v>1</v>
      </c>
    </row>
    <row r="62" spans="1:4" ht="12.75">
      <c r="A62" t="s">
        <v>2</v>
      </c>
      <c r="D62" t="s">
        <v>59</v>
      </c>
    </row>
    <row r="63" spans="1:4" ht="12.75">
      <c r="A63" t="s">
        <v>4</v>
      </c>
      <c r="D63" t="s">
        <v>60</v>
      </c>
    </row>
    <row r="65" ht="12.75">
      <c r="D65" t="s">
        <v>6</v>
      </c>
    </row>
    <row r="66" ht="12.75">
      <c r="D66" t="s">
        <v>7</v>
      </c>
    </row>
    <row r="67" ht="12.75">
      <c r="D67" t="s">
        <v>8</v>
      </c>
    </row>
    <row r="69" spans="1:4" ht="12.75">
      <c r="A69" t="s">
        <v>61</v>
      </c>
      <c r="D69">
        <v>52876916</v>
      </c>
    </row>
    <row r="71" ht="12.75">
      <c r="A71" t="s">
        <v>9</v>
      </c>
    </row>
    <row r="72" spans="2:4" ht="12.75">
      <c r="B72" t="s">
        <v>10</v>
      </c>
      <c r="D72">
        <v>501159</v>
      </c>
    </row>
    <row r="73" spans="2:4" ht="12.75">
      <c r="B73" t="s">
        <v>11</v>
      </c>
      <c r="D73">
        <v>621833</v>
      </c>
    </row>
    <row r="74" spans="2:4" ht="12.75">
      <c r="B74" t="s">
        <v>12</v>
      </c>
      <c r="D74">
        <v>621833</v>
      </c>
    </row>
    <row r="75" spans="2:4" ht="12.75">
      <c r="B75" t="s">
        <v>13</v>
      </c>
      <c r="D75">
        <v>350400</v>
      </c>
    </row>
    <row r="76" spans="2:4" ht="12.75">
      <c r="B76" t="s">
        <v>14</v>
      </c>
      <c r="D76">
        <v>0</v>
      </c>
    </row>
    <row r="77" spans="2:4" ht="12.75">
      <c r="B77" t="s">
        <v>15</v>
      </c>
      <c r="D77">
        <v>426599</v>
      </c>
    </row>
    <row r="78" spans="2:4" ht="12.75">
      <c r="B78" t="s">
        <v>16</v>
      </c>
      <c r="D78">
        <v>1094215</v>
      </c>
    </row>
    <row r="79" spans="2:4" ht="12.75">
      <c r="B79" t="s">
        <v>17</v>
      </c>
      <c r="D79">
        <v>459495</v>
      </c>
    </row>
    <row r="80" spans="2:4" ht="12.75">
      <c r="B80" t="s">
        <v>18</v>
      </c>
      <c r="D80">
        <v>42629</v>
      </c>
    </row>
    <row r="81" spans="2:4" ht="12.75">
      <c r="B81" t="s">
        <v>19</v>
      </c>
      <c r="D81">
        <v>0</v>
      </c>
    </row>
    <row r="82" spans="2:4" ht="12.75">
      <c r="B82" t="s">
        <v>20</v>
      </c>
      <c r="D82">
        <v>607081</v>
      </c>
    </row>
    <row r="83" spans="2:4" ht="12.75">
      <c r="B83" t="s">
        <v>21</v>
      </c>
      <c r="D83">
        <v>524818.4</v>
      </c>
    </row>
    <row r="84" spans="2:4" ht="12.75">
      <c r="B84" t="s">
        <v>22</v>
      </c>
      <c r="D84">
        <v>597271</v>
      </c>
    </row>
    <row r="85" spans="2:4" ht="12.75">
      <c r="B85" t="s">
        <v>23</v>
      </c>
      <c r="D85">
        <v>1159572</v>
      </c>
    </row>
    <row r="86" spans="2:4" ht="12.75">
      <c r="B86" t="s">
        <v>24</v>
      </c>
      <c r="D86">
        <v>0</v>
      </c>
    </row>
    <row r="87" spans="2:4" ht="12.75">
      <c r="B87" t="s">
        <v>25</v>
      </c>
      <c r="D87">
        <v>373091</v>
      </c>
    </row>
    <row r="88" spans="2:4" ht="12.75">
      <c r="B88" t="s">
        <v>26</v>
      </c>
      <c r="D88">
        <v>1433013</v>
      </c>
    </row>
    <row r="89" spans="2:4" ht="12.75">
      <c r="B89" t="s">
        <v>27</v>
      </c>
      <c r="D89">
        <v>667826</v>
      </c>
    </row>
    <row r="90" spans="2:4" ht="12.75">
      <c r="B90" t="s">
        <v>28</v>
      </c>
      <c r="D90">
        <v>2380</v>
      </c>
    </row>
    <row r="91" spans="2:4" ht="12.75">
      <c r="B91" t="s">
        <v>29</v>
      </c>
      <c r="D91">
        <v>1015</v>
      </c>
    </row>
    <row r="92" spans="2:4" ht="12.75">
      <c r="B92" t="s">
        <v>30</v>
      </c>
      <c r="D92">
        <v>239115</v>
      </c>
    </row>
    <row r="93" spans="2:4" ht="12.75">
      <c r="B93" t="s">
        <v>31</v>
      </c>
      <c r="D93">
        <v>0</v>
      </c>
    </row>
    <row r="94" spans="2:4" ht="12.75">
      <c r="B94" t="s">
        <v>32</v>
      </c>
      <c r="D94">
        <v>360520</v>
      </c>
    </row>
    <row r="95" spans="2:4" ht="12.75">
      <c r="B95" t="s">
        <v>33</v>
      </c>
      <c r="D95">
        <v>963157</v>
      </c>
    </row>
    <row r="96" spans="2:4" ht="12.75">
      <c r="B96" t="s">
        <v>34</v>
      </c>
      <c r="D96">
        <v>578380</v>
      </c>
    </row>
    <row r="97" spans="2:4" ht="12.75">
      <c r="B97" t="s">
        <v>35</v>
      </c>
      <c r="D97">
        <v>48292</v>
      </c>
    </row>
    <row r="98" spans="2:4" ht="12.75">
      <c r="B98" t="s">
        <v>36</v>
      </c>
      <c r="D98">
        <v>136489</v>
      </c>
    </row>
    <row r="99" spans="2:4" ht="12.75">
      <c r="B99" t="s">
        <v>37</v>
      </c>
      <c r="D99">
        <v>0</v>
      </c>
    </row>
    <row r="100" spans="2:4" ht="12.75">
      <c r="B100" t="s">
        <v>38</v>
      </c>
      <c r="D100">
        <v>145200</v>
      </c>
    </row>
    <row r="101" spans="2:4" ht="12.75">
      <c r="B101" t="s">
        <v>39</v>
      </c>
      <c r="D101">
        <v>69435</v>
      </c>
    </row>
    <row r="102" spans="2:4" ht="12.75">
      <c r="B102" t="s">
        <v>40</v>
      </c>
      <c r="D102">
        <v>75505</v>
      </c>
    </row>
    <row r="103" spans="2:4" ht="12.75">
      <c r="B103" t="s">
        <v>41</v>
      </c>
      <c r="D103">
        <v>87840</v>
      </c>
    </row>
    <row r="104" spans="2:4" ht="12.75">
      <c r="B104" t="s">
        <v>42</v>
      </c>
      <c r="D104">
        <v>7682</v>
      </c>
    </row>
    <row r="105" spans="2:4" ht="12.75">
      <c r="B105" t="s">
        <v>43</v>
      </c>
      <c r="D105">
        <v>114146</v>
      </c>
    </row>
    <row r="106" spans="2:4" ht="12.75">
      <c r="B106" t="s">
        <v>44</v>
      </c>
      <c r="D106">
        <v>37193</v>
      </c>
    </row>
    <row r="107" spans="2:4" ht="12.75">
      <c r="B107" t="s">
        <v>45</v>
      </c>
      <c r="D107">
        <v>41984</v>
      </c>
    </row>
    <row r="108" spans="2:4" ht="12.75">
      <c r="B108" t="s">
        <v>46</v>
      </c>
      <c r="D108">
        <v>132429</v>
      </c>
    </row>
    <row r="109" spans="2:4" ht="12.75">
      <c r="B109" t="s">
        <v>47</v>
      </c>
      <c r="D109">
        <v>183502</v>
      </c>
    </row>
    <row r="110" spans="2:4" ht="12.75">
      <c r="B110" t="s">
        <v>48</v>
      </c>
      <c r="D110">
        <v>614880</v>
      </c>
    </row>
    <row r="111" spans="2:4" ht="12.75">
      <c r="B111" t="s">
        <v>49</v>
      </c>
      <c r="D111">
        <v>42789</v>
      </c>
    </row>
    <row r="112" spans="2:4" ht="12.75">
      <c r="B112" s="34" t="s">
        <v>103</v>
      </c>
      <c r="C112" s="34"/>
      <c r="D112" s="34">
        <v>878400</v>
      </c>
    </row>
    <row r="113" spans="2:4" ht="12.75">
      <c r="B113" t="s">
        <v>50</v>
      </c>
      <c r="D113">
        <v>4781649.114217984</v>
      </c>
    </row>
    <row r="114" spans="2:4" ht="12.75">
      <c r="B114" t="s">
        <v>51</v>
      </c>
      <c r="D114">
        <v>2378773.8857820174</v>
      </c>
    </row>
    <row r="115" spans="2:4" ht="12.75">
      <c r="B115" t="s">
        <v>52</v>
      </c>
      <c r="D115">
        <v>7151989</v>
      </c>
    </row>
    <row r="116" spans="2:4" ht="12.75">
      <c r="B116" t="s">
        <v>53</v>
      </c>
      <c r="D116">
        <v>336351.16039553354</v>
      </c>
    </row>
    <row r="118" spans="3:4" ht="12.75">
      <c r="C118" t="s">
        <v>54</v>
      </c>
      <c r="D118">
        <v>272468.49349139794</v>
      </c>
    </row>
    <row r="119" spans="3:4" ht="12.75">
      <c r="C119" t="s">
        <v>55</v>
      </c>
      <c r="D119">
        <v>63882.66690413561</v>
      </c>
    </row>
    <row r="120" ht="12.75">
      <c r="D120" t="s">
        <v>56</v>
      </c>
    </row>
    <row r="121" spans="1:4" ht="12.75">
      <c r="A121" t="s">
        <v>57</v>
      </c>
      <c r="D121">
        <v>28011531.560395535</v>
      </c>
    </row>
    <row r="122" ht="12.75">
      <c r="D122" t="s">
        <v>58</v>
      </c>
    </row>
    <row r="123" spans="1:4" ht="12.75">
      <c r="A123" t="s">
        <v>62</v>
      </c>
      <c r="D123">
        <v>80888447.56039554</v>
      </c>
    </row>
    <row r="124" ht="12.75">
      <c r="D124" t="s">
        <v>58</v>
      </c>
    </row>
    <row r="125" ht="12.75">
      <c r="D125" s="9">
        <f>SUM(D72:D111)</f>
        <v>13362768.4</v>
      </c>
    </row>
    <row r="126" spans="1:4" ht="12.75">
      <c r="A126" t="s">
        <v>0</v>
      </c>
      <c r="D126" t="s">
        <v>1</v>
      </c>
    </row>
    <row r="127" spans="1:4" ht="12.75">
      <c r="A127" t="s">
        <v>2</v>
      </c>
      <c r="D127" t="s">
        <v>63</v>
      </c>
    </row>
    <row r="128" spans="1:4" ht="12.75">
      <c r="A128" t="s">
        <v>4</v>
      </c>
      <c r="D128" t="s">
        <v>64</v>
      </c>
    </row>
    <row r="130" spans="4:6" ht="12.75">
      <c r="D130" t="s">
        <v>6</v>
      </c>
      <c r="E130" t="s">
        <v>72</v>
      </c>
      <c r="F130" t="s">
        <v>75</v>
      </c>
    </row>
    <row r="131" spans="4:6" ht="12.75">
      <c r="D131" t="s">
        <v>7</v>
      </c>
      <c r="E131" s="4"/>
      <c r="F131" t="s">
        <v>76</v>
      </c>
    </row>
    <row r="132" spans="4:6" ht="12.75">
      <c r="D132" t="s">
        <v>8</v>
      </c>
      <c r="E132" t="s">
        <v>8</v>
      </c>
      <c r="F132" t="s">
        <v>8</v>
      </c>
    </row>
    <row r="133" ht="12.75">
      <c r="A133" t="s">
        <v>65</v>
      </c>
    </row>
    <row r="134" spans="2:8" ht="12.75">
      <c r="B134" t="s">
        <v>10</v>
      </c>
      <c r="D134" s="12">
        <v>28.855746798920105</v>
      </c>
      <c r="E134" s="80">
        <f>+G2</f>
        <v>33.72</v>
      </c>
      <c r="F134" s="12">
        <f aca="true" t="shared" si="4" ref="F134:F178">+D134*(1-0.0448)</f>
        <v>27.563009342328485</v>
      </c>
      <c r="G134" s="79"/>
      <c r="H134" s="11"/>
    </row>
    <row r="135" spans="2:7" ht="12.75">
      <c r="B135" t="s">
        <v>11</v>
      </c>
      <c r="D135" s="12">
        <v>47.66535113125227</v>
      </c>
      <c r="E135" s="12">
        <f>+E134</f>
        <v>33.72</v>
      </c>
      <c r="F135" s="12">
        <f t="shared" si="4"/>
        <v>45.52994340057217</v>
      </c>
      <c r="G135"/>
    </row>
    <row r="136" spans="2:7" ht="12.75">
      <c r="B136" t="s">
        <v>12</v>
      </c>
      <c r="D136" s="12">
        <v>47.66535113125227</v>
      </c>
      <c r="E136" s="12">
        <f aca="true" t="shared" si="5" ref="E136:E178">+E135</f>
        <v>33.72</v>
      </c>
      <c r="F136" s="12">
        <f t="shared" si="4"/>
        <v>45.52994340057217</v>
      </c>
      <c r="G136"/>
    </row>
    <row r="137" spans="2:7" ht="12.75">
      <c r="B137" t="s">
        <v>13</v>
      </c>
      <c r="D137" s="12">
        <v>14.56</v>
      </c>
      <c r="E137" s="12">
        <f t="shared" si="5"/>
        <v>33.72</v>
      </c>
      <c r="F137" s="12">
        <f t="shared" si="4"/>
        <v>13.907712000000002</v>
      </c>
      <c r="G137"/>
    </row>
    <row r="138" spans="1:7" ht="12.75">
      <c r="A138" s="4"/>
      <c r="B138" t="s">
        <v>14</v>
      </c>
      <c r="D138" s="12">
        <v>0</v>
      </c>
      <c r="E138" s="12">
        <f t="shared" si="5"/>
        <v>33.72</v>
      </c>
      <c r="F138" s="12">
        <f t="shared" si="4"/>
        <v>0</v>
      </c>
      <c r="G138"/>
    </row>
    <row r="139" spans="2:7" ht="12.75">
      <c r="B139" t="s">
        <v>15</v>
      </c>
      <c r="D139" s="12">
        <v>37.25099097747533</v>
      </c>
      <c r="E139" s="12">
        <f t="shared" si="5"/>
        <v>33.72</v>
      </c>
      <c r="F139" s="12">
        <f t="shared" si="4"/>
        <v>35.58214658168444</v>
      </c>
      <c r="G139"/>
    </row>
    <row r="140" spans="2:7" ht="12.75">
      <c r="B140" t="s">
        <v>16</v>
      </c>
      <c r="D140" s="12">
        <v>44.48951376100675</v>
      </c>
      <c r="E140" s="12">
        <f t="shared" si="5"/>
        <v>33.72</v>
      </c>
      <c r="F140" s="12">
        <f t="shared" si="4"/>
        <v>42.49638354451365</v>
      </c>
      <c r="G140"/>
    </row>
    <row r="141" spans="2:7" ht="12.75">
      <c r="B141" t="s">
        <v>17</v>
      </c>
      <c r="D141" s="12">
        <v>46.07483759344497</v>
      </c>
      <c r="E141" s="12">
        <f t="shared" si="5"/>
        <v>33.72</v>
      </c>
      <c r="F141" s="12">
        <f t="shared" si="4"/>
        <v>44.01068486925863</v>
      </c>
      <c r="G141"/>
    </row>
    <row r="142" spans="2:7" ht="12.75">
      <c r="B142" t="s">
        <v>18</v>
      </c>
      <c r="D142" s="12">
        <v>56.00516784348684</v>
      </c>
      <c r="E142" s="12">
        <f t="shared" si="5"/>
        <v>33.72</v>
      </c>
      <c r="F142" s="12">
        <f t="shared" si="4"/>
        <v>53.49613632409863</v>
      </c>
      <c r="G142"/>
    </row>
    <row r="143" spans="2:7" ht="12.75">
      <c r="B143" t="s">
        <v>19</v>
      </c>
      <c r="D143" s="12">
        <v>0</v>
      </c>
      <c r="E143" s="12">
        <f t="shared" si="5"/>
        <v>33.72</v>
      </c>
      <c r="F143" s="12">
        <f t="shared" si="4"/>
        <v>0</v>
      </c>
      <c r="G143"/>
    </row>
    <row r="144" spans="2:7" ht="12.75">
      <c r="B144" t="s">
        <v>20</v>
      </c>
      <c r="D144" s="12">
        <v>52.13034438567505</v>
      </c>
      <c r="E144" s="12">
        <f t="shared" si="5"/>
        <v>33.72</v>
      </c>
      <c r="F144" s="12">
        <f t="shared" si="4"/>
        <v>49.79490495719681</v>
      </c>
      <c r="G144"/>
    </row>
    <row r="145" spans="2:7" ht="12.75">
      <c r="B145" t="s">
        <v>21</v>
      </c>
      <c r="D145" s="12">
        <v>36.2937760721306</v>
      </c>
      <c r="E145" s="12">
        <f t="shared" si="5"/>
        <v>33.72</v>
      </c>
      <c r="F145" s="12">
        <f t="shared" si="4"/>
        <v>34.667814904099146</v>
      </c>
      <c r="G145"/>
    </row>
    <row r="146" spans="1:7" ht="12.75">
      <c r="A146" s="4"/>
      <c r="B146" t="s">
        <v>22</v>
      </c>
      <c r="D146" s="12">
        <v>40.81924576950831</v>
      </c>
      <c r="E146" s="12">
        <f t="shared" si="5"/>
        <v>33.72</v>
      </c>
      <c r="F146" s="12">
        <f t="shared" si="4"/>
        <v>38.99054355903434</v>
      </c>
      <c r="G146"/>
    </row>
    <row r="147" spans="2:7" ht="12.75">
      <c r="B147" t="s">
        <v>23</v>
      </c>
      <c r="D147" s="12">
        <v>42.27545025233448</v>
      </c>
      <c r="E147" s="12">
        <f t="shared" si="5"/>
        <v>33.72</v>
      </c>
      <c r="F147" s="12">
        <f t="shared" si="4"/>
        <v>40.381510081029894</v>
      </c>
      <c r="G147"/>
    </row>
    <row r="148" spans="1:7" ht="12.75">
      <c r="A148" s="4"/>
      <c r="B148" t="s">
        <v>24</v>
      </c>
      <c r="D148" s="12">
        <v>0</v>
      </c>
      <c r="E148" s="12">
        <f t="shared" si="5"/>
        <v>33.72</v>
      </c>
      <c r="F148" s="12">
        <f t="shared" si="4"/>
        <v>0</v>
      </c>
      <c r="G148"/>
    </row>
    <row r="149" spans="1:7" ht="12.75">
      <c r="A149" s="4"/>
      <c r="B149" t="s">
        <v>25</v>
      </c>
      <c r="D149" s="12">
        <v>30.336624040783615</v>
      </c>
      <c r="E149" s="12">
        <f t="shared" si="5"/>
        <v>33.72</v>
      </c>
      <c r="F149" s="12">
        <f t="shared" si="4"/>
        <v>28.97754328375651</v>
      </c>
      <c r="G149"/>
    </row>
    <row r="150" spans="1:7" ht="12.75">
      <c r="A150" s="5"/>
      <c r="B150" t="s">
        <v>26</v>
      </c>
      <c r="D150" s="12">
        <v>23.257765547137396</v>
      </c>
      <c r="E150" s="12">
        <f t="shared" si="5"/>
        <v>33.72</v>
      </c>
      <c r="F150" s="12">
        <f t="shared" si="4"/>
        <v>22.21581765062564</v>
      </c>
      <c r="G150"/>
    </row>
    <row r="151" spans="1:7" ht="12.75">
      <c r="A151" s="4"/>
      <c r="B151" t="s">
        <v>27</v>
      </c>
      <c r="D151" s="12">
        <v>23</v>
      </c>
      <c r="E151" s="12">
        <f t="shared" si="5"/>
        <v>33.72</v>
      </c>
      <c r="F151" s="12">
        <f t="shared" si="4"/>
        <v>21.9696</v>
      </c>
      <c r="G151"/>
    </row>
    <row r="152" spans="2:7" ht="12.75">
      <c r="B152" t="s">
        <v>28</v>
      </c>
      <c r="D152" s="12">
        <v>333.12605042016804</v>
      </c>
      <c r="E152" s="12">
        <f t="shared" si="5"/>
        <v>33.72</v>
      </c>
      <c r="F152" s="12">
        <f t="shared" si="4"/>
        <v>318.2020033613445</v>
      </c>
      <c r="G152"/>
    </row>
    <row r="153" spans="2:7" ht="12.75">
      <c r="B153" t="s">
        <v>29</v>
      </c>
      <c r="D153" s="12">
        <v>11</v>
      </c>
      <c r="E153" s="12">
        <f t="shared" si="5"/>
        <v>33.72</v>
      </c>
      <c r="F153" s="12">
        <f t="shared" si="4"/>
        <v>10.507200000000001</v>
      </c>
      <c r="G153"/>
    </row>
    <row r="154" spans="2:7" ht="12.75">
      <c r="B154" t="s">
        <v>30</v>
      </c>
      <c r="D154" s="12">
        <v>40.73252012629906</v>
      </c>
      <c r="E154" s="12">
        <f t="shared" si="5"/>
        <v>33.72</v>
      </c>
      <c r="F154" s="12">
        <f t="shared" si="4"/>
        <v>38.90770322464086</v>
      </c>
      <c r="G154"/>
    </row>
    <row r="155" spans="2:7" ht="12.75">
      <c r="B155" t="s">
        <v>31</v>
      </c>
      <c r="D155" s="12">
        <v>0</v>
      </c>
      <c r="E155" s="12">
        <f t="shared" si="5"/>
        <v>33.72</v>
      </c>
      <c r="F155" s="12">
        <f t="shared" si="4"/>
        <v>0</v>
      </c>
      <c r="G155"/>
    </row>
    <row r="156" spans="1:7" ht="12.75">
      <c r="A156" s="5"/>
      <c r="B156" t="s">
        <v>32</v>
      </c>
      <c r="D156" s="12">
        <v>17.130946965494285</v>
      </c>
      <c r="E156" s="12">
        <f t="shared" si="5"/>
        <v>33.72</v>
      </c>
      <c r="F156" s="12">
        <f t="shared" si="4"/>
        <v>16.363480541440143</v>
      </c>
      <c r="G156"/>
    </row>
    <row r="157" spans="1:7" ht="12.75">
      <c r="A157" s="4"/>
      <c r="B157" t="s">
        <v>33</v>
      </c>
      <c r="D157" s="12">
        <v>27.61413892023834</v>
      </c>
      <c r="E157" s="12">
        <f t="shared" si="5"/>
        <v>33.72</v>
      </c>
      <c r="F157" s="12">
        <f t="shared" si="4"/>
        <v>26.37702549661166</v>
      </c>
      <c r="G157"/>
    </row>
    <row r="158" spans="2:7" ht="12.75">
      <c r="B158" t="s">
        <v>34</v>
      </c>
      <c r="D158" s="12">
        <v>37.32651371070922</v>
      </c>
      <c r="E158" s="12">
        <f t="shared" si="5"/>
        <v>33.72</v>
      </c>
      <c r="F158" s="12">
        <f t="shared" si="4"/>
        <v>35.65428589646945</v>
      </c>
      <c r="G158"/>
    </row>
    <row r="159" spans="1:7" ht="12.75">
      <c r="A159" s="5"/>
      <c r="B159" t="s">
        <v>35</v>
      </c>
      <c r="D159" s="12">
        <v>15.099995858527292</v>
      </c>
      <c r="E159" s="12">
        <f t="shared" si="5"/>
        <v>33.72</v>
      </c>
      <c r="F159" s="12">
        <f t="shared" si="4"/>
        <v>14.42351604406527</v>
      </c>
      <c r="G159"/>
    </row>
    <row r="160" spans="2:7" ht="12.75">
      <c r="B160" t="s">
        <v>36</v>
      </c>
      <c r="D160" s="12">
        <v>26.186601118038816</v>
      </c>
      <c r="E160" s="12">
        <f t="shared" si="5"/>
        <v>33.72</v>
      </c>
      <c r="F160" s="12">
        <f t="shared" si="4"/>
        <v>25.013441387950678</v>
      </c>
      <c r="G160"/>
    </row>
    <row r="161" spans="1:7" ht="12.75">
      <c r="A161" s="4"/>
      <c r="B161" t="s">
        <v>37</v>
      </c>
      <c r="D161" s="12">
        <v>0</v>
      </c>
      <c r="E161" s="12">
        <f t="shared" si="5"/>
        <v>33.72</v>
      </c>
      <c r="F161" s="12">
        <f t="shared" si="4"/>
        <v>0</v>
      </c>
      <c r="G161"/>
    </row>
    <row r="162" spans="2:7" ht="12.75">
      <c r="B162" t="s">
        <v>38</v>
      </c>
      <c r="D162" s="12">
        <v>19.18809917355372</v>
      </c>
      <c r="E162" s="12">
        <f t="shared" si="5"/>
        <v>33.72</v>
      </c>
      <c r="F162" s="12">
        <f t="shared" si="4"/>
        <v>18.328472330578514</v>
      </c>
      <c r="G162"/>
    </row>
    <row r="163" spans="2:7" ht="12.75">
      <c r="B163" t="s">
        <v>39</v>
      </c>
      <c r="D163" s="12">
        <v>17.614445164542378</v>
      </c>
      <c r="E163" s="12">
        <f t="shared" si="5"/>
        <v>33.72</v>
      </c>
      <c r="F163" s="12">
        <f t="shared" si="4"/>
        <v>16.82531802117088</v>
      </c>
      <c r="G163"/>
    </row>
    <row r="164" spans="1:7" ht="12.75">
      <c r="A164" s="13"/>
      <c r="B164" s="3" t="s">
        <v>40</v>
      </c>
      <c r="C164" s="3"/>
      <c r="D164" s="14">
        <v>16.622051519766902</v>
      </c>
      <c r="E164" s="14">
        <f t="shared" si="5"/>
        <v>33.72</v>
      </c>
      <c r="F164" s="12">
        <f t="shared" si="4"/>
        <v>15.877383611681346</v>
      </c>
      <c r="G164"/>
    </row>
    <row r="165" spans="2:7" ht="12.75">
      <c r="B165" t="s">
        <v>41</v>
      </c>
      <c r="D165" s="12">
        <v>16.30273224043716</v>
      </c>
      <c r="E165" s="12">
        <f t="shared" si="5"/>
        <v>33.72</v>
      </c>
      <c r="F165" s="12">
        <f t="shared" si="4"/>
        <v>15.572369836065574</v>
      </c>
      <c r="G165"/>
    </row>
    <row r="166" spans="2:7" ht="12.75">
      <c r="B166" t="s">
        <v>42</v>
      </c>
      <c r="D166" s="12">
        <v>28</v>
      </c>
      <c r="E166" s="12">
        <f t="shared" si="5"/>
        <v>33.72</v>
      </c>
      <c r="F166" s="12">
        <f t="shared" si="4"/>
        <v>26.745600000000003</v>
      </c>
      <c r="G166"/>
    </row>
    <row r="167" spans="2:7" ht="12.75">
      <c r="B167" t="s">
        <v>43</v>
      </c>
      <c r="D167" s="12">
        <v>49.82749286002137</v>
      </c>
      <c r="E167" s="12">
        <f t="shared" si="5"/>
        <v>33.72</v>
      </c>
      <c r="F167" s="12">
        <f t="shared" si="4"/>
        <v>47.59522117989242</v>
      </c>
      <c r="G167"/>
    </row>
    <row r="168" spans="1:7" ht="12.75">
      <c r="A168" s="4"/>
      <c r="B168" t="s">
        <v>44</v>
      </c>
      <c r="D168" s="12">
        <v>52.24297152690023</v>
      </c>
      <c r="E168" s="12">
        <f t="shared" si="5"/>
        <v>33.72</v>
      </c>
      <c r="F168" s="12">
        <f t="shared" si="4"/>
        <v>49.9024864024951</v>
      </c>
      <c r="G168"/>
    </row>
    <row r="169" spans="1:7" ht="12.75">
      <c r="A169" s="13"/>
      <c r="B169" s="3" t="s">
        <v>45</v>
      </c>
      <c r="C169" s="3"/>
      <c r="D169" s="14">
        <v>60.41765910823171</v>
      </c>
      <c r="E169" s="14">
        <f t="shared" si="5"/>
        <v>33.72</v>
      </c>
      <c r="F169" s="12">
        <f t="shared" si="4"/>
        <v>57.71094798018293</v>
      </c>
      <c r="G169"/>
    </row>
    <row r="170" spans="2:7" ht="12.75">
      <c r="B170" t="s">
        <v>46</v>
      </c>
      <c r="D170" s="12">
        <v>30.50018500479502</v>
      </c>
      <c r="E170" s="12">
        <f t="shared" si="5"/>
        <v>33.72</v>
      </c>
      <c r="F170" s="12">
        <f t="shared" si="4"/>
        <v>29.133776716580204</v>
      </c>
      <c r="G170"/>
    </row>
    <row r="171" spans="1:7" ht="12.75">
      <c r="A171" s="5"/>
      <c r="B171" t="s">
        <v>47</v>
      </c>
      <c r="D171" s="12">
        <v>130.68967608694712</v>
      </c>
      <c r="E171" s="12">
        <f t="shared" si="5"/>
        <v>33.72</v>
      </c>
      <c r="F171" s="12">
        <f t="shared" si="4"/>
        <v>124.83477859825189</v>
      </c>
      <c r="G171"/>
    </row>
    <row r="172" spans="2:7" ht="12.75">
      <c r="B172" t="s">
        <v>48</v>
      </c>
      <c r="D172" s="12">
        <v>23.85</v>
      </c>
      <c r="E172" s="12">
        <f t="shared" si="5"/>
        <v>33.72</v>
      </c>
      <c r="F172" s="12">
        <f t="shared" si="4"/>
        <v>22.781520000000004</v>
      </c>
      <c r="G172"/>
    </row>
    <row r="173" spans="2:7" ht="12.75">
      <c r="B173" t="s">
        <v>49</v>
      </c>
      <c r="D173" s="12">
        <v>63.71009838977307</v>
      </c>
      <c r="E173" s="12">
        <f t="shared" si="5"/>
        <v>33.72</v>
      </c>
      <c r="F173" s="12">
        <f t="shared" si="4"/>
        <v>60.85588598191124</v>
      </c>
      <c r="G173"/>
    </row>
    <row r="174" spans="2:7" ht="12.75">
      <c r="B174" s="34" t="s">
        <v>103</v>
      </c>
      <c r="C174" s="34"/>
      <c r="D174" s="35">
        <v>16.45</v>
      </c>
      <c r="E174" s="35">
        <f t="shared" si="5"/>
        <v>33.72</v>
      </c>
      <c r="F174" s="35">
        <f t="shared" si="4"/>
        <v>15.71304</v>
      </c>
      <c r="G174"/>
    </row>
    <row r="175" spans="2:7" ht="12.75">
      <c r="B175" t="s">
        <v>50</v>
      </c>
      <c r="D175" s="12">
        <v>117.50041585501756</v>
      </c>
      <c r="E175" s="12">
        <f>+E173</f>
        <v>33.72</v>
      </c>
      <c r="F175" s="12">
        <f t="shared" si="4"/>
        <v>112.23639722471279</v>
      </c>
      <c r="G175"/>
    </row>
    <row r="176" spans="2:7" ht="12.75">
      <c r="B176" t="s">
        <v>51</v>
      </c>
      <c r="D176" s="12">
        <v>152.17338025806256</v>
      </c>
      <c r="E176" s="12">
        <f t="shared" si="5"/>
        <v>33.72</v>
      </c>
      <c r="F176" s="12">
        <f t="shared" si="4"/>
        <v>145.35601282250136</v>
      </c>
      <c r="G176"/>
    </row>
    <row r="177" spans="2:7" ht="12.75">
      <c r="B177" t="s">
        <v>52</v>
      </c>
      <c r="D177" s="12">
        <v>95.63388553624802</v>
      </c>
      <c r="E177" s="12">
        <f t="shared" si="5"/>
        <v>33.72</v>
      </c>
      <c r="F177" s="12">
        <f t="shared" si="4"/>
        <v>91.34948746422411</v>
      </c>
      <c r="G177"/>
    </row>
    <row r="178" spans="2:7" ht="12.75">
      <c r="B178" t="s">
        <v>53</v>
      </c>
      <c r="D178" s="12">
        <v>102.35112624159161</v>
      </c>
      <c r="E178" s="12">
        <f t="shared" si="5"/>
        <v>33.72</v>
      </c>
      <c r="F178" s="12">
        <f t="shared" si="4"/>
        <v>97.76579578596832</v>
      </c>
      <c r="G178"/>
    </row>
    <row r="180" spans="2:4" ht="12.75">
      <c r="B180">
        <v>0</v>
      </c>
      <c r="C180" t="s">
        <v>54</v>
      </c>
      <c r="D180">
        <v>105.32669108785976</v>
      </c>
    </row>
    <row r="181" spans="2:4" ht="12.75">
      <c r="B181">
        <v>0</v>
      </c>
      <c r="C181" t="s">
        <v>55</v>
      </c>
      <c r="D181">
        <v>89.65992673100635</v>
      </c>
    </row>
  </sheetData>
  <mergeCells count="2">
    <mergeCell ref="G7:J7"/>
    <mergeCell ref="F1:H1"/>
  </mergeCells>
  <printOptions/>
  <pageMargins left="0.75" right="0.75" top="1" bottom="2.64" header="0.5" footer="0.5"/>
  <pageSetup fitToHeight="3" fitToWidth="1" horizontalDpi="600" verticalDpi="600" orientation="portrait" scale="63" r:id="rId1"/>
  <headerFooter alignWithMargins="0">
    <oddHeader>&amp;L&amp;"Arial,Bold"Long Term Firm Revenue Adjustment Worksheet
&amp;R&amp;9Docket No. 01-035-01
Witness:  Rebecca L. Wilson
Exhibit No. DPU 8.2 Revised
Pages 3-5</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workbookViewId="0" topLeftCell="A1">
      <selection activeCell="A12" sqref="A12"/>
    </sheetView>
  </sheetViews>
  <sheetFormatPr defaultColWidth="9.140625" defaultRowHeight="12.75"/>
  <cols>
    <col min="1" max="1" width="24.57421875" style="0" customWidth="1"/>
    <col min="4" max="4" width="17.28125" style="0" customWidth="1"/>
    <col min="6" max="6" width="13.7109375" style="0" customWidth="1"/>
    <col min="7" max="7" width="14.140625" style="0" customWidth="1"/>
  </cols>
  <sheetData>
    <row r="1" spans="4:7" ht="12.75">
      <c r="D1" s="18"/>
      <c r="F1" s="19"/>
      <c r="G1" t="s">
        <v>81</v>
      </c>
    </row>
    <row r="2" spans="4:7" ht="12.75">
      <c r="D2" s="18"/>
      <c r="F2" s="19"/>
      <c r="G2" t="s">
        <v>82</v>
      </c>
    </row>
    <row r="3" spans="4:7" ht="12.75">
      <c r="D3" s="18"/>
      <c r="F3" s="19"/>
      <c r="G3" t="s">
        <v>138</v>
      </c>
    </row>
    <row r="4" spans="4:7" ht="12.75">
      <c r="D4" s="18"/>
      <c r="F4" s="19"/>
      <c r="G4" t="s">
        <v>137</v>
      </c>
    </row>
    <row r="5" spans="1:6" ht="12.75">
      <c r="A5" t="s">
        <v>83</v>
      </c>
      <c r="D5" s="18"/>
      <c r="F5" s="19"/>
    </row>
    <row r="6" spans="1:6" ht="12.75">
      <c r="A6" t="s">
        <v>84</v>
      </c>
      <c r="D6" s="18"/>
      <c r="F6" s="19"/>
    </row>
    <row r="7" spans="1:6" ht="12.75">
      <c r="A7" t="s">
        <v>85</v>
      </c>
      <c r="D7" s="18"/>
      <c r="F7" s="19"/>
    </row>
    <row r="8" spans="1:8" ht="12.75">
      <c r="A8" s="20"/>
      <c r="B8" s="21"/>
      <c r="C8" s="21"/>
      <c r="D8" s="22" t="s">
        <v>86</v>
      </c>
      <c r="E8" s="21"/>
      <c r="F8" s="23"/>
      <c r="G8" s="21" t="s">
        <v>87</v>
      </c>
      <c r="H8" s="20"/>
    </row>
    <row r="9" spans="1:8" ht="12.75">
      <c r="A9" s="20" t="s">
        <v>88</v>
      </c>
      <c r="B9" s="21" t="s">
        <v>89</v>
      </c>
      <c r="C9" s="21" t="s">
        <v>90</v>
      </c>
      <c r="D9" s="22" t="s">
        <v>91</v>
      </c>
      <c r="E9" s="21" t="s">
        <v>92</v>
      </c>
      <c r="F9" s="23" t="s">
        <v>93</v>
      </c>
      <c r="G9" s="21" t="s">
        <v>94</v>
      </c>
      <c r="H9" s="20"/>
    </row>
    <row r="10" spans="1:7" ht="12.75">
      <c r="A10" t="s">
        <v>95</v>
      </c>
      <c r="B10" s="24">
        <v>447</v>
      </c>
      <c r="C10" s="24"/>
      <c r="D10" s="25">
        <f>+'Exhibit No. 8.2 Worksheet'!F58</f>
        <v>63161359.16630389</v>
      </c>
      <c r="E10" s="24" t="s">
        <v>96</v>
      </c>
      <c r="F10" s="26">
        <v>0.3706336001613037</v>
      </c>
      <c r="G10" s="25">
        <f>+F10*D10</f>
        <v>23409721.93888837</v>
      </c>
    </row>
    <row r="11" spans="4:7" ht="12.75">
      <c r="D11" s="18"/>
      <c r="F11" s="19"/>
      <c r="G11" s="18"/>
    </row>
    <row r="12" spans="4:7" ht="12.75">
      <c r="D12" s="18"/>
      <c r="F12" s="19"/>
      <c r="G12" s="1"/>
    </row>
    <row r="13" spans="4:7" ht="12.75">
      <c r="D13" s="18"/>
      <c r="F13" s="19"/>
      <c r="G13" s="2"/>
    </row>
    <row r="14" spans="4:6" ht="12.75">
      <c r="D14" s="18"/>
      <c r="F14" s="19"/>
    </row>
    <row r="15" spans="4:6" ht="12.75">
      <c r="D15" s="18"/>
      <c r="F15" s="19"/>
    </row>
    <row r="16" spans="4:6" ht="12.75">
      <c r="D16" s="18"/>
      <c r="F16" s="19"/>
    </row>
    <row r="17" spans="4:6" ht="12.75">
      <c r="D17" s="18"/>
      <c r="F17" s="19"/>
    </row>
    <row r="18" spans="4:6" ht="12.75">
      <c r="D18" s="18"/>
      <c r="F18" s="19"/>
    </row>
    <row r="19" spans="4:6" ht="12.75">
      <c r="D19" s="18"/>
      <c r="F19" s="19"/>
    </row>
    <row r="20" spans="4:6" ht="12.75">
      <c r="D20" s="18"/>
      <c r="F20" s="19"/>
    </row>
    <row r="21" spans="4:6" ht="12.75">
      <c r="D21" s="18"/>
      <c r="F21" s="19"/>
    </row>
    <row r="22" spans="4:6" ht="12.75">
      <c r="D22" s="18"/>
      <c r="F22" s="19"/>
    </row>
    <row r="23" spans="4:6" ht="12.75">
      <c r="D23" s="18"/>
      <c r="F23" s="19"/>
    </row>
    <row r="24" spans="4:6" ht="12.75">
      <c r="D24" s="18"/>
      <c r="F24" s="19"/>
    </row>
    <row r="25" spans="4:6" ht="12.75">
      <c r="D25" s="18"/>
      <c r="F25" s="19"/>
    </row>
    <row r="26" spans="4:6" ht="12.75">
      <c r="D26" s="18"/>
      <c r="F26" s="19"/>
    </row>
    <row r="27" spans="1:6" ht="12.75" customHeight="1" thickBot="1">
      <c r="A27" s="20" t="s">
        <v>97</v>
      </c>
      <c r="D27" s="18"/>
      <c r="F27" s="19"/>
    </row>
    <row r="28" spans="1:8" ht="122.25" customHeight="1" thickBot="1">
      <c r="A28" s="98" t="s">
        <v>139</v>
      </c>
      <c r="B28" s="99"/>
      <c r="C28" s="99"/>
      <c r="D28" s="99"/>
      <c r="E28" s="99"/>
      <c r="F28" s="99"/>
      <c r="G28" s="99"/>
      <c r="H28" s="100"/>
    </row>
    <row r="29" spans="4:6" ht="12.75">
      <c r="D29" s="18"/>
      <c r="F29" s="19"/>
    </row>
    <row r="30" spans="4:6" ht="12.75">
      <c r="D30" s="18"/>
      <c r="F30" s="19"/>
    </row>
    <row r="31" spans="4:6" ht="12.75">
      <c r="D31" s="18"/>
      <c r="F31" s="19"/>
    </row>
    <row r="33" ht="13.5" customHeight="1"/>
    <row r="34" spans="4:6" ht="12.75">
      <c r="D34" s="18"/>
      <c r="F34" s="19"/>
    </row>
  </sheetData>
  <mergeCells count="1">
    <mergeCell ref="A28:H28"/>
  </mergeCells>
  <printOptions/>
  <pageMargins left="0.75" right="0.75" top="1" bottom="1"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rwilson</dc:creator>
  <cp:keywords/>
  <dc:description/>
  <cp:lastModifiedBy>psc</cp:lastModifiedBy>
  <cp:lastPrinted>2001-07-14T02:02:47Z</cp:lastPrinted>
  <dcterms:created xsi:type="dcterms:W3CDTF">2001-05-21T16:30:40Z</dcterms:created>
  <dcterms:modified xsi:type="dcterms:W3CDTF">2001-07-17T14:36:27Z</dcterms:modified>
  <cp:category/>
  <cp:version/>
  <cp:contentType/>
  <cp:contentStatus/>
</cp:coreProperties>
</file>