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hisWorkbook" defaultThemeVersion="124226"/>
  <bookViews>
    <workbookView xWindow="30" yWindow="-15" windowWidth="11310" windowHeight="10125"/>
  </bookViews>
  <sheets>
    <sheet name="Appendix B" sheetId="32" r:id="rId1"/>
    <sheet name="Table 1" sheetId="25" r:id="rId2"/>
    <sheet name="Table 2 &amp; 3" sheetId="17" r:id="rId3"/>
    <sheet name="Table 4" sheetId="29" r:id="rId4"/>
    <sheet name="Table 5" sheetId="28" r:id="rId5"/>
  </sheets>
  <definedNames>
    <definedName name="_xlnm.Print_Area" localSheetId="0">'Appendix B'!$A$1:$F$38</definedName>
    <definedName name="_xlnm.Print_Area" localSheetId="1">'Table 1'!$A$1:$H$45</definedName>
    <definedName name="_xlnm.Print_Area" localSheetId="2">'Table 2 &amp; 3'!$B$1:$Q$64</definedName>
    <definedName name="_xlnm.Print_Area" localSheetId="3">'Table 4'!$B$1:$K$90</definedName>
    <definedName name="_xlnm.Print_Area" localSheetId="4">'Table 5'!$A$1:$D$35</definedName>
    <definedName name="_xlnm.Print_Titles" localSheetId="2">'Table 2 &amp; 3'!$1:$9</definedName>
  </definedNames>
  <calcPr calcId="124519" calcOnSave="0"/>
</workbook>
</file>

<file path=xl/calcChain.xml><?xml version="1.0" encoding="utf-8"?>
<calcChain xmlns="http://schemas.openxmlformats.org/spreadsheetml/2006/main">
  <c r="B34" i="25"/>
  <c r="D70" i="29" l="1"/>
  <c r="C70"/>
  <c r="C10" i="25" l="1"/>
  <c r="B38" i="32"/>
  <c r="C7"/>
  <c r="B45" i="25" l="1"/>
  <c r="I33" l="1"/>
  <c r="G28" i="32" l="1"/>
  <c r="B36"/>
  <c r="C81" i="29" l="1"/>
  <c r="C82" l="1"/>
  <c r="C83" l="1"/>
  <c r="C84" l="1"/>
  <c r="C85" l="1"/>
  <c r="C86" l="1"/>
  <c r="C87" l="1"/>
  <c r="C88" l="1"/>
  <c r="F80" l="1"/>
  <c r="F81" l="1"/>
  <c r="F82" l="1"/>
  <c r="F83" l="1"/>
  <c r="F84" l="1"/>
  <c r="F85" l="1"/>
  <c r="F86" l="1"/>
  <c r="F87" l="1"/>
  <c r="F88" l="1"/>
  <c r="I80" l="1"/>
  <c r="I81" l="1"/>
  <c r="I82" l="1"/>
  <c r="I83" l="1"/>
  <c r="I84" l="1"/>
  <c r="I85" l="1"/>
  <c r="I86" l="1"/>
  <c r="I87" l="1"/>
  <c r="I88" l="1"/>
  <c r="B4" i="32"/>
  <c r="G29"/>
  <c r="B29" s="1"/>
  <c r="F57" i="29" l="1"/>
  <c r="F56"/>
  <c r="I267" i="28" l="1"/>
  <c r="I265"/>
  <c r="I263"/>
  <c r="I261"/>
  <c r="I259"/>
  <c r="I257"/>
  <c r="I255"/>
  <c r="I253"/>
  <c r="I251"/>
  <c r="I249"/>
  <c r="I247"/>
  <c r="I245"/>
  <c r="I243"/>
  <c r="I241"/>
  <c r="I239"/>
  <c r="I237"/>
  <c r="I235"/>
  <c r="I233"/>
  <c r="I231"/>
  <c r="I229"/>
  <c r="I227"/>
  <c r="I225"/>
  <c r="I223"/>
  <c r="I221"/>
  <c r="I219"/>
  <c r="I217"/>
  <c r="I215"/>
  <c r="I213"/>
  <c r="I211"/>
  <c r="I209"/>
  <c r="I207"/>
  <c r="I205"/>
  <c r="I203"/>
  <c r="I201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5"/>
  <c r="I106" l="1"/>
  <c r="I108"/>
  <c r="I110"/>
  <c r="I112"/>
  <c r="I114"/>
  <c r="I116"/>
  <c r="I118"/>
  <c r="I120"/>
  <c r="I122"/>
  <c r="I124"/>
  <c r="I126"/>
  <c r="I128"/>
  <c r="I130"/>
  <c r="I132"/>
  <c r="I134"/>
  <c r="I136"/>
  <c r="I138"/>
  <c r="I140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6"/>
  <c r="I18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104" l="1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B12" i="29"/>
  <c r="E66"/>
  <c r="B5"/>
  <c r="B3" i="17"/>
  <c r="B4"/>
  <c r="B6"/>
  <c r="G61" i="29"/>
  <c r="F61"/>
  <c r="G62"/>
  <c r="F62"/>
  <c r="I57"/>
  <c r="I56"/>
  <c r="H57"/>
  <c r="H56"/>
  <c r="B15"/>
  <c r="B16" s="1"/>
  <c r="B17" s="1"/>
  <c r="B18" s="1"/>
  <c r="B19" s="1"/>
  <c r="B20" s="1"/>
  <c r="K61"/>
  <c r="K62"/>
  <c r="D74"/>
  <c r="D50"/>
  <c r="C50"/>
  <c r="C49"/>
  <c r="C48"/>
  <c r="D47"/>
  <c r="C47"/>
  <c r="C46"/>
  <c r="D45"/>
  <c r="C45"/>
  <c r="B15" i="28"/>
  <c r="B5"/>
  <c r="B36" i="17" l="1"/>
  <c r="B3" i="29" s="1"/>
  <c r="B3" i="28" s="1"/>
  <c r="D48" i="29" s="1"/>
  <c r="B16" i="28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C34" s="1"/>
  <c r="B21" i="29"/>
  <c r="B22" s="1"/>
  <c r="H61"/>
  <c r="F58"/>
  <c r="G56" s="1"/>
  <c r="C30" i="28"/>
  <c r="C31"/>
  <c r="H62" i="29"/>
  <c r="C24" i="28"/>
  <c r="C20"/>
  <c r="C16"/>
  <c r="C26"/>
  <c r="C22"/>
  <c r="C18"/>
  <c r="C14"/>
  <c r="I20" i="29" s="1"/>
  <c r="C29" i="28"/>
  <c r="C27"/>
  <c r="C25"/>
  <c r="C23"/>
  <c r="C21"/>
  <c r="C19"/>
  <c r="C17"/>
  <c r="C15"/>
  <c r="I21" i="29" s="1"/>
  <c r="I58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F63"/>
  <c r="C33" i="28" l="1"/>
  <c r="H58" i="29"/>
  <c r="C14" s="1"/>
  <c r="D14" s="1"/>
  <c r="D15" s="1"/>
  <c r="D16" s="1"/>
  <c r="D17" s="1"/>
  <c r="D18" s="1"/>
  <c r="D19" s="1"/>
  <c r="D20" s="1"/>
  <c r="C32" i="28"/>
  <c r="B23" i="29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I40" s="1"/>
  <c r="I22"/>
  <c r="I23"/>
  <c r="I24"/>
  <c r="I26"/>
  <c r="I25"/>
  <c r="I33"/>
  <c r="J62"/>
  <c r="J61"/>
  <c r="I30"/>
  <c r="D21"/>
  <c r="H63"/>
  <c r="C28" i="28"/>
  <c r="I34" i="29" s="1"/>
  <c r="G57"/>
  <c r="G58" s="1"/>
  <c r="I31" l="1"/>
  <c r="I36"/>
  <c r="I39"/>
  <c r="I28"/>
  <c r="I29"/>
  <c r="I37"/>
  <c r="I32"/>
  <c r="I35"/>
  <c r="I27"/>
  <c r="I38"/>
  <c r="D22"/>
  <c r="I61"/>
  <c r="I62" s="1"/>
  <c r="J63" s="1"/>
  <c r="F14" s="1"/>
  <c r="F15" s="1"/>
  <c r="D76"/>
  <c r="D77" s="1"/>
  <c r="G63"/>
  <c r="D46" s="1"/>
  <c r="I63"/>
  <c r="K63"/>
  <c r="E77"/>
  <c r="J38" l="1"/>
  <c r="J20"/>
  <c r="J21"/>
  <c r="J22"/>
  <c r="J30"/>
  <c r="J34"/>
  <c r="J26"/>
  <c r="D49"/>
  <c r="J32"/>
  <c r="J28"/>
  <c r="J24"/>
  <c r="J40"/>
  <c r="D23"/>
  <c r="G15"/>
  <c r="F16"/>
  <c r="J35"/>
  <c r="J33"/>
  <c r="J31"/>
  <c r="J29"/>
  <c r="J27"/>
  <c r="J25"/>
  <c r="J23"/>
  <c r="J37"/>
  <c r="G14"/>
  <c r="H14" s="1"/>
  <c r="J36"/>
  <c r="J39"/>
  <c r="D24" l="1"/>
  <c r="F17"/>
  <c r="G16"/>
  <c r="H15"/>
  <c r="D25" l="1"/>
  <c r="F18"/>
  <c r="G17"/>
  <c r="H16"/>
  <c r="D26" l="1"/>
  <c r="F19"/>
  <c r="G18"/>
  <c r="H17"/>
  <c r="D27" l="1"/>
  <c r="G19"/>
  <c r="F20"/>
  <c r="H18"/>
  <c r="D28" l="1"/>
  <c r="F21"/>
  <c r="G20"/>
  <c r="H19"/>
  <c r="D29" l="1"/>
  <c r="G21"/>
  <c r="H21" s="1"/>
  <c r="F22"/>
  <c r="H20"/>
  <c r="K20" l="1"/>
  <c r="K21"/>
  <c r="D30"/>
  <c r="F23"/>
  <c r="G22"/>
  <c r="H22" s="1"/>
  <c r="K22" l="1"/>
  <c r="D31"/>
  <c r="G23"/>
  <c r="H23" s="1"/>
  <c r="F24"/>
  <c r="D32" l="1"/>
  <c r="F25"/>
  <c r="G24"/>
  <c r="H24" s="1"/>
  <c r="K23"/>
  <c r="D33" l="1"/>
  <c r="F26"/>
  <c r="G25"/>
  <c r="H25" s="1"/>
  <c r="K24"/>
  <c r="D34" l="1"/>
  <c r="F27"/>
  <c r="G26"/>
  <c r="H26" s="1"/>
  <c r="K25"/>
  <c r="D35" l="1"/>
  <c r="F28"/>
  <c r="G27"/>
  <c r="H27" s="1"/>
  <c r="K26"/>
  <c r="D36" l="1"/>
  <c r="G28"/>
  <c r="H28" s="1"/>
  <c r="F29"/>
  <c r="K27"/>
  <c r="D37" l="1"/>
  <c r="F30"/>
  <c r="G29"/>
  <c r="H29" s="1"/>
  <c r="K28"/>
  <c r="D38" l="1"/>
  <c r="D39" s="1"/>
  <c r="D40" s="1"/>
  <c r="G30"/>
  <c r="H30" s="1"/>
  <c r="F31"/>
  <c r="K29"/>
  <c r="F32" l="1"/>
  <c r="G31"/>
  <c r="H31" s="1"/>
  <c r="K30"/>
  <c r="G32" l="1"/>
  <c r="H32" s="1"/>
  <c r="F33"/>
  <c r="K31"/>
  <c r="G33" l="1"/>
  <c r="H33" s="1"/>
  <c r="F34"/>
  <c r="K32"/>
  <c r="G34" l="1"/>
  <c r="H34" s="1"/>
  <c r="F35"/>
  <c r="K33"/>
  <c r="K34" l="1"/>
  <c r="F36"/>
  <c r="G35"/>
  <c r="H35" s="1"/>
  <c r="F37" l="1"/>
  <c r="G36"/>
  <c r="H36" s="1"/>
  <c r="K35"/>
  <c r="F38" l="1"/>
  <c r="G37"/>
  <c r="H37" s="1"/>
  <c r="K36"/>
  <c r="K37" l="1"/>
  <c r="F39"/>
  <c r="G38"/>
  <c r="H38" s="1"/>
  <c r="K38" s="1"/>
  <c r="F40" l="1"/>
  <c r="G40" s="1"/>
  <c r="H40" s="1"/>
  <c r="K40" s="1"/>
  <c r="G39"/>
  <c r="H39" s="1"/>
  <c r="K39" s="1"/>
  <c r="B42" i="17" l="1"/>
  <c r="Q42" l="1"/>
  <c r="B43"/>
  <c r="B13" i="25"/>
  <c r="Q12" i="17"/>
  <c r="B13"/>
  <c r="B44" l="1"/>
  <c r="Q43"/>
  <c r="B14"/>
  <c r="Q13"/>
  <c r="C13" i="25"/>
  <c r="B8" i="32"/>
  <c r="B14" i="25"/>
  <c r="Q44" i="17" l="1"/>
  <c r="B45"/>
  <c r="D14" i="25"/>
  <c r="B15"/>
  <c r="C14"/>
  <c r="B15" i="17"/>
  <c r="Q14"/>
  <c r="B9" i="32"/>
  <c r="B46" i="17" l="1"/>
  <c r="Q45"/>
  <c r="B10" i="32"/>
  <c r="Q15" i="17"/>
  <c r="B16"/>
  <c r="B16" i="25"/>
  <c r="C15"/>
  <c r="D15"/>
  <c r="Q46" i="17" l="1"/>
  <c r="B47"/>
  <c r="D16" i="25"/>
  <c r="B17"/>
  <c r="C16"/>
  <c r="Q16" i="17"/>
  <c r="B17"/>
  <c r="B11" i="32"/>
  <c r="B48" i="17" l="1"/>
  <c r="Q47"/>
  <c r="D17" i="25"/>
  <c r="C17"/>
  <c r="B18"/>
  <c r="B12" i="32"/>
  <c r="Q17" i="17"/>
  <c r="B18"/>
  <c r="Q48" l="1"/>
  <c r="B49"/>
  <c r="B19" i="25"/>
  <c r="D18"/>
  <c r="C18"/>
  <c r="B19" i="17"/>
  <c r="Q18"/>
  <c r="B13" i="32"/>
  <c r="B50" i="17" l="1"/>
  <c r="Q49"/>
  <c r="B14" i="32"/>
  <c r="B20" i="17"/>
  <c r="Q19"/>
  <c r="D19" i="25"/>
  <c r="C19"/>
  <c r="B20"/>
  <c r="Q50" i="17" l="1"/>
  <c r="B51"/>
  <c r="B15" i="32"/>
  <c r="B21" i="25"/>
  <c r="D20"/>
  <c r="C20"/>
  <c r="Q20" i="17"/>
  <c r="B21"/>
  <c r="B52" l="1"/>
  <c r="Q51"/>
  <c r="B22"/>
  <c r="Q21"/>
  <c r="B22" i="25"/>
  <c r="C21"/>
  <c r="D21"/>
  <c r="B16" i="32"/>
  <c r="Q52" i="17" l="1"/>
  <c r="B53"/>
  <c r="B17" i="32"/>
  <c r="C22" i="25"/>
  <c r="B23"/>
  <c r="D22"/>
  <c r="B23" i="17"/>
  <c r="Q22"/>
  <c r="B54" l="1"/>
  <c r="Q53"/>
  <c r="B18" i="32"/>
  <c r="B24" i="17"/>
  <c r="Q23"/>
  <c r="C23" i="25"/>
  <c r="D23"/>
  <c r="B24"/>
  <c r="Q54" i="17" l="1"/>
  <c r="B55"/>
  <c r="D24" i="25"/>
  <c r="C24"/>
  <c r="B25"/>
  <c r="Q24" i="17"/>
  <c r="B25"/>
  <c r="B19" i="32"/>
  <c r="B56" i="17" l="1"/>
  <c r="Q55"/>
  <c r="B20" i="32"/>
  <c r="B26" i="17"/>
  <c r="Q25"/>
  <c r="D25" i="25"/>
  <c r="B26"/>
  <c r="C25"/>
  <c r="Q56" i="17" l="1"/>
  <c r="B57"/>
  <c r="Q26"/>
  <c r="B27"/>
  <c r="B27" i="25"/>
  <c r="C26"/>
  <c r="B21" i="32"/>
  <c r="B58" i="17" l="1"/>
  <c r="Q57"/>
  <c r="B22" i="32"/>
  <c r="Q27" i="17"/>
  <c r="B28"/>
  <c r="B28" i="25"/>
  <c r="C27"/>
  <c r="Q58" i="17" l="1"/>
  <c r="B59"/>
  <c r="C28" i="25"/>
  <c r="B29"/>
  <c r="Q28" i="17"/>
  <c r="B29"/>
  <c r="B23" i="32"/>
  <c r="B60" i="17" l="1"/>
  <c r="Q59"/>
  <c r="B24" i="32"/>
  <c r="B30" i="17"/>
  <c r="Q29"/>
  <c r="C29" i="25"/>
  <c r="B30"/>
  <c r="Q60" i="17" l="1"/>
  <c r="B61"/>
  <c r="Q61" s="1"/>
  <c r="Q30"/>
  <c r="B31"/>
  <c r="Q31" s="1"/>
  <c r="C30" i="25"/>
  <c r="B31"/>
  <c r="B25" i="32"/>
  <c r="B26" l="1"/>
  <c r="B32" i="25"/>
  <c r="C31"/>
  <c r="C32" l="1"/>
  <c r="C35" s="1"/>
  <c r="B41"/>
  <c r="B27" i="32"/>
  <c r="D30" l="1"/>
  <c r="B35"/>
  <c r="J46" i="17" l="1"/>
  <c r="G47"/>
  <c r="G49"/>
  <c r="L49"/>
  <c r="K50"/>
  <c r="O50"/>
  <c r="M43"/>
  <c r="O43"/>
  <c r="L43"/>
  <c r="J42"/>
  <c r="K44" l="1"/>
  <c r="E45"/>
  <c r="K46"/>
  <c r="M46"/>
  <c r="G43"/>
  <c r="M47"/>
  <c r="K43"/>
  <c r="H47"/>
  <c r="N49"/>
  <c r="F44"/>
  <c r="N44"/>
  <c r="O47"/>
  <c r="K47"/>
  <c r="N42"/>
  <c r="E47"/>
  <c r="I43"/>
  <c r="J43"/>
  <c r="O51"/>
  <c r="N50"/>
  <c r="I49"/>
  <c r="O45"/>
  <c r="G45"/>
  <c r="J45"/>
  <c r="I50"/>
  <c r="F43"/>
  <c r="F47"/>
  <c r="E43"/>
  <c r="J48"/>
  <c r="I47"/>
  <c r="M50"/>
  <c r="K42"/>
  <c r="K48"/>
  <c r="E48"/>
  <c r="G46"/>
  <c r="J50"/>
  <c r="I45"/>
  <c r="O46"/>
  <c r="K45"/>
  <c r="F50"/>
  <c r="H46"/>
  <c r="F48"/>
  <c r="L47"/>
  <c r="L48"/>
  <c r="M49"/>
  <c r="F49"/>
  <c r="N46"/>
  <c r="N45"/>
  <c r="J51"/>
  <c r="N47"/>
  <c r="N43"/>
  <c r="E49"/>
  <c r="I48"/>
  <c r="F51" l="1"/>
  <c r="G51"/>
  <c r="O48"/>
  <c r="J47"/>
  <c r="H43"/>
  <c r="N51"/>
  <c r="L51"/>
  <c r="N48"/>
  <c r="O49"/>
  <c r="E44"/>
  <c r="L46"/>
  <c r="L45"/>
  <c r="M44"/>
  <c r="J49"/>
  <c r="G50"/>
  <c r="H50"/>
  <c r="M48"/>
  <c r="M42"/>
  <c r="O44"/>
  <c r="H49"/>
  <c r="G44"/>
  <c r="I46"/>
  <c r="F45"/>
  <c r="H44"/>
  <c r="L44"/>
  <c r="E46"/>
  <c r="H45"/>
  <c r="M45"/>
  <c r="F46"/>
  <c r="H48"/>
  <c r="L42"/>
  <c r="I44"/>
  <c r="I51"/>
  <c r="E50"/>
  <c r="M51"/>
  <c r="G48"/>
  <c r="J44"/>
  <c r="O42"/>
  <c r="K49"/>
  <c r="L50"/>
  <c r="E51" l="1"/>
  <c r="H51"/>
  <c r="D44"/>
  <c r="D43"/>
  <c r="D45"/>
  <c r="D50"/>
  <c r="D51"/>
  <c r="D48" l="1"/>
  <c r="D46"/>
  <c r="D47"/>
  <c r="D49"/>
  <c r="E16" i="25" l="1"/>
  <c r="G16" s="1"/>
  <c r="E15"/>
  <c r="G15" s="1"/>
  <c r="E14"/>
  <c r="G14" s="1"/>
  <c r="E21"/>
  <c r="G21" s="1"/>
  <c r="C16" i="32" s="1"/>
  <c r="E16" l="1"/>
  <c r="C9"/>
  <c r="C10"/>
  <c r="C11"/>
  <c r="E19" i="25"/>
  <c r="G19" s="1"/>
  <c r="E17"/>
  <c r="G17" s="1"/>
  <c r="E18"/>
  <c r="G18" s="1"/>
  <c r="E20"/>
  <c r="G20" s="1"/>
  <c r="E11" i="32" l="1"/>
  <c r="E10"/>
  <c r="E9"/>
  <c r="C15"/>
  <c r="C12"/>
  <c r="C14"/>
  <c r="C13"/>
  <c r="E13" l="1"/>
  <c r="E14"/>
  <c r="E12"/>
  <c r="E15"/>
  <c r="K51" i="17" l="1"/>
  <c r="E22" i="25" l="1"/>
  <c r="G22" s="1"/>
  <c r="C17" i="32" s="1"/>
  <c r="E17" l="1"/>
  <c r="E42" i="17" l="1"/>
  <c r="I42"/>
  <c r="D42"/>
  <c r="G42" l="1"/>
  <c r="F42"/>
  <c r="H42"/>
  <c r="E13" i="25" l="1"/>
  <c r="G13" l="1"/>
  <c r="C8" i="32" l="1"/>
  <c r="E8" l="1"/>
  <c r="J56" i="17" l="1"/>
  <c r="G57"/>
  <c r="G59"/>
  <c r="L59"/>
  <c r="K60"/>
  <c r="O60"/>
  <c r="M53"/>
  <c r="O53"/>
  <c r="L53"/>
  <c r="J52"/>
  <c r="K54" l="1"/>
  <c r="E55"/>
  <c r="K56"/>
  <c r="M56"/>
  <c r="G53"/>
  <c r="M57"/>
  <c r="K53"/>
  <c r="H57"/>
  <c r="N59"/>
  <c r="F54"/>
  <c r="N54"/>
  <c r="O57"/>
  <c r="K57"/>
  <c r="N52"/>
  <c r="E57"/>
  <c r="I53"/>
  <c r="J53"/>
  <c r="O61"/>
  <c r="N60"/>
  <c r="I59"/>
  <c r="O55"/>
  <c r="G55"/>
  <c r="J55"/>
  <c r="I60"/>
  <c r="F53"/>
  <c r="F57"/>
  <c r="E53"/>
  <c r="J58"/>
  <c r="I57"/>
  <c r="M60"/>
  <c r="K52"/>
  <c r="K58"/>
  <c r="E58"/>
  <c r="G56"/>
  <c r="J60"/>
  <c r="I55"/>
  <c r="O56"/>
  <c r="K55"/>
  <c r="F60"/>
  <c r="H56"/>
  <c r="F58"/>
  <c r="L57"/>
  <c r="L58"/>
  <c r="M59"/>
  <c r="F59"/>
  <c r="N56"/>
  <c r="N55"/>
  <c r="J61"/>
  <c r="N57"/>
  <c r="N53"/>
  <c r="E59"/>
  <c r="I58"/>
  <c r="F61" l="1"/>
  <c r="G61"/>
  <c r="O58"/>
  <c r="J57"/>
  <c r="H53"/>
  <c r="N61"/>
  <c r="L61"/>
  <c r="N58"/>
  <c r="O59"/>
  <c r="E54"/>
  <c r="L56"/>
  <c r="L55"/>
  <c r="M54"/>
  <c r="J59"/>
  <c r="G60"/>
  <c r="H60"/>
  <c r="M58"/>
  <c r="M52"/>
  <c r="O54"/>
  <c r="H59"/>
  <c r="G54"/>
  <c r="I56"/>
  <c r="F55"/>
  <c r="H54"/>
  <c r="L54"/>
  <c r="E56"/>
  <c r="H55"/>
  <c r="M55"/>
  <c r="F56"/>
  <c r="H58"/>
  <c r="L52"/>
  <c r="I54"/>
  <c r="I61"/>
  <c r="E60"/>
  <c r="M61"/>
  <c r="G58"/>
  <c r="J54"/>
  <c r="O52"/>
  <c r="K59"/>
  <c r="L60"/>
  <c r="E61" l="1"/>
  <c r="H61"/>
  <c r="D54"/>
  <c r="D53"/>
  <c r="D55"/>
  <c r="D60"/>
  <c r="D61"/>
  <c r="D58" l="1"/>
  <c r="D56"/>
  <c r="D57"/>
  <c r="D59"/>
  <c r="E26" i="25" l="1"/>
  <c r="G26" s="1"/>
  <c r="C21" i="32" s="1"/>
  <c r="E25" i="25"/>
  <c r="G25" s="1"/>
  <c r="C20" i="32" s="1"/>
  <c r="E24" i="25"/>
  <c r="G24" s="1"/>
  <c r="C19" i="32" s="1"/>
  <c r="E31" i="25"/>
  <c r="G31" s="1"/>
  <c r="C26" i="32" s="1"/>
  <c r="E26" l="1"/>
  <c r="E19"/>
  <c r="E20"/>
  <c r="E21"/>
  <c r="E29" i="25"/>
  <c r="G29" s="1"/>
  <c r="C24" i="32" s="1"/>
  <c r="E27" i="25"/>
  <c r="G27" s="1"/>
  <c r="C22" i="32" s="1"/>
  <c r="E28" i="25"/>
  <c r="G28" s="1"/>
  <c r="C23" i="32" s="1"/>
  <c r="E30" i="25"/>
  <c r="G30" s="1"/>
  <c r="C25" i="32" s="1"/>
  <c r="E25" l="1"/>
  <c r="E23"/>
  <c r="E22"/>
  <c r="E24"/>
  <c r="K61" i="17" l="1"/>
  <c r="E32" i="25" l="1"/>
  <c r="G32" s="1"/>
  <c r="C27" i="32" l="1"/>
  <c r="E27" l="1"/>
  <c r="E52" i="17" l="1"/>
  <c r="I52"/>
  <c r="D52"/>
  <c r="G52" l="1"/>
  <c r="F52"/>
  <c r="H52"/>
  <c r="E23" i="25" l="1"/>
  <c r="G23" l="1"/>
  <c r="E36"/>
  <c r="C18" i="32" l="1"/>
  <c r="E18" l="1"/>
  <c r="E30" s="1"/>
  <c r="C30"/>
</calcChain>
</file>

<file path=xl/comments1.xml><?xml version="1.0" encoding="utf-8"?>
<comments xmlns="http://schemas.openxmlformats.org/spreadsheetml/2006/main">
  <authors>
    <author>PacifiCorp</author>
  </authors>
  <commentList>
    <comment ref="G5" author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<sst xmlns="http://schemas.openxmlformats.org/spreadsheetml/2006/main" count="163" uniqueCount="115">
  <si>
    <t>Year</t>
  </si>
  <si>
    <t>Energy Cost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</si>
  <si>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</si>
  <si>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</si>
  <si>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</si>
  <si>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</si>
  <si>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</si>
  <si>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</si>
  <si>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</si>
  <si>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</si>
  <si>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</si>
  <si>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</si>
  <si>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</si>
  <si>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</si>
  <si>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</si>
  <si>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</si>
  <si>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</si>
  <si>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</si>
  <si>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</si>
  <si>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</si>
  <si>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</si>
  <si>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</si>
  <si>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</si>
  <si>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</si>
  <si>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</si>
  <si>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</si>
  <si>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</si>
  <si>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</si>
  <si>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</si>
  <si>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</si>
  <si>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</si>
  <si>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</si>
  <si>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</si>
  <si>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</si>
  <si>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</si>
  <si>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</si>
  <si>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</si>
  <si>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</si>
  <si>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</si>
  <si>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</si>
  <si>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</si>
  <si>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(2)   'Energy Only' is the GRID calculated costs and includes some capacity costs.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</si>
  <si>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</si>
  <si>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</si>
  <si>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</si>
  <si>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</si>
  <si>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</si>
  <si>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</si>
  <si>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</si>
  <si>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</si>
  <si>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Denotes months with capped energy prices</t>
  </si>
  <si>
    <t>Energy Only costs are calculated by GRID and are capped at the IRP Resource Energy Cost</t>
  </si>
  <si>
    <t>IRP Resource Energy Costs are provided for comparison purposes only.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</si>
  <si>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</si>
  <si>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</si>
  <si>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</si>
  <si>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</si>
  <si>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</si>
  <si>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</si>
  <si>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</si>
  <si>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</si>
  <si>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</si>
  <si>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</si>
  <si>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</si>
  <si>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</si>
  <si>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</si>
  <si>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</si>
  <si>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</si>
  <si>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</si>
  <si>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</si>
  <si>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</si>
  <si>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</si>
  <si>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</si>
  <si>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</si>
  <si>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</si>
  <si>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</si>
  <si>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</si>
  <si>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>East Side</t>
  </si>
  <si>
    <t>East Side Natural Gas</t>
  </si>
  <si>
    <t xml:space="preserve">  MW Plant capacity</t>
  </si>
  <si>
    <t xml:space="preserve">  Fixed O&amp;M plus on-going capital cost</t>
  </si>
  <si>
    <t xml:space="preserve">  Heat Rate in btu/kWh</t>
  </si>
  <si>
    <t xml:space="preserve">  Payment Factor</t>
  </si>
  <si>
    <t xml:space="preserve">  Capacity Factor</t>
  </si>
  <si>
    <t xml:space="preserve">  Plant capacity cost</t>
  </si>
  <si>
    <t xml:space="preserve">  Energy Weighted Capacity Factor</t>
  </si>
  <si>
    <t xml:space="preserve">  Fixed Pipeline Costs in $/MWH</t>
  </si>
  <si>
    <t>(1)   Discount Rate - Company Official Discount Rate</t>
  </si>
  <si>
    <t>East</t>
  </si>
  <si>
    <t>Avoided Cost Prices $/MWh</t>
  </si>
  <si>
    <t>Avoided Cost at</t>
  </si>
  <si>
    <t>Difference</t>
  </si>
  <si>
    <t xml:space="preserve">Adjust Capacity payment for Partial Displacement </t>
  </si>
  <si>
    <t>Total Resource Energy Cost</t>
  </si>
  <si>
    <t>Total Resource Costs</t>
  </si>
  <si>
    <t>(2)   Total Avoided Costs with Capacity included at an 85% capacity factor</t>
  </si>
  <si>
    <t>CCCT (Dry "F" 2x1)  - East Side Resource (4500')</t>
  </si>
  <si>
    <t>Filing (2)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</si>
  <si>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</si>
  <si>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Variable O&amp;M Costs in $/MWh </t>
  </si>
  <si>
    <t xml:space="preserve">  Total Variable O&amp;M Costs in $/MWh includes Fixed Pipeline Costs (See Below)</t>
  </si>
  <si>
    <t>Plant Costs 2011 IRP Update - [Table 6.1 &amp; 6.3]</t>
  </si>
  <si>
    <t>(4) Capacity payment for 2016 is 7/12 of annual.  CCCT start 6/1/2016.</t>
  </si>
  <si>
    <t xml:space="preserve">Partial Displacement of East Side 597 MW CCCT (Dry "F" 2x1) </t>
  </si>
  <si>
    <t>CCCT (Dry "F" 2x1) *</t>
  </si>
  <si>
    <t>CCCT Duct Firing (Dry "F" 2x1)</t>
  </si>
  <si>
    <t>2011.Q1 Compliance</t>
  </si>
  <si>
    <t>Utah 2011.Q2 Compliance Filing - 100 MW and 85% Capacity Factor</t>
  </si>
  <si>
    <t>Avoided Energy Costs - Unscheduled or Non-dispatch hours ($/MWh)</t>
  </si>
  <si>
    <t>Company Official Inflation Forecast Dated 2011 March</t>
  </si>
  <si>
    <t xml:space="preserve">      Avoided Costs calculated monthly are  $57.93/MWH</t>
  </si>
  <si>
    <t>$57.94 (5)</t>
  </si>
  <si>
    <t xml:space="preserve">     Avoided Costs calculated monthly are  $57.93/MWH</t>
  </si>
  <si>
    <t>(5) Avoided Costs calculated annually starting January 2011</t>
  </si>
  <si>
    <t>2011 IRP Resource Cost</t>
  </si>
</sst>
</file>

<file path=xl/styles.xml><?xml version="1.0" encoding="utf-8"?>
<styleSheet xmlns="http://schemas.openxmlformats.org/spreadsheetml/2006/main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&quot;$&quot;#,##0.000_);[Red]\(&quot;$&quot;#,##0.000\)"/>
    <numFmt numFmtId="170" formatCode="_(* #,##0.000_);_(* \(#,##0.000\);_(* &quot;-&quot;_);_(@_)"/>
    <numFmt numFmtId="171" formatCode="_(&quot;$&quot;* #,##0_);_(&quot;$&quot;* \(#,##0\);_(&quot;$&quot;* &quot;-&quot;??_);_(@_)"/>
    <numFmt numFmtId="172" formatCode="mmm\ yyyy&quot;   &quot;"/>
    <numFmt numFmtId="173" formatCode="_(* #,##0_);[Red]_(* \(#,##0\);_(* &quot;-&quot;_);_(@_)"/>
  </numFmts>
  <fonts count="28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17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>
      <protection locked="0"/>
    </xf>
    <xf numFmtId="41" fontId="3" fillId="0" borderId="0"/>
    <xf numFmtId="173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0" fontId="1" fillId="0" borderId="0"/>
  </cellStyleXfs>
  <cellXfs count="212">
    <xf numFmtId="173" fontId="0" fillId="0" borderId="0" xfId="0"/>
    <xf numFmtId="173" fontId="4" fillId="0" borderId="0" xfId="0" applyFont="1" applyFill="1" applyAlignment="1">
      <alignment horizontal="centerContinuous"/>
    </xf>
    <xf numFmtId="173" fontId="6" fillId="0" borderId="0" xfId="0" quotePrefix="1" applyFont="1" applyFill="1" applyBorder="1" applyAlignment="1">
      <alignment horizontal="center"/>
    </xf>
    <xf numFmtId="173" fontId="9" fillId="0" borderId="0" xfId="0" applyFont="1" applyFill="1"/>
    <xf numFmtId="173" fontId="9" fillId="0" borderId="1" xfId="0" applyFont="1" applyFill="1" applyBorder="1" applyAlignment="1">
      <alignment horizontal="center"/>
    </xf>
    <xf numFmtId="173" fontId="10" fillId="0" borderId="0" xfId="0" applyFont="1" applyFill="1" applyAlignment="1">
      <alignment horizontal="centerContinuous"/>
    </xf>
    <xf numFmtId="173" fontId="3" fillId="0" borderId="0" xfId="0" applyFont="1" applyFill="1"/>
    <xf numFmtId="173" fontId="5" fillId="0" borderId="0" xfId="0" applyFont="1" applyFill="1" applyAlignment="1">
      <alignment horizontal="centerContinuous"/>
    </xf>
    <xf numFmtId="173" fontId="3" fillId="0" borderId="0" xfId="0" applyFont="1" applyFill="1" applyBorder="1"/>
    <xf numFmtId="173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173" fontId="7" fillId="0" borderId="0" xfId="0" applyFont="1" applyFill="1"/>
    <xf numFmtId="173" fontId="11" fillId="0" borderId="0" xfId="0" applyFont="1" applyFill="1"/>
    <xf numFmtId="173" fontId="3" fillId="0" borderId="0" xfId="0" quotePrefix="1" applyFont="1" applyFill="1" applyBorder="1" applyAlignment="1">
      <alignment horizontal="center"/>
    </xf>
    <xf numFmtId="173" fontId="7" fillId="0" borderId="0" xfId="0" applyFont="1" applyFill="1" applyAlignment="1">
      <alignment horizontal="centerContinuous"/>
    </xf>
    <xf numFmtId="173" fontId="8" fillId="0" borderId="0" xfId="0" applyFont="1" applyFill="1"/>
    <xf numFmtId="173" fontId="3" fillId="0" borderId="0" xfId="0" quotePrefix="1" applyFont="1" applyFill="1"/>
    <xf numFmtId="173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3" fontId="8" fillId="0" borderId="0" xfId="0" applyFont="1" applyFill="1" applyAlignment="1">
      <alignment horizontal="centerContinuous"/>
    </xf>
    <xf numFmtId="173" fontId="4" fillId="0" borderId="0" xfId="0" applyFont="1" applyFill="1" applyBorder="1" applyAlignment="1">
      <alignment horizontal="centerContinuous"/>
    </xf>
    <xf numFmtId="173" fontId="5" fillId="0" borderId="0" xfId="0" applyFont="1" applyFill="1" applyBorder="1" applyAlignment="1">
      <alignment horizontal="centerContinuous"/>
    </xf>
    <xf numFmtId="173" fontId="3" fillId="0" borderId="0" xfId="0" quotePrefix="1" applyFont="1" applyFill="1" applyBorder="1"/>
    <xf numFmtId="173" fontId="3" fillId="0" borderId="0" xfId="0" applyFont="1" applyFill="1" applyBorder="1" applyAlignment="1">
      <alignment horizontal="left"/>
    </xf>
    <xf numFmtId="173" fontId="9" fillId="0" borderId="3" xfId="0" applyFont="1" applyFill="1" applyBorder="1" applyAlignment="1">
      <alignment horizontal="centerContinuous"/>
    </xf>
    <xf numFmtId="173" fontId="9" fillId="0" borderId="4" xfId="0" applyFont="1" applyFill="1" applyBorder="1" applyAlignment="1">
      <alignment horizontal="centerContinuous"/>
    </xf>
    <xf numFmtId="173" fontId="9" fillId="0" borderId="5" xfId="0" applyFont="1" applyFill="1" applyBorder="1"/>
    <xf numFmtId="173" fontId="9" fillId="0" borderId="6" xfId="0" applyFont="1" applyFill="1" applyBorder="1" applyAlignment="1">
      <alignment horizontal="center"/>
    </xf>
    <xf numFmtId="173" fontId="9" fillId="0" borderId="7" xfId="0" applyFont="1" applyFill="1" applyBorder="1" applyAlignment="1">
      <alignment horizontal="centerContinuous"/>
    </xf>
    <xf numFmtId="173" fontId="9" fillId="0" borderId="5" xfId="0" applyFont="1" applyFill="1" applyBorder="1" applyAlignment="1">
      <alignment horizontal="centerContinuous"/>
    </xf>
    <xf numFmtId="173" fontId="9" fillId="0" borderId="8" xfId="0" applyFont="1" applyFill="1" applyBorder="1" applyAlignment="1">
      <alignment horizontal="centerContinuous"/>
    </xf>
    <xf numFmtId="173" fontId="9" fillId="0" borderId="9" xfId="0" applyFont="1" applyFill="1" applyBorder="1" applyAlignment="1">
      <alignment horizontal="centerContinuous"/>
    </xf>
    <xf numFmtId="173" fontId="9" fillId="0" borderId="8" xfId="0" applyFont="1" applyFill="1" applyBorder="1" applyAlignment="1">
      <alignment horizontal="center"/>
    </xf>
    <xf numFmtId="173" fontId="9" fillId="0" borderId="10" xfId="0" applyFont="1" applyFill="1" applyBorder="1" applyAlignment="1">
      <alignment horizontal="center"/>
    </xf>
    <xf numFmtId="173" fontId="9" fillId="0" borderId="5" xfId="0" quotePrefix="1" applyFont="1" applyFill="1" applyBorder="1" applyAlignment="1">
      <alignment horizontal="centerContinuous"/>
    </xf>
    <xf numFmtId="173" fontId="9" fillId="0" borderId="3" xfId="0" applyFont="1" applyFill="1" applyBorder="1" applyAlignment="1">
      <alignment horizontal="center"/>
    </xf>
    <xf numFmtId="173" fontId="9" fillId="0" borderId="11" xfId="0" applyFont="1" applyFill="1" applyBorder="1" applyAlignment="1">
      <alignment horizontal="center"/>
    </xf>
    <xf numFmtId="173" fontId="9" fillId="0" borderId="4" xfId="0" applyFont="1" applyFill="1" applyBorder="1" applyAlignment="1">
      <alignment horizontal="center"/>
    </xf>
    <xf numFmtId="173" fontId="9" fillId="0" borderId="2" xfId="0" applyFont="1" applyFill="1" applyBorder="1" applyAlignment="1">
      <alignment horizontal="centerContinuous"/>
    </xf>
    <xf numFmtId="43" fontId="3" fillId="0" borderId="0" xfId="1" applyFont="1" applyFill="1"/>
    <xf numFmtId="0" fontId="3" fillId="0" borderId="0" xfId="7" applyFont="1" applyFill="1" applyBorder="1" applyAlignment="1">
      <alignment horizontal="center"/>
    </xf>
    <xf numFmtId="173" fontId="3" fillId="0" borderId="0" xfId="0" applyFont="1" applyFill="1" applyAlignment="1">
      <alignment horizontal="centerContinuous"/>
    </xf>
    <xf numFmtId="173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173" fontId="3" fillId="0" borderId="7" xfId="0" applyFont="1" applyFill="1" applyBorder="1" applyAlignment="1">
      <alignment horizontal="centerContinuous"/>
    </xf>
    <xf numFmtId="173" fontId="3" fillId="0" borderId="4" xfId="0" applyFont="1" applyFill="1" applyBorder="1" applyAlignment="1">
      <alignment horizontal="centerContinuous"/>
    </xf>
    <xf numFmtId="173" fontId="3" fillId="0" borderId="8" xfId="0" applyFont="1" applyFill="1" applyBorder="1" applyAlignment="1">
      <alignment horizontal="centerContinuous"/>
    </xf>
    <xf numFmtId="173" fontId="3" fillId="0" borderId="2" xfId="0" applyFont="1" applyFill="1" applyBorder="1" applyAlignment="1">
      <alignment horizontal="centerContinuous"/>
    </xf>
    <xf numFmtId="173" fontId="3" fillId="0" borderId="9" xfId="0" applyFont="1" applyFill="1" applyBorder="1" applyAlignment="1">
      <alignment horizontal="centerContinuous"/>
    </xf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3" fontId="3" fillId="2" borderId="0" xfId="0" applyFont="1" applyFill="1"/>
    <xf numFmtId="173" fontId="3" fillId="0" borderId="8" xfId="0" applyFont="1" applyFill="1" applyBorder="1" applyAlignment="1">
      <alignment horizontal="center"/>
    </xf>
    <xf numFmtId="173" fontId="3" fillId="0" borderId="5" xfId="0" applyFont="1" applyFill="1" applyBorder="1" applyAlignment="1">
      <alignment horizontal="centerContinuous"/>
    </xf>
    <xf numFmtId="173" fontId="3" fillId="0" borderId="5" xfId="0" quotePrefix="1" applyFont="1" applyFill="1" applyBorder="1" applyAlignment="1">
      <alignment horizontal="centerContinuous"/>
    </xf>
    <xf numFmtId="173" fontId="3" fillId="0" borderId="3" xfId="0" applyFont="1" applyFill="1" applyBorder="1" applyAlignment="1">
      <alignment horizontal="centerContinuous"/>
    </xf>
    <xf numFmtId="173" fontId="3" fillId="0" borderId="5" xfId="0" applyFont="1" applyFill="1" applyBorder="1"/>
    <xf numFmtId="173" fontId="3" fillId="0" borderId="10" xfId="0" applyFont="1" applyFill="1" applyBorder="1" applyAlignment="1">
      <alignment horizontal="center"/>
    </xf>
    <xf numFmtId="173" fontId="3" fillId="0" borderId="3" xfId="0" applyFont="1" applyFill="1" applyBorder="1" applyAlignment="1">
      <alignment horizontal="center"/>
    </xf>
    <xf numFmtId="173" fontId="3" fillId="0" borderId="11" xfId="0" applyFont="1" applyFill="1" applyBorder="1" applyAlignment="1">
      <alignment horizontal="center"/>
    </xf>
    <xf numFmtId="173" fontId="3" fillId="0" borderId="4" xfId="0" applyFont="1" applyFill="1" applyBorder="1" applyAlignment="1">
      <alignment horizontal="center"/>
    </xf>
    <xf numFmtId="173" fontId="3" fillId="0" borderId="1" xfId="0" applyFont="1" applyFill="1" applyBorder="1" applyAlignment="1">
      <alignment horizontal="center"/>
    </xf>
    <xf numFmtId="173" fontId="3" fillId="0" borderId="6" xfId="0" applyFont="1" applyFill="1" applyBorder="1" applyAlignment="1">
      <alignment horizontal="center"/>
    </xf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8" fontId="3" fillId="0" borderId="6" xfId="0" applyNumberFormat="1" applyFont="1" applyFill="1" applyBorder="1"/>
    <xf numFmtId="173" fontId="14" fillId="2" borderId="0" xfId="0" applyFont="1" applyFill="1"/>
    <xf numFmtId="173" fontId="2" fillId="0" borderId="0" xfId="0" applyFont="1" applyFill="1" applyAlignment="1">
      <alignment horizontal="right"/>
    </xf>
    <xf numFmtId="173" fontId="2" fillId="0" borderId="5" xfId="0" applyFont="1" applyFill="1" applyBorder="1" applyAlignment="1">
      <alignment horizontal="center"/>
    </xf>
    <xf numFmtId="173" fontId="2" fillId="0" borderId="5" xfId="0" applyFont="1" applyFill="1" applyBorder="1" applyAlignment="1">
      <alignment horizontal="center" wrapText="1"/>
    </xf>
    <xf numFmtId="173" fontId="2" fillId="0" borderId="5" xfId="0" applyFont="1" applyFill="1" applyBorder="1" applyAlignment="1">
      <alignment horizontal="centerContinuous" wrapText="1"/>
    </xf>
    <xf numFmtId="173" fontId="10" fillId="0" borderId="6" xfId="0" applyFont="1" applyFill="1" applyBorder="1" applyAlignment="1">
      <alignment horizontal="centerContinuous"/>
    </xf>
    <xf numFmtId="173" fontId="15" fillId="0" borderId="6" xfId="0" quotePrefix="1" applyFont="1" applyFill="1" applyBorder="1" applyAlignment="1">
      <alignment horizontal="center" wrapText="1"/>
    </xf>
    <xf numFmtId="173" fontId="15" fillId="0" borderId="6" xfId="0" applyFont="1" applyFill="1" applyBorder="1" applyAlignment="1">
      <alignment horizontal="center" wrapText="1"/>
    </xf>
    <xf numFmtId="173" fontId="2" fillId="0" borderId="0" xfId="0" applyFont="1" applyFill="1" applyAlignment="1">
      <alignment horizontal="centerContinuous"/>
    </xf>
    <xf numFmtId="173" fontId="2" fillId="0" borderId="5" xfId="0" applyFont="1" applyFill="1" applyBorder="1"/>
    <xf numFmtId="173" fontId="2" fillId="0" borderId="15" xfId="0" applyFont="1" applyFill="1" applyBorder="1" applyAlignment="1">
      <alignment horizontal="center"/>
    </xf>
    <xf numFmtId="173" fontId="2" fillId="0" borderId="6" xfId="0" applyFont="1" applyFill="1" applyBorder="1"/>
    <xf numFmtId="173" fontId="2" fillId="0" borderId="6" xfId="0" applyFont="1" applyFill="1" applyBorder="1" applyAlignment="1">
      <alignment horizontal="center"/>
    </xf>
    <xf numFmtId="8" fontId="1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3" fontId="2" fillId="0" borderId="11" xfId="0" applyFont="1" applyFill="1" applyBorder="1" applyAlignment="1">
      <alignment horizontal="centerContinuous"/>
    </xf>
    <xf numFmtId="173" fontId="5" fillId="0" borderId="7" xfId="0" applyFont="1" applyFill="1" applyBorder="1" applyAlignment="1">
      <alignment horizontal="centerContinuous"/>
    </xf>
    <xf numFmtId="173" fontId="17" fillId="3" borderId="0" xfId="0" applyFont="1" applyFill="1" applyAlignment="1">
      <alignment horizontal="centerContinuous"/>
    </xf>
    <xf numFmtId="173" fontId="18" fillId="3" borderId="0" xfId="0" applyFont="1" applyFill="1" applyAlignment="1">
      <alignment horizontal="centerContinuous"/>
    </xf>
    <xf numFmtId="14" fontId="19" fillId="3" borderId="0" xfId="0" applyNumberFormat="1" applyFont="1" applyFill="1" applyBorder="1" applyAlignment="1">
      <alignment horizontal="centerContinuous" vertical="center"/>
    </xf>
    <xf numFmtId="173" fontId="20" fillId="3" borderId="0" xfId="0" applyFont="1" applyFill="1" applyBorder="1" applyAlignment="1">
      <alignment horizontal="centerContinuous" wrapText="1"/>
    </xf>
    <xf numFmtId="173" fontId="21" fillId="3" borderId="0" xfId="0" applyFont="1" applyFill="1" applyBorder="1" applyAlignment="1">
      <alignment horizontal="centerContinuous"/>
    </xf>
    <xf numFmtId="172" fontId="17" fillId="3" borderId="0" xfId="1" applyNumberFormat="1" applyFont="1" applyFill="1" applyAlignment="1">
      <alignment horizontal="centerContinuous"/>
    </xf>
    <xf numFmtId="173" fontId="17" fillId="0" borderId="0" xfId="0" applyFont="1" applyFill="1" applyBorder="1"/>
    <xf numFmtId="173" fontId="0" fillId="0" borderId="0" xfId="0" applyFill="1" applyBorder="1"/>
    <xf numFmtId="173" fontId="0" fillId="0" borderId="0" xfId="0" applyFill="1" applyBorder="1" applyAlignment="1">
      <alignment horizontal="center"/>
    </xf>
    <xf numFmtId="173" fontId="21" fillId="0" borderId="0" xfId="0" applyFont="1" applyFill="1" applyBorder="1" applyAlignment="1">
      <alignment wrapText="1"/>
    </xf>
    <xf numFmtId="173" fontId="17" fillId="0" borderId="0" xfId="0" applyFont="1" applyFill="1" applyBorder="1" applyAlignment="1">
      <alignment horizontal="center"/>
    </xf>
    <xf numFmtId="173" fontId="18" fillId="3" borderId="0" xfId="0" applyFont="1" applyFill="1" applyBorder="1" applyAlignment="1">
      <alignment horizontal="center"/>
    </xf>
    <xf numFmtId="14" fontId="22" fillId="4" borderId="7" xfId="0" applyNumberFormat="1" applyFont="1" applyFill="1" applyBorder="1" applyAlignment="1">
      <alignment horizontal="center"/>
    </xf>
    <xf numFmtId="168" fontId="17" fillId="0" borderId="0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8" fontId="3" fillId="0" borderId="6" xfId="1" applyNumberFormat="1" applyFont="1" applyFill="1" applyBorder="1" applyAlignment="1">
      <alignment horizontal="center"/>
    </xf>
    <xf numFmtId="173" fontId="2" fillId="0" borderId="7" xfId="0" applyFont="1" applyFill="1" applyBorder="1" applyAlignment="1">
      <alignment horizontal="center"/>
    </xf>
    <xf numFmtId="173" fontId="2" fillId="0" borderId="7" xfId="0" applyFont="1" applyFill="1" applyBorder="1" applyAlignment="1">
      <alignment horizontal="centerContinuous"/>
    </xf>
    <xf numFmtId="173" fontId="25" fillId="0" borderId="0" xfId="0" applyFont="1" applyFill="1"/>
    <xf numFmtId="167" fontId="25" fillId="0" borderId="0" xfId="8" applyNumberFormat="1" applyFont="1" applyFill="1"/>
    <xf numFmtId="43" fontId="25" fillId="0" borderId="0" xfId="2" applyNumberFormat="1" applyFont="1" applyFill="1"/>
    <xf numFmtId="164" fontId="2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5" fillId="0" borderId="0" xfId="0" applyNumberFormat="1" applyFont="1" applyFill="1"/>
    <xf numFmtId="6" fontId="25" fillId="0" borderId="0" xfId="2" applyNumberFormat="1" applyFont="1" applyFill="1"/>
    <xf numFmtId="8" fontId="25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3" fontId="2" fillId="0" borderId="0" xfId="0" applyFont="1" applyFill="1" applyBorder="1" applyAlignment="1">
      <alignment horizontal="center"/>
    </xf>
    <xf numFmtId="173" fontId="3" fillId="5" borderId="16" xfId="0" applyFont="1" applyFill="1" applyBorder="1"/>
    <xf numFmtId="173" fontId="26" fillId="0" borderId="17" xfId="0" applyFont="1" applyBorder="1" applyAlignment="1">
      <alignment horizontal="center"/>
    </xf>
    <xf numFmtId="173" fontId="2" fillId="0" borderId="19" xfId="0" applyFont="1" applyFill="1" applyBorder="1" applyAlignment="1">
      <alignment horizontal="centerContinuous"/>
    </xf>
    <xf numFmtId="173" fontId="2" fillId="0" borderId="20" xfId="0" applyFont="1" applyFill="1" applyBorder="1" applyAlignment="1">
      <alignment horizontal="centerContinuous"/>
    </xf>
    <xf numFmtId="173" fontId="2" fillId="0" borderId="21" xfId="0" applyFont="1" applyFill="1" applyBorder="1" applyAlignment="1">
      <alignment horizontal="centerContinuous"/>
    </xf>
    <xf numFmtId="167" fontId="0" fillId="0" borderId="0" xfId="8" applyNumberFormat="1" applyFont="1" applyFill="1"/>
    <xf numFmtId="173" fontId="2" fillId="0" borderId="19" xfId="5" applyFont="1" applyFill="1" applyBorder="1" applyAlignment="1">
      <alignment horizontal="centerContinuous"/>
    </xf>
    <xf numFmtId="173" fontId="2" fillId="0" borderId="3" xfId="5" applyFont="1" applyFill="1" applyBorder="1" applyAlignment="1">
      <alignment horizontal="centerContinuous"/>
    </xf>
    <xf numFmtId="173" fontId="27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7" fillId="0" borderId="0" xfId="1" applyNumberFormat="1" applyFont="1" applyFill="1" applyAlignment="1">
      <alignment horizontal="centerContinuous"/>
    </xf>
    <xf numFmtId="173" fontId="17" fillId="0" borderId="0" xfId="0" applyFont="1" applyFill="1" applyAlignment="1">
      <alignment horizontal="centerContinuous"/>
    </xf>
    <xf numFmtId="173" fontId="3" fillId="0" borderId="0" xfId="0" applyFont="1" applyFill="1" applyBorder="1" applyAlignment="1">
      <alignment horizontal="left" indent="1"/>
    </xf>
    <xf numFmtId="173" fontId="3" fillId="0" borderId="0" xfId="0" applyFont="1" applyFill="1" applyAlignment="1">
      <alignment horizontal="left" indent="1"/>
    </xf>
    <xf numFmtId="167" fontId="0" fillId="6" borderId="0" xfId="8" applyNumberFormat="1" applyFont="1" applyFill="1"/>
    <xf numFmtId="10" fontId="3" fillId="0" borderId="0" xfId="8" applyNumberFormat="1" applyFont="1" applyFill="1"/>
    <xf numFmtId="173" fontId="0" fillId="0" borderId="0" xfId="0" applyFill="1"/>
    <xf numFmtId="43" fontId="0" fillId="0" borderId="0" xfId="1" applyFont="1" applyFill="1"/>
    <xf numFmtId="173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4" fillId="0" borderId="0" xfId="11" applyFont="1" applyFill="1" applyAlignment="1">
      <alignment horizontal="centerContinuous"/>
    </xf>
    <xf numFmtId="41" fontId="10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3" fillId="0" borderId="0" xfId="11"/>
    <xf numFmtId="41" fontId="5" fillId="0" borderId="0" xfId="11" applyFont="1" applyFill="1" applyAlignment="1">
      <alignment horizontal="centerContinuous"/>
    </xf>
    <xf numFmtId="41" fontId="3" fillId="0" borderId="0" xfId="11" applyFont="1" applyFill="1"/>
    <xf numFmtId="41" fontId="3" fillId="0" borderId="0" xfId="11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41" fontId="3" fillId="0" borderId="0" xfId="11" applyFont="1" applyFill="1" applyBorder="1" applyAlignment="1">
      <alignment horizontal="center"/>
    </xf>
    <xf numFmtId="41" fontId="3" fillId="0" borderId="0" xfId="11" applyFont="1" applyFill="1" applyBorder="1" applyAlignment="1">
      <alignment horizontal="centerContinuous"/>
    </xf>
    <xf numFmtId="1" fontId="3" fillId="0" borderId="8" xfId="11" applyNumberFormat="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8" fontId="3" fillId="0" borderId="9" xfId="11" applyNumberFormat="1" applyFont="1" applyFill="1" applyBorder="1" applyAlignment="1">
      <alignment horizontal="center"/>
    </xf>
    <xf numFmtId="2" fontId="3" fillId="0" borderId="0" xfId="11" applyNumberFormat="1" applyFont="1" applyFill="1" applyBorder="1" applyAlignment="1">
      <alignment horizontal="center"/>
    </xf>
    <xf numFmtId="0" fontId="3" fillId="0" borderId="12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8" fontId="3" fillId="0" borderId="13" xfId="11" applyNumberFormat="1" applyFont="1" applyFill="1" applyBorder="1" applyAlignment="1">
      <alignment horizontal="center"/>
    </xf>
    <xf numFmtId="0" fontId="3" fillId="0" borderId="10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8" fontId="3" fillId="0" borderId="14" xfId="11" applyNumberFormat="1" applyFont="1" applyFill="1" applyBorder="1" applyAlignment="1">
      <alignment horizontal="center"/>
    </xf>
    <xf numFmtId="0" fontId="0" fillId="0" borderId="0" xfId="11" applyNumberFormat="1" applyFont="1" applyFill="1" applyAlignment="1">
      <alignment horizontal="left"/>
    </xf>
    <xf numFmtId="41" fontId="3" fillId="0" borderId="0" xfId="11" applyFont="1" applyFill="1" applyAlignment="1">
      <alignment horizontal="left" indent="1"/>
    </xf>
    <xf numFmtId="39" fontId="3" fillId="0" borderId="0" xfId="12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8" fontId="3" fillId="0" borderId="0" xfId="11" applyNumberFormat="1" applyFont="1" applyFill="1"/>
    <xf numFmtId="0" fontId="0" fillId="0" borderId="0" xfId="7" applyFont="1" applyFill="1" applyBorder="1" applyAlignment="1">
      <alignment horizontal="center"/>
    </xf>
    <xf numFmtId="173" fontId="0" fillId="0" borderId="0" xfId="0" applyFont="1" applyFill="1" applyAlignment="1">
      <alignment horizontal="centerContinuous"/>
    </xf>
    <xf numFmtId="173" fontId="0" fillId="0" borderId="0" xfId="0" applyFont="1" applyFill="1"/>
    <xf numFmtId="173" fontId="0" fillId="0" borderId="0" xfId="0" applyFont="1" applyFill="1" applyBorder="1" applyAlignment="1">
      <alignment horizontal="centerContinuous"/>
    </xf>
    <xf numFmtId="173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18" xfId="0" applyNumberFormat="1" applyFont="1" applyFill="1" applyBorder="1"/>
    <xf numFmtId="165" fontId="0" fillId="0" borderId="18" xfId="0" applyNumberFormat="1" applyFont="1" applyFill="1" applyBorder="1" applyAlignment="1">
      <alignment horizontal="center"/>
    </xf>
    <xf numFmtId="8" fontId="0" fillId="0" borderId="18" xfId="0" applyNumberFormat="1" applyFont="1" applyFill="1" applyBorder="1"/>
    <xf numFmtId="8" fontId="0" fillId="0" borderId="18" xfId="0" applyNumberFormat="1" applyFont="1" applyFill="1" applyBorder="1" applyAlignment="1">
      <alignment horizontal="right"/>
    </xf>
    <xf numFmtId="170" fontId="0" fillId="0" borderId="0" xfId="0" applyNumberFormat="1" applyFont="1" applyFill="1"/>
    <xf numFmtId="41" fontId="0" fillId="0" borderId="0" xfId="4" applyFont="1" applyFill="1"/>
    <xf numFmtId="173" fontId="0" fillId="0" borderId="0" xfId="0" applyFont="1" applyFill="1" applyAlignment="1">
      <alignment horizontal="center"/>
    </xf>
    <xf numFmtId="41" fontId="0" fillId="0" borderId="0" xfId="0" applyNumberFormat="1" applyFont="1" applyFill="1" applyBorder="1"/>
    <xf numFmtId="169" fontId="0" fillId="0" borderId="0" xfId="0" applyNumberFormat="1" applyFont="1" applyFill="1" applyBorder="1"/>
    <xf numFmtId="173" fontId="0" fillId="0" borderId="22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3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3" fontId="0" fillId="0" borderId="11" xfId="0" applyFont="1" applyFill="1" applyBorder="1" applyAlignment="1">
      <alignment horizontal="centerContinuous"/>
    </xf>
    <xf numFmtId="173" fontId="0" fillId="0" borderId="4" xfId="0" applyFont="1" applyFill="1" applyBorder="1" applyAlignment="1">
      <alignment horizontal="centerContinuous"/>
    </xf>
    <xf numFmtId="171" fontId="0" fillId="0" borderId="0" xfId="2" applyNumberFormat="1" applyFont="1" applyFill="1"/>
    <xf numFmtId="173" fontId="0" fillId="0" borderId="0" xfId="5" applyFont="1" applyFill="1"/>
    <xf numFmtId="10" fontId="0" fillId="0" borderId="0" xfId="0" applyNumberFormat="1" applyFont="1" applyFill="1" applyBorder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</cellXfs>
  <cellStyles count="13">
    <cellStyle name="Comma" xfId="1" builtinId="3"/>
    <cellStyle name="Currency" xfId="2" builtinId="4"/>
    <cellStyle name="Input" xfId="3" builtinId="20" customBuiltin="1"/>
    <cellStyle name="Normal" xfId="0" builtinId="0" customBuiltin="1"/>
    <cellStyle name="Normal 2" xfId="9"/>
    <cellStyle name="Normal 3" xfId="10"/>
    <cellStyle name="Normal_DRR AC Study - Utah Valley - 53 MW 90 CF (2.28.2005)" xfId="4"/>
    <cellStyle name="Normal_Exhibit GND-1 - 5.24.2005" xfId="12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Percent" xfId="8" builtinId="5"/>
  </cellStyles>
  <dxfs count="2">
    <dxf>
      <font>
        <b/>
        <i/>
        <condense val="0"/>
        <extend val="0"/>
      </font>
      <fill>
        <patternFill>
          <bgColor indexed="42"/>
        </patternFill>
      </fill>
    </dxf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>
      <selection activeCell="M17" sqref="M17"/>
    </sheetView>
  </sheetViews>
  <sheetFormatPr defaultRowHeight="12.75"/>
  <cols>
    <col min="1" max="1" width="2.83203125" style="155" customWidth="1"/>
    <col min="2" max="2" width="19.1640625" style="155" customWidth="1"/>
    <col min="3" max="5" width="21.6640625" style="155" customWidth="1"/>
    <col min="6" max="6" width="3" style="155" customWidth="1"/>
    <col min="7" max="7" width="9.33203125" style="155" customWidth="1"/>
    <col min="8" max="8" width="9.33203125" style="153" customWidth="1"/>
    <col min="9" max="16384" width="9.33203125" style="153"/>
  </cols>
  <sheetData>
    <row r="1" spans="2:7" ht="15.75">
      <c r="B1" s="148" t="s">
        <v>76</v>
      </c>
      <c r="C1" s="149"/>
      <c r="D1" s="149"/>
      <c r="E1" s="150"/>
      <c r="F1" s="151"/>
      <c r="G1" s="152"/>
    </row>
    <row r="2" spans="2:7" ht="6.75" customHeight="1">
      <c r="B2" s="148"/>
      <c r="C2" s="149"/>
      <c r="D2" s="149"/>
      <c r="E2" s="150"/>
      <c r="F2" s="151"/>
      <c r="G2" s="152"/>
    </row>
    <row r="3" spans="2:7" ht="15.75">
      <c r="B3" s="154" t="s">
        <v>89</v>
      </c>
      <c r="C3" s="154"/>
      <c r="D3" s="154"/>
      <c r="E3" s="148"/>
      <c r="F3" s="151"/>
      <c r="G3" s="152"/>
    </row>
    <row r="4" spans="2:7" ht="15.75">
      <c r="B4" s="7" t="str">
        <f>'Table 1'!B5</f>
        <v>Utah 2011.Q2 Compliance Filing - 100 MW and 85% Capacity Factor</v>
      </c>
      <c r="C4" s="154"/>
      <c r="D4" s="154"/>
      <c r="E4" s="148"/>
      <c r="F4" s="151"/>
      <c r="G4" s="152"/>
    </row>
    <row r="5" spans="2:7">
      <c r="C5" s="156"/>
      <c r="F5" s="151"/>
      <c r="G5" s="152"/>
    </row>
    <row r="6" spans="2:7">
      <c r="B6" s="156" t="s">
        <v>0</v>
      </c>
      <c r="C6" s="157" t="s">
        <v>90</v>
      </c>
      <c r="D6" s="157" t="s">
        <v>106</v>
      </c>
      <c r="E6" s="158" t="s">
        <v>91</v>
      </c>
      <c r="F6" s="151"/>
      <c r="G6" s="152"/>
    </row>
    <row r="7" spans="2:7">
      <c r="B7" s="156"/>
      <c r="C7" s="42" t="str">
        <f>TEXT('Table 1'!G9,"0.0%")&amp;" CF (2)"</f>
        <v>85.0% CF (2)</v>
      </c>
      <c r="D7" s="150" t="s">
        <v>97</v>
      </c>
      <c r="E7" s="159"/>
      <c r="F7" s="151"/>
      <c r="G7" s="160"/>
    </row>
    <row r="8" spans="2:7">
      <c r="B8" s="161">
        <f>'Table 1'!B13</f>
        <v>2011</v>
      </c>
      <c r="C8" s="162">
        <f>'Table 1'!G13</f>
        <v>28.37</v>
      </c>
      <c r="D8" s="162">
        <v>30.7</v>
      </c>
      <c r="E8" s="163">
        <f t="shared" ref="E8:E27" si="0">C8-D8</f>
        <v>-2.3299999999999983</v>
      </c>
      <c r="F8" s="151"/>
      <c r="G8" s="160"/>
    </row>
    <row r="9" spans="2:7">
      <c r="B9" s="165">
        <f t="shared" ref="B9:B27" si="1">B8+1</f>
        <v>2012</v>
      </c>
      <c r="C9" s="166">
        <f>'Table 1'!G14</f>
        <v>35.049999999999997</v>
      </c>
      <c r="D9" s="166">
        <v>37.57</v>
      </c>
      <c r="E9" s="167">
        <f t="shared" si="0"/>
        <v>-2.5200000000000031</v>
      </c>
      <c r="F9" s="151"/>
      <c r="G9" s="160"/>
    </row>
    <row r="10" spans="2:7">
      <c r="B10" s="165">
        <f t="shared" si="1"/>
        <v>2013</v>
      </c>
      <c r="C10" s="166">
        <f>'Table 1'!G15</f>
        <v>38.520000000000003</v>
      </c>
      <c r="D10" s="166">
        <v>40.18</v>
      </c>
      <c r="E10" s="167">
        <f t="shared" si="0"/>
        <v>-1.6599999999999966</v>
      </c>
      <c r="F10" s="151"/>
      <c r="G10" s="160"/>
    </row>
    <row r="11" spans="2:7">
      <c r="B11" s="165">
        <f t="shared" si="1"/>
        <v>2014</v>
      </c>
      <c r="C11" s="166">
        <f>'Table 1'!G16</f>
        <v>41.53</v>
      </c>
      <c r="D11" s="166">
        <v>42.33</v>
      </c>
      <c r="E11" s="167">
        <f t="shared" si="0"/>
        <v>-0.79999999999999716</v>
      </c>
      <c r="F11" s="151"/>
      <c r="G11" s="160"/>
    </row>
    <row r="12" spans="2:7">
      <c r="B12" s="165">
        <f t="shared" si="1"/>
        <v>2015</v>
      </c>
      <c r="C12" s="166">
        <f>'Table 1'!G17</f>
        <v>45.84</v>
      </c>
      <c r="D12" s="166">
        <v>44.93</v>
      </c>
      <c r="E12" s="167">
        <f t="shared" si="0"/>
        <v>0.91000000000000369</v>
      </c>
      <c r="F12" s="151"/>
      <c r="G12" s="160"/>
    </row>
    <row r="13" spans="2:7">
      <c r="B13" s="165">
        <f t="shared" si="1"/>
        <v>2016</v>
      </c>
      <c r="C13" s="166">
        <f>'Table 1'!G18</f>
        <v>52.91</v>
      </c>
      <c r="D13" s="166">
        <v>47.77</v>
      </c>
      <c r="E13" s="167">
        <f t="shared" si="0"/>
        <v>5.1399999999999935</v>
      </c>
      <c r="F13" s="151"/>
      <c r="G13" s="160"/>
    </row>
    <row r="14" spans="2:7">
      <c r="B14" s="165">
        <f t="shared" si="1"/>
        <v>2017</v>
      </c>
      <c r="C14" s="166">
        <f>'Table 1'!G19</f>
        <v>63.32</v>
      </c>
      <c r="D14" s="166">
        <v>55.82</v>
      </c>
      <c r="E14" s="167">
        <f t="shared" si="0"/>
        <v>7.5</v>
      </c>
      <c r="F14" s="151"/>
      <c r="G14" s="160"/>
    </row>
    <row r="15" spans="2:7">
      <c r="B15" s="165">
        <f t="shared" si="1"/>
        <v>2018</v>
      </c>
      <c r="C15" s="166">
        <f>'Table 1'!G20</f>
        <v>66.44</v>
      </c>
      <c r="D15" s="166">
        <v>62.2</v>
      </c>
      <c r="E15" s="167">
        <f t="shared" si="0"/>
        <v>4.2399999999999949</v>
      </c>
      <c r="F15" s="151"/>
      <c r="G15" s="160"/>
    </row>
    <row r="16" spans="2:7">
      <c r="B16" s="165">
        <f t="shared" si="1"/>
        <v>2019</v>
      </c>
      <c r="C16" s="166">
        <f>'Table 1'!G21</f>
        <v>69.19</v>
      </c>
      <c r="D16" s="166">
        <v>66.709999999999994</v>
      </c>
      <c r="E16" s="167">
        <f t="shared" si="0"/>
        <v>2.480000000000004</v>
      </c>
      <c r="F16" s="151"/>
      <c r="G16" s="160"/>
    </row>
    <row r="17" spans="2:7">
      <c r="B17" s="165">
        <f t="shared" si="1"/>
        <v>2020</v>
      </c>
      <c r="C17" s="166">
        <f>'Table 1'!G22</f>
        <v>70.05</v>
      </c>
      <c r="D17" s="166">
        <v>67.489999999999995</v>
      </c>
      <c r="E17" s="167">
        <f t="shared" si="0"/>
        <v>2.5600000000000023</v>
      </c>
      <c r="F17" s="151"/>
      <c r="G17" s="160"/>
    </row>
    <row r="18" spans="2:7">
      <c r="B18" s="165">
        <f t="shared" si="1"/>
        <v>2021</v>
      </c>
      <c r="C18" s="166">
        <f>'Table 1'!G23</f>
        <v>71.72</v>
      </c>
      <c r="D18" s="166">
        <v>68.42</v>
      </c>
      <c r="E18" s="167">
        <f t="shared" si="0"/>
        <v>3.2999999999999972</v>
      </c>
      <c r="F18" s="151"/>
      <c r="G18" s="160"/>
    </row>
    <row r="19" spans="2:7">
      <c r="B19" s="165">
        <f t="shared" si="1"/>
        <v>2022</v>
      </c>
      <c r="C19" s="166">
        <f>'Table 1'!G24</f>
        <v>73.69</v>
      </c>
      <c r="D19" s="166">
        <v>69.930000000000007</v>
      </c>
      <c r="E19" s="167">
        <f t="shared" si="0"/>
        <v>3.7599999999999909</v>
      </c>
      <c r="F19" s="151"/>
      <c r="G19" s="160"/>
    </row>
    <row r="20" spans="2:7">
      <c r="B20" s="165">
        <f t="shared" si="1"/>
        <v>2023</v>
      </c>
      <c r="C20" s="166">
        <f>'Table 1'!G25</f>
        <v>77.17</v>
      </c>
      <c r="D20" s="166">
        <v>73.73</v>
      </c>
      <c r="E20" s="167">
        <f t="shared" si="0"/>
        <v>3.4399999999999977</v>
      </c>
      <c r="F20" s="151"/>
      <c r="G20" s="160"/>
    </row>
    <row r="21" spans="2:7">
      <c r="B21" s="165">
        <f t="shared" si="1"/>
        <v>2024</v>
      </c>
      <c r="C21" s="166">
        <f>'Table 1'!G26</f>
        <v>80.099999999999994</v>
      </c>
      <c r="D21" s="166">
        <v>77.849999999999994</v>
      </c>
      <c r="E21" s="167">
        <f t="shared" si="0"/>
        <v>2.25</v>
      </c>
      <c r="F21" s="151"/>
      <c r="G21" s="160"/>
    </row>
    <row r="22" spans="2:7">
      <c r="B22" s="165">
        <f t="shared" si="1"/>
        <v>2025</v>
      </c>
      <c r="C22" s="166">
        <f>'Table 1'!G27</f>
        <v>80.290000000000006</v>
      </c>
      <c r="D22" s="166">
        <v>76.400000000000006</v>
      </c>
      <c r="E22" s="167">
        <f t="shared" si="0"/>
        <v>3.8900000000000006</v>
      </c>
      <c r="F22" s="151"/>
      <c r="G22" s="160"/>
    </row>
    <row r="23" spans="2:7">
      <c r="B23" s="165">
        <f t="shared" si="1"/>
        <v>2026</v>
      </c>
      <c r="C23" s="166">
        <f>'Table 1'!G28</f>
        <v>75.95</v>
      </c>
      <c r="D23" s="166">
        <v>71.31</v>
      </c>
      <c r="E23" s="167">
        <f t="shared" si="0"/>
        <v>4.6400000000000006</v>
      </c>
      <c r="F23" s="151"/>
      <c r="G23" s="160"/>
    </row>
    <row r="24" spans="2:7">
      <c r="B24" s="165">
        <f t="shared" si="1"/>
        <v>2027</v>
      </c>
      <c r="C24" s="166">
        <f>'Table 1'!G29</f>
        <v>72.69</v>
      </c>
      <c r="D24" s="166">
        <v>70.239999999999995</v>
      </c>
      <c r="E24" s="167">
        <f t="shared" si="0"/>
        <v>2.4500000000000028</v>
      </c>
      <c r="F24" s="151"/>
      <c r="G24" s="160"/>
    </row>
    <row r="25" spans="2:7">
      <c r="B25" s="165">
        <f t="shared" si="1"/>
        <v>2028</v>
      </c>
      <c r="C25" s="166">
        <f>'Table 1'!G30</f>
        <v>79.849999999999994</v>
      </c>
      <c r="D25" s="166">
        <v>74.2</v>
      </c>
      <c r="E25" s="167">
        <f t="shared" si="0"/>
        <v>5.6499999999999915</v>
      </c>
      <c r="F25" s="151"/>
      <c r="G25" s="160"/>
    </row>
    <row r="26" spans="2:7">
      <c r="B26" s="165">
        <f t="shared" si="1"/>
        <v>2029</v>
      </c>
      <c r="C26" s="166">
        <f>'Table 1'!G31</f>
        <v>82.06</v>
      </c>
      <c r="D26" s="166">
        <v>75.78</v>
      </c>
      <c r="E26" s="167">
        <f t="shared" si="0"/>
        <v>6.2800000000000011</v>
      </c>
      <c r="F26" s="164"/>
      <c r="G26" s="160"/>
    </row>
    <row r="27" spans="2:7">
      <c r="B27" s="168">
        <f t="shared" si="1"/>
        <v>2030</v>
      </c>
      <c r="C27" s="169">
        <f>'Table 1'!G32</f>
        <v>83.74</v>
      </c>
      <c r="D27" s="169">
        <v>77.58</v>
      </c>
      <c r="E27" s="170">
        <f t="shared" si="0"/>
        <v>6.1599999999999966</v>
      </c>
      <c r="F27" s="164"/>
      <c r="G27" s="160"/>
    </row>
    <row r="28" spans="2:7">
      <c r="D28" s="156"/>
      <c r="F28" s="151"/>
      <c r="G28" s="155" t="str">
        <f>'Table 1'!$I$33</f>
        <v>Official Discount Rate (Mar 31 2011)</v>
      </c>
    </row>
    <row r="29" spans="2:7">
      <c r="B29" s="171" t="str">
        <f>"20-Year Levelized Prices (Nominal) @ "&amp;TEXT(G29,"0.00%")&amp;" Discount Rate (1) (3) "</f>
        <v xml:space="preserve">20-Year Levelized Prices (Nominal) @ 7.15% Discount Rate (1) (3) </v>
      </c>
      <c r="D29" s="156"/>
      <c r="G29" s="143">
        <f>'Table 1'!I34</f>
        <v>7.1499999999999994E-2</v>
      </c>
    </row>
    <row r="30" spans="2:7">
      <c r="B30" s="172" t="s">
        <v>62</v>
      </c>
      <c r="C30" s="166" t="str">
        <f>TEXT(-PMT($G$29,COUNT(C8:C27),NPV($G$29,C8:C27)),"$00.00")&amp;" (4)"</f>
        <v>$57.94 (4)</v>
      </c>
      <c r="D30" s="166" t="str">
        <f>TEXT(-PMT($G$29,COUNT(D8:D27),NPV($G$29,D8:D27)),"$00.00")&amp;" (5)"</f>
        <v>$55.90 (5)</v>
      </c>
      <c r="E30" s="166">
        <f>-PMT($G$29,COUNT(E8:E27),NPV($G$29,E8:E27))</f>
        <v>2.0418940010607809</v>
      </c>
      <c r="F30" s="151"/>
    </row>
    <row r="31" spans="2:7">
      <c r="D31" s="166"/>
      <c r="F31" s="151"/>
    </row>
    <row r="32" spans="2:7">
      <c r="B32" s="155" t="s">
        <v>34</v>
      </c>
      <c r="C32" s="173"/>
      <c r="D32" s="174"/>
      <c r="E32" s="174"/>
      <c r="F32" s="151"/>
    </row>
    <row r="33" spans="2:6">
      <c r="B33" s="41" t="s">
        <v>87</v>
      </c>
      <c r="D33" s="151"/>
      <c r="E33" s="151"/>
      <c r="F33" s="151"/>
    </row>
    <row r="34" spans="2:6">
      <c r="B34" s="41" t="s">
        <v>95</v>
      </c>
      <c r="F34" s="151"/>
    </row>
    <row r="35" spans="2:6">
      <c r="B35" s="155" t="str">
        <f>"(3)   20-Year NPC is "&amp;B8&amp;" - "&amp;B27</f>
        <v>(3)   20-Year NPC is 2011 - 2030</v>
      </c>
    </row>
    <row r="36" spans="2:6">
      <c r="B36" s="18" t="str">
        <f>"(4)  Avoided Costs calculated annually"</f>
        <v>(4)  Avoided Costs calculated annually</v>
      </c>
    </row>
    <row r="37" spans="2:6">
      <c r="B37" s="18" t="s">
        <v>110</v>
      </c>
    </row>
    <row r="38" spans="2:6">
      <c r="B38" s="18" t="str">
        <f>"(5)  Avoided Costs calculated annually"</f>
        <v>(5)  Avoided Costs calculated annually</v>
      </c>
    </row>
    <row r="41" spans="2:6">
      <c r="C41" s="175"/>
      <c r="D41" s="175"/>
      <c r="E41" s="175"/>
    </row>
  </sheetData>
  <printOptions horizontalCentered="1"/>
  <pageMargins left="0.51" right="0.3" top="0.4" bottom="0.4" header="0.5" footer="0.2"/>
  <pageSetup orientation="portrait" r:id="rId1"/>
  <headerFooter alignWithMargins="0">
    <oddFooter>&amp;L&amp;8NPC Group&amp;C&amp;8Page &amp;P of &amp;N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6"/>
  <sheetViews>
    <sheetView zoomScaleSheetLayoutView="100" workbookViewId="0">
      <pane xSplit="2" ySplit="12" topLeftCell="C13" activePane="bottomRight" state="frozen"/>
      <selection activeCell="C30" sqref="C30"/>
      <selection pane="topRight" activeCell="C30" sqref="C30"/>
      <selection pane="bottomLeft" activeCell="C30" sqref="C30"/>
      <selection pane="bottomRight" activeCell="C30" sqref="C30"/>
    </sheetView>
  </sheetViews>
  <sheetFormatPr defaultRowHeight="12.75"/>
  <cols>
    <col min="1" max="1" width="2.83203125" style="6" customWidth="1"/>
    <col min="2" max="2" width="10.83203125" style="6" customWidth="1"/>
    <col min="3" max="3" width="18.83203125" style="6" customWidth="1"/>
    <col min="4" max="4" width="3.1640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customWidth="1"/>
    <col min="10" max="10" width="9.33203125" customWidth="1"/>
  </cols>
  <sheetData>
    <row r="1" spans="2:9" ht="15.75">
      <c r="B1" s="1" t="s">
        <v>76</v>
      </c>
      <c r="C1" s="5"/>
      <c r="D1" s="5"/>
      <c r="E1" s="5"/>
      <c r="F1" s="5"/>
      <c r="G1" s="43"/>
      <c r="H1" s="122"/>
      <c r="I1" s="8"/>
    </row>
    <row r="2" spans="2:9" ht="15.75">
      <c r="B2" s="1"/>
      <c r="C2" s="5"/>
      <c r="D2" s="5"/>
      <c r="E2" s="5"/>
      <c r="G2" s="43"/>
      <c r="H2" s="122"/>
      <c r="I2" s="8"/>
    </row>
    <row r="3" spans="2:9" ht="15.75">
      <c r="B3" s="1" t="s">
        <v>39</v>
      </c>
      <c r="C3" s="5"/>
      <c r="D3" s="5"/>
      <c r="E3" s="5"/>
      <c r="F3" s="5"/>
      <c r="G3" s="43"/>
      <c r="H3" s="122"/>
      <c r="I3" s="8"/>
    </row>
    <row r="4" spans="2:9" ht="15.75">
      <c r="B4" s="7" t="s">
        <v>36</v>
      </c>
      <c r="C4" s="7"/>
      <c r="D4" s="7"/>
      <c r="E4" s="7"/>
      <c r="F4" s="7"/>
      <c r="G4" s="1"/>
      <c r="H4" s="122"/>
      <c r="I4" s="8"/>
    </row>
    <row r="5" spans="2:9" ht="15.75">
      <c r="B5" s="7" t="s">
        <v>107</v>
      </c>
      <c r="C5" s="7"/>
      <c r="D5" s="7"/>
      <c r="E5" s="7"/>
      <c r="F5" s="7"/>
      <c r="G5" s="1"/>
      <c r="H5" s="122"/>
      <c r="I5" s="8"/>
    </row>
    <row r="6" spans="2:9" ht="14.25">
      <c r="B6" s="7" t="s">
        <v>103</v>
      </c>
      <c r="C6" s="7"/>
      <c r="D6" s="7"/>
      <c r="E6" s="7"/>
      <c r="F6" s="7"/>
      <c r="G6" s="43"/>
      <c r="H6" s="122"/>
      <c r="I6" s="8"/>
    </row>
    <row r="7" spans="2:9">
      <c r="C7" s="10"/>
      <c r="D7" s="10"/>
      <c r="H7" s="122"/>
      <c r="I7" t="s">
        <v>92</v>
      </c>
    </row>
    <row r="8" spans="2:9">
      <c r="E8" s="44"/>
      <c r="F8" s="125"/>
      <c r="G8" s="9" t="s">
        <v>32</v>
      </c>
      <c r="H8" s="122"/>
      <c r="I8" s="142">
        <v>1</v>
      </c>
    </row>
    <row r="9" spans="2:9">
      <c r="C9" s="9" t="s">
        <v>7</v>
      </c>
      <c r="D9" s="9"/>
      <c r="E9" s="44" t="s">
        <v>37</v>
      </c>
      <c r="F9" s="125"/>
      <c r="G9" s="147">
        <v>0.85</v>
      </c>
      <c r="H9" s="122"/>
      <c r="I9"/>
    </row>
    <row r="10" spans="2:9">
      <c r="B10" s="9" t="s">
        <v>0</v>
      </c>
      <c r="C10" s="9" t="str">
        <f>"Price"&amp;IF(I8&lt;&gt;1," (6)","")</f>
        <v>Price</v>
      </c>
      <c r="D10" s="9"/>
      <c r="E10" s="44" t="s">
        <v>38</v>
      </c>
      <c r="F10" s="125"/>
      <c r="G10" s="44" t="s">
        <v>33</v>
      </c>
      <c r="H10" s="122"/>
      <c r="I10"/>
    </row>
    <row r="11" spans="2:9" ht="13.5">
      <c r="B11" s="9"/>
      <c r="C11" s="9" t="s">
        <v>35</v>
      </c>
      <c r="D11" s="9"/>
      <c r="E11" s="176" t="s">
        <v>98</v>
      </c>
      <c r="F11" s="125"/>
      <c r="G11" s="44" t="s">
        <v>62</v>
      </c>
      <c r="H11" s="122"/>
      <c r="I11"/>
    </row>
    <row r="12" spans="2:9">
      <c r="B12" s="9"/>
      <c r="C12" s="15"/>
      <c r="D12" s="44"/>
      <c r="E12" s="44"/>
      <c r="F12" s="44"/>
      <c r="H12" s="122"/>
      <c r="I12"/>
    </row>
    <row r="13" spans="2:9">
      <c r="B13" s="71">
        <f>'Table 2 &amp; 3'!B12</f>
        <v>2011</v>
      </c>
      <c r="C13" s="11">
        <f>IF(VLOOKUP(B13,'Table 4'!$B$11:$K$41,9,FALSE)&lt;&gt;0,VLOOKUP(B13,'Table 4'!$B$11:$K$41,7,FALSE),0)*$I$8*IF(B13=2015,7/12,1)</f>
        <v>0</v>
      </c>
      <c r="D13" s="11"/>
      <c r="E13" s="11">
        <f>'Table 2 &amp; 3'!C12</f>
        <v>28.372787533275485</v>
      </c>
      <c r="F13" s="135"/>
      <c r="G13" s="45">
        <f>ROUND((C13*1000/(IF(MOD(B13,4)=0,8784,8760)*$G$9)+E13),2)</f>
        <v>28.37</v>
      </c>
      <c r="H13" s="122"/>
      <c r="I13"/>
    </row>
    <row r="14" spans="2:9">
      <c r="B14" s="72">
        <f t="shared" ref="B14:B32" si="0">B13+1</f>
        <v>2012</v>
      </c>
      <c r="C14" s="12">
        <f>IF(VLOOKUP(B14,'Table 4'!$B$11:$K$41,9,FALSE)&lt;&gt;0,VLOOKUP(B14,'Table 4'!$B$11:$K$41,7,FALSE),0)*$I$8*IF(B14=2016,7/12,1)</f>
        <v>0</v>
      </c>
      <c r="D14" s="137" t="str">
        <f t="shared" ref="D14:D19" si="1">IF(B14=2016,"(4)","")</f>
        <v/>
      </c>
      <c r="E14" s="12">
        <f>'Table 2 &amp; 3'!C13</f>
        <v>35.046301427824773</v>
      </c>
      <c r="F14" s="123"/>
      <c r="G14" s="46">
        <f>ROUND((C14*1000/(IF(MOD(B14,4)=0,8784,8760)*$G$9)+E14),2)</f>
        <v>35.049999999999997</v>
      </c>
      <c r="H14" s="122"/>
      <c r="I14"/>
    </row>
    <row r="15" spans="2:9">
      <c r="B15" s="72">
        <f t="shared" si="0"/>
        <v>2013</v>
      </c>
      <c r="C15" s="12">
        <f>IF(VLOOKUP(B15,'Table 4'!$B$11:$K$41,9,FALSE)&lt;&gt;0,VLOOKUP(B15,'Table 4'!$B$11:$K$41,7,FALSE),0)*$I$8*IF(B15=2016,7/12,1)</f>
        <v>0</v>
      </c>
      <c r="D15" s="137" t="str">
        <f t="shared" si="1"/>
        <v/>
      </c>
      <c r="E15" s="12">
        <f>'Table 2 &amp; 3'!C14</f>
        <v>38.521856110025055</v>
      </c>
      <c r="F15" s="123"/>
      <c r="G15" s="46">
        <f t="shared" ref="G15:G32" si="2">ROUND((C15*1000/(IF(MOD(B15,4)=0,8784,8760)*$G$9)+E15),2)</f>
        <v>38.520000000000003</v>
      </c>
      <c r="H15" s="122"/>
      <c r="I15"/>
    </row>
    <row r="16" spans="2:9">
      <c r="B16" s="72">
        <f t="shared" si="0"/>
        <v>2014</v>
      </c>
      <c r="C16" s="12">
        <f>IF(VLOOKUP(B16,'Table 4'!$B$11:$K$41,9,FALSE)&lt;&gt;0,VLOOKUP(B16,'Table 4'!$B$11:$K$41,7,FALSE),0)*$I$8*IF(B16=2016,7/12,1)</f>
        <v>0</v>
      </c>
      <c r="D16" s="137" t="str">
        <f t="shared" si="1"/>
        <v/>
      </c>
      <c r="E16" s="12">
        <f>'Table 2 &amp; 3'!C15</f>
        <v>41.526568735885306</v>
      </c>
      <c r="F16" s="123"/>
      <c r="G16" s="46">
        <f t="shared" si="2"/>
        <v>41.53</v>
      </c>
      <c r="H16" s="122"/>
      <c r="I16"/>
    </row>
    <row r="17" spans="2:9">
      <c r="B17" s="72">
        <f t="shared" si="0"/>
        <v>2015</v>
      </c>
      <c r="C17" s="12">
        <f>IF(VLOOKUP(B17,'Table 4'!$B$11:$K$41,9,FALSE)&lt;&gt;0,VLOOKUP(B17,'Table 4'!$B$11:$K$41,7,FALSE),0)*$I$8*IF(B17=2016,7/12,1)</f>
        <v>0</v>
      </c>
      <c r="D17" s="137" t="str">
        <f t="shared" si="1"/>
        <v/>
      </c>
      <c r="E17" s="12">
        <f>'Table 2 &amp; 3'!C16</f>
        <v>45.838845911393484</v>
      </c>
      <c r="F17" s="123"/>
      <c r="G17" s="46">
        <f t="shared" si="2"/>
        <v>45.84</v>
      </c>
      <c r="H17" s="122"/>
      <c r="I17"/>
    </row>
    <row r="18" spans="2:9">
      <c r="B18" s="72">
        <f t="shared" si="0"/>
        <v>2016</v>
      </c>
      <c r="C18" s="12">
        <f>IF(VLOOKUP(B18,'Table 4'!$B$11:$K$41,9,FALSE)&lt;&gt;0,VLOOKUP(B18,'Table 4'!$B$11:$K$41,7,FALSE),0)*$I$8*IF(B18=2016,7/12,1)</f>
        <v>84.694166666666675</v>
      </c>
      <c r="D18" s="137" t="str">
        <f t="shared" si="1"/>
        <v>(4)</v>
      </c>
      <c r="E18" s="12">
        <f>'Table 2 &amp; 3'!C17</f>
        <v>41.568116057133324</v>
      </c>
      <c r="F18" s="123"/>
      <c r="G18" s="46">
        <f t="shared" si="2"/>
        <v>52.91</v>
      </c>
      <c r="H18" s="122"/>
      <c r="I18"/>
    </row>
    <row r="19" spans="2:9">
      <c r="B19" s="72">
        <f t="shared" si="0"/>
        <v>2017</v>
      </c>
      <c r="C19" s="12">
        <f>IF(VLOOKUP(B19,'Table 4'!$B$11:$K$41,9,FALSE)&lt;&gt;0,VLOOKUP(B19,'Table 4'!$B$11:$K$41,7,FALSE),0)*$I$8*IF(B19=2016,7/12,1)</f>
        <v>148.1</v>
      </c>
      <c r="D19" s="137" t="str">
        <f t="shared" si="1"/>
        <v/>
      </c>
      <c r="E19" s="12">
        <f>'Table 2 &amp; 3'!C18</f>
        <v>43.432530961309389</v>
      </c>
      <c r="F19" s="123"/>
      <c r="G19" s="46">
        <f t="shared" si="2"/>
        <v>63.32</v>
      </c>
      <c r="H19" s="122"/>
      <c r="I19"/>
    </row>
    <row r="20" spans="2:9">
      <c r="B20" s="72">
        <f t="shared" si="0"/>
        <v>2018</v>
      </c>
      <c r="C20" s="12">
        <f>IF(VLOOKUP(B20,'Table 4'!$B$11:$K$41,9,FALSE)&lt;&gt;0,VLOOKUP(B20,'Table 4'!$B$11:$K$41,7,FALSE),0)*$I$8*IF(B20=2016,7/12,1)</f>
        <v>150.9</v>
      </c>
      <c r="D20" s="137" t="str">
        <f>IF(B20=2016,"(4)","")</f>
        <v/>
      </c>
      <c r="E20" s="12">
        <f>'Table 2 &amp; 3'!C19</f>
        <v>46.177725097657692</v>
      </c>
      <c r="F20" s="123"/>
      <c r="G20" s="46">
        <f t="shared" si="2"/>
        <v>66.44</v>
      </c>
      <c r="H20" s="122"/>
      <c r="I20"/>
    </row>
    <row r="21" spans="2:9">
      <c r="B21" s="72">
        <f t="shared" si="0"/>
        <v>2019</v>
      </c>
      <c r="C21" s="12">
        <f>IF(VLOOKUP(B21,'Table 4'!$B$11:$K$41,9,FALSE)&lt;&gt;0,VLOOKUP(B21,'Table 4'!$B$11:$K$41,7,FALSE),0)*$I$8*IF(B21=2016,7/12,1)</f>
        <v>153.63</v>
      </c>
      <c r="D21" s="137" t="str">
        <f t="shared" ref="D21:D25" si="3">IF(B21=2016,"(4)","")</f>
        <v/>
      </c>
      <c r="E21" s="12">
        <f>'Table 2 &amp; 3'!C20</f>
        <v>48.559682614101725</v>
      </c>
      <c r="F21" s="123"/>
      <c r="G21" s="46">
        <f t="shared" si="2"/>
        <v>69.19</v>
      </c>
      <c r="H21" s="122"/>
      <c r="I21"/>
    </row>
    <row r="22" spans="2:9">
      <c r="B22" s="72">
        <f t="shared" si="0"/>
        <v>2020</v>
      </c>
      <c r="C22" s="12">
        <f>IF(VLOOKUP(B22,'Table 4'!$B$11:$K$41,9,FALSE)&lt;&gt;0,VLOOKUP(B22,'Table 4'!$B$11:$K$41,7,FALSE),0)*$I$8*IF(B22=2016,7/12,1)</f>
        <v>156.4</v>
      </c>
      <c r="D22" s="137" t="str">
        <f t="shared" si="3"/>
        <v/>
      </c>
      <c r="E22" s="12">
        <f>'Table 2 &amp; 3'!C21</f>
        <v>49.101593405249524</v>
      </c>
      <c r="F22" s="123"/>
      <c r="G22" s="46">
        <f t="shared" si="2"/>
        <v>70.05</v>
      </c>
      <c r="H22" s="122"/>
      <c r="I22"/>
    </row>
    <row r="23" spans="2:9">
      <c r="B23" s="72">
        <f t="shared" si="0"/>
        <v>2021</v>
      </c>
      <c r="C23" s="12">
        <f>IF(VLOOKUP(B23,'Table 4'!$B$11:$K$41,9,FALSE)&lt;&gt;0,VLOOKUP(B23,'Table 4'!$B$11:$K$41,7,FALSE),0)*$I$8*IF(B23=2016,7/12,1)</f>
        <v>159.19999999999999</v>
      </c>
      <c r="D23" s="137" t="str">
        <f t="shared" si="3"/>
        <v/>
      </c>
      <c r="E23" s="12">
        <f>'Table 2 &amp; 3'!C22</f>
        <v>50.334736507494796</v>
      </c>
      <c r="F23" s="123"/>
      <c r="G23" s="46">
        <f t="shared" si="2"/>
        <v>71.72</v>
      </c>
      <c r="H23" s="122"/>
      <c r="I23"/>
    </row>
    <row r="24" spans="2:9">
      <c r="B24" s="72">
        <f t="shared" si="0"/>
        <v>2022</v>
      </c>
      <c r="C24" s="12">
        <f>IF(VLOOKUP(B24,'Table 4'!$B$11:$K$41,9,FALSE)&lt;&gt;0,VLOOKUP(B24,'Table 4'!$B$11:$K$41,7,FALSE),0)*$I$8*IF(B24=2016,7/12,1)</f>
        <v>162.08000000000001</v>
      </c>
      <c r="D24" s="137" t="str">
        <f t="shared" si="3"/>
        <v/>
      </c>
      <c r="E24" s="12">
        <f>'Table 2 &amp; 3'!C23</f>
        <v>51.924542387498626</v>
      </c>
      <c r="F24" s="123"/>
      <c r="G24" s="46">
        <f t="shared" si="2"/>
        <v>73.69</v>
      </c>
      <c r="H24" s="122"/>
      <c r="I24"/>
    </row>
    <row r="25" spans="2:9">
      <c r="B25" s="72">
        <f t="shared" si="0"/>
        <v>2023</v>
      </c>
      <c r="C25" s="12">
        <f>IF(VLOOKUP(B25,'Table 4'!$B$11:$K$41,9,FALSE)&lt;&gt;0,VLOOKUP(B25,'Table 4'!$B$11:$K$41,7,FALSE),0)*$I$8*IF(B25=2016,7/12,1)</f>
        <v>165.01</v>
      </c>
      <c r="D25" s="137" t="str">
        <f t="shared" si="3"/>
        <v/>
      </c>
      <c r="E25" s="12">
        <f>'Table 2 &amp; 3'!C24</f>
        <v>55.009748981057989</v>
      </c>
      <c r="F25" s="123"/>
      <c r="G25" s="46">
        <f t="shared" si="2"/>
        <v>77.17</v>
      </c>
      <c r="H25" s="122"/>
      <c r="I25"/>
    </row>
    <row r="26" spans="2:9">
      <c r="B26" s="72">
        <f t="shared" si="0"/>
        <v>2024</v>
      </c>
      <c r="C26" s="12">
        <f>IF(VLOOKUP(B26,'Table 4'!$B$11:$K$41,9,FALSE)&lt;&gt;0,VLOOKUP(B26,'Table 4'!$B$11:$K$41,7,FALSE),0)*$I$8*IF(B26=2016,7/12,1)</f>
        <v>167.96</v>
      </c>
      <c r="D26" s="12"/>
      <c r="E26" s="12">
        <f>'Table 2 &amp; 3'!C25</f>
        <v>57.601958519892968</v>
      </c>
      <c r="F26" s="123"/>
      <c r="G26" s="46">
        <f t="shared" si="2"/>
        <v>80.099999999999994</v>
      </c>
      <c r="H26" s="122"/>
      <c r="I26"/>
    </row>
    <row r="27" spans="2:9">
      <c r="B27" s="72">
        <f t="shared" si="0"/>
        <v>2025</v>
      </c>
      <c r="C27" s="12">
        <f>IF(VLOOKUP(B27,'Table 4'!$B$11:$K$41,9,FALSE)&lt;&gt;0,VLOOKUP(B27,'Table 4'!$B$11:$K$41,7,FALSE),0)*$I$8*IF(B27=2016,7/12,1)</f>
        <v>171.17</v>
      </c>
      <c r="D27" s="12"/>
      <c r="E27" s="12">
        <f>'Table 2 &amp; 3'!C26</f>
        <v>57.298855160827515</v>
      </c>
      <c r="F27" s="123"/>
      <c r="G27" s="46">
        <f t="shared" si="2"/>
        <v>80.290000000000006</v>
      </c>
      <c r="H27" s="122"/>
      <c r="I27"/>
    </row>
    <row r="28" spans="2:9">
      <c r="B28" s="72">
        <f t="shared" si="0"/>
        <v>2026</v>
      </c>
      <c r="C28" s="12">
        <f>IF(VLOOKUP(B28,'Table 4'!$B$11:$K$41,9,FALSE)&lt;&gt;0,VLOOKUP(B28,'Table 4'!$B$11:$K$41,7,FALSE),0)*$I$8*IF(B28=2016,7/12,1)</f>
        <v>174.42</v>
      </c>
      <c r="D28" s="12"/>
      <c r="E28" s="12">
        <f>'Table 2 &amp; 3'!C27</f>
        <v>52.526757417759313</v>
      </c>
      <c r="F28" s="123"/>
      <c r="G28" s="46">
        <f t="shared" si="2"/>
        <v>75.95</v>
      </c>
      <c r="H28" s="122"/>
      <c r="I28"/>
    </row>
    <row r="29" spans="2:9">
      <c r="B29" s="72">
        <f t="shared" si="0"/>
        <v>2027</v>
      </c>
      <c r="C29" s="12">
        <f>IF(VLOOKUP(B29,'Table 4'!$B$11:$K$41,9,FALSE)&lt;&gt;0,VLOOKUP(B29,'Table 4'!$B$11:$K$41,7,FALSE),0)*$I$8*IF(B29=2016,7/12,1)</f>
        <v>177.72</v>
      </c>
      <c r="D29" s="12"/>
      <c r="E29" s="12">
        <f>'Table 2 &amp; 3'!C28</f>
        <v>48.818570397476329</v>
      </c>
      <c r="F29" s="123"/>
      <c r="G29" s="46">
        <f t="shared" si="2"/>
        <v>72.69</v>
      </c>
      <c r="H29" s="122"/>
      <c r="I29"/>
    </row>
    <row r="30" spans="2:9">
      <c r="B30" s="72">
        <f t="shared" si="0"/>
        <v>2028</v>
      </c>
      <c r="C30" s="12">
        <f>IF(VLOOKUP(B30,'Table 4'!$B$11:$K$41,9,FALSE)&lt;&gt;0,VLOOKUP(B30,'Table 4'!$B$11:$K$41,7,FALSE),0)*$I$8*IF(B30=2016,7/12,1)</f>
        <v>181.28</v>
      </c>
      <c r="D30" s="12"/>
      <c r="E30" s="12">
        <f>'Table 2 &amp; 3'!C29</f>
        <v>55.574119938235363</v>
      </c>
      <c r="F30" s="123"/>
      <c r="G30" s="46">
        <f t="shared" si="2"/>
        <v>79.849999999999994</v>
      </c>
      <c r="H30" s="122"/>
      <c r="I30"/>
    </row>
    <row r="31" spans="2:9">
      <c r="B31" s="72">
        <f t="shared" si="0"/>
        <v>2029</v>
      </c>
      <c r="C31" s="12">
        <f>IF(VLOOKUP(B31,'Table 4'!$B$11:$K$41,9,FALSE)&lt;&gt;0,VLOOKUP(B31,'Table 4'!$B$11:$K$41,7,FALSE),0)*$I$8*IF(B31=2016,7/12,1)</f>
        <v>184.9</v>
      </c>
      <c r="D31" s="12"/>
      <c r="E31" s="12">
        <f>'Table 2 &amp; 3'!C30</f>
        <v>57.226478219668437</v>
      </c>
      <c r="F31" s="123"/>
      <c r="G31" s="46">
        <f t="shared" si="2"/>
        <v>82.06</v>
      </c>
      <c r="H31" s="122"/>
      <c r="I31"/>
    </row>
    <row r="32" spans="2:9">
      <c r="B32" s="73">
        <f t="shared" si="0"/>
        <v>2030</v>
      </c>
      <c r="C32" s="20">
        <f>IF(VLOOKUP(B32,'Table 4'!$B$11:$K$41,9,FALSE)&lt;&gt;0,VLOOKUP(B32,'Table 4'!$B$11:$K$41,7,FALSE),0)*$I$8*IF(B32=2016,7/12,1)</f>
        <v>188.43</v>
      </c>
      <c r="D32" s="20"/>
      <c r="E32" s="20">
        <f>'Table 2 &amp; 3'!C31</f>
        <v>58.4387234353769</v>
      </c>
      <c r="F32" s="136"/>
      <c r="G32" s="47">
        <f t="shared" si="2"/>
        <v>83.74</v>
      </c>
      <c r="H32" s="122"/>
      <c r="I32"/>
    </row>
    <row r="33" spans="2:9">
      <c r="D33" s="12"/>
      <c r="F33" s="123"/>
      <c r="H33" s="122"/>
      <c r="I33" s="144" t="str">
        <f>"Official Discount Rate ("&amp;TEXT('Table 5'!G5,"MMM dd YYYY")&amp;")"</f>
        <v>Official Discount Rate (Mar 31 2011)</v>
      </c>
    </row>
    <row r="34" spans="2:9">
      <c r="B34" s="171" t="str">
        <f>"20-Year Levelized Prices (Nominal) @ "&amp;TEXT(I34,"0.00%")&amp;" Discount Rate (1) (3) "</f>
        <v xml:space="preserve">20-Year Levelized Prices (Nominal) @ 7.15% Discount Rate (1) (3) </v>
      </c>
      <c r="E34" s="8"/>
      <c r="I34" s="143">
        <v>7.1499999999999994E-2</v>
      </c>
    </row>
    <row r="35" spans="2:9">
      <c r="B35" s="140" t="s">
        <v>9</v>
      </c>
      <c r="C35" s="12">
        <f>-PMT($I$34,COUNT(C13:C32),NPV($I$34,C13:C32))</f>
        <v>94.951962686069905</v>
      </c>
      <c r="D35" s="12"/>
      <c r="H35" s="122"/>
    </row>
    <row r="36" spans="2:9">
      <c r="B36" s="141" t="s">
        <v>62</v>
      </c>
      <c r="E36" s="12">
        <f>-PMT($I$34,COUNT(E13:E32),NPV($I$34,E13:E32))</f>
        <v>45.19721237600605</v>
      </c>
      <c r="G36" s="12" t="s">
        <v>111</v>
      </c>
      <c r="H36" s="122"/>
    </row>
    <row r="37" spans="2:9">
      <c r="F37" s="124"/>
      <c r="H37" s="122"/>
    </row>
    <row r="38" spans="2:9">
      <c r="B38" s="6" t="s">
        <v>34</v>
      </c>
      <c r="E38" s="124"/>
      <c r="G38" s="124"/>
      <c r="H38" s="122"/>
    </row>
    <row r="39" spans="2:9">
      <c r="B39" s="145" t="s">
        <v>87</v>
      </c>
      <c r="E39" s="122"/>
      <c r="F39" s="124"/>
      <c r="G39" s="122"/>
      <c r="H39" s="122"/>
    </row>
    <row r="40" spans="2:9">
      <c r="B40" s="6" t="s">
        <v>41</v>
      </c>
      <c r="F40" s="124"/>
      <c r="H40" s="122"/>
    </row>
    <row r="41" spans="2:9">
      <c r="B41" s="6" t="str">
        <f>"(3)   20 Year NPC is "&amp;TEXT(B13,"???0")&amp;" - "&amp;TEXT(B32,"???0")</f>
        <v>(3)   20 Year NPC is 2011 - 2030</v>
      </c>
    </row>
    <row r="42" spans="2:9">
      <c r="B42" s="18" t="s">
        <v>102</v>
      </c>
      <c r="F42" s="122"/>
    </row>
    <row r="43" spans="2:9">
      <c r="B43" s="18" t="s">
        <v>113</v>
      </c>
      <c r="C43" s="10"/>
      <c r="D43" s="10"/>
      <c r="E43" s="10"/>
      <c r="G43" s="10"/>
    </row>
    <row r="44" spans="2:9">
      <c r="B44" s="18" t="s">
        <v>112</v>
      </c>
    </row>
    <row r="45" spans="2:9">
      <c r="B45" s="146" t="str">
        <f>IF(I8&lt;&gt;1,"(6) Capacity Payment is adjusted by "&amp;TEXT(I8,"0.0%")&amp;" Capacity Contribution.","")</f>
        <v/>
      </c>
    </row>
    <row r="46" spans="2:9">
      <c r="F46" s="10"/>
    </row>
  </sheetData>
  <phoneticPr fontId="6" type="noConversion"/>
  <printOptions horizontalCentered="1"/>
  <pageMargins left="0.48" right="0.3" top="0.4" bottom="0.4" header="0.5" footer="0.2"/>
  <pageSetup orientation="portrait" r:id="rId1"/>
  <headerFooter alignWithMargins="0">
    <oddFooter>&amp;L&amp;8NPC Group&amp;C&amp;8Page &amp;P of &amp;N 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B1:T64"/>
  <sheetViews>
    <sheetView zoomScale="85" zoomScaleNormal="85" zoomScaleSheetLayoutView="85" workbookViewId="0">
      <pane xSplit="2" ySplit="7" topLeftCell="C8" activePane="bottomRight" state="frozen"/>
      <selection activeCell="C30" sqref="C30"/>
      <selection pane="topRight" activeCell="C30" sqref="C30"/>
      <selection pane="bottomLeft" activeCell="C30" sqref="C30"/>
      <selection pane="bottomRight" activeCell="Q64" sqref="B1:Q64"/>
    </sheetView>
  </sheetViews>
  <sheetFormatPr defaultRowHeight="12.75"/>
  <cols>
    <col min="1" max="1" width="2.83203125" style="6" customWidth="1"/>
    <col min="2" max="2" width="7" style="6" customWidth="1"/>
    <col min="3" max="3" width="9.33203125" style="6"/>
    <col min="4" max="4" width="9.33203125" style="6" customWidth="1"/>
    <col min="5" max="12" width="9.33203125" style="6"/>
    <col min="13" max="13" width="9.33203125" style="8"/>
    <col min="14" max="15" width="9.33203125" style="6"/>
    <col min="16" max="16" width="1.6640625" style="6" customWidth="1"/>
    <col min="17" max="17" width="14.83203125" style="6" customWidth="1"/>
    <col min="18" max="18" width="2.33203125" style="6" customWidth="1"/>
    <col min="19" max="19" width="9.33203125" style="6"/>
    <col min="20" max="20" width="0" style="6" hidden="1" customWidth="1"/>
    <col min="21" max="16384" width="9.33203125" style="6"/>
  </cols>
  <sheetData>
    <row r="1" spans="2:20" s="13" customFormat="1" ht="15.75">
      <c r="B1" s="1" t="s">
        <v>76</v>
      </c>
      <c r="C1" s="1"/>
      <c r="D1" s="1"/>
      <c r="E1" s="1"/>
      <c r="F1" s="1"/>
      <c r="G1" s="16"/>
      <c r="H1" s="1"/>
      <c r="I1" s="1"/>
      <c r="J1" s="1"/>
      <c r="K1" s="1"/>
      <c r="L1" s="21"/>
      <c r="M1" s="22"/>
      <c r="N1" s="22"/>
      <c r="O1" s="22"/>
      <c r="P1" s="22"/>
      <c r="Q1" s="22"/>
    </row>
    <row r="2" spans="2:20" s="13" customFormat="1" ht="15.75">
      <c r="B2" s="1"/>
      <c r="C2" s="1"/>
      <c r="D2" s="1"/>
      <c r="E2" s="1"/>
      <c r="F2" s="1"/>
      <c r="G2" s="16"/>
      <c r="H2" s="1"/>
      <c r="I2" s="1"/>
      <c r="J2" s="1"/>
      <c r="K2" s="1"/>
      <c r="L2" s="21"/>
      <c r="M2" s="22"/>
      <c r="N2" s="22"/>
      <c r="O2" s="22"/>
      <c r="P2" s="22"/>
      <c r="Q2" s="22"/>
    </row>
    <row r="3" spans="2:20" s="17" customFormat="1" ht="15">
      <c r="B3" s="7" t="str">
        <f>'Table 1'!$B$5</f>
        <v>Utah 2011.Q2 Compliance Filing - 100 MW and 85% Capacity Factor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20" s="17" customFormat="1" ht="15">
      <c r="B4" s="7" t="str">
        <f>'Table 1'!$B$6</f>
        <v xml:space="preserve">Partial Displacement of East Side 597 MW CCCT (Dry "F" 2x1) </v>
      </c>
      <c r="C4" s="7"/>
      <c r="D4" s="7"/>
      <c r="E4" s="7"/>
      <c r="F4" s="7"/>
      <c r="G4" s="7"/>
      <c r="H4" s="7"/>
      <c r="I4" s="7"/>
      <c r="J4" s="7"/>
      <c r="K4" s="7"/>
      <c r="L4" s="7"/>
      <c r="M4" s="23"/>
      <c r="N4" s="23"/>
      <c r="O4" s="23"/>
      <c r="P4" s="23"/>
      <c r="Q4" s="23"/>
    </row>
    <row r="5" spans="2:20" s="17" customFormat="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3"/>
      <c r="N5" s="23"/>
      <c r="O5" s="23"/>
      <c r="P5" s="23"/>
      <c r="Q5" s="23"/>
    </row>
    <row r="6" spans="2:20" s="13" customFormat="1" ht="15.75">
      <c r="B6" s="1" t="str">
        <f>"Table "&amp;RIGHT('Table 1'!B3,1)+1</f>
        <v>Table 2</v>
      </c>
      <c r="C6" s="1"/>
      <c r="D6" s="1"/>
      <c r="E6" s="1"/>
      <c r="F6" s="1"/>
      <c r="G6" s="16"/>
      <c r="H6" s="1"/>
      <c r="I6" s="1"/>
      <c r="J6" s="1"/>
      <c r="K6" s="1"/>
      <c r="L6" s="21"/>
      <c r="M6" s="22"/>
      <c r="N6" s="22"/>
      <c r="O6" s="22"/>
      <c r="P6" s="22"/>
      <c r="Q6" s="22"/>
    </row>
    <row r="7" spans="2:20" s="17" customFormat="1" ht="15">
      <c r="B7" s="7" t="s">
        <v>63</v>
      </c>
      <c r="C7" s="7"/>
      <c r="D7" s="7"/>
      <c r="E7" s="7"/>
      <c r="F7" s="7"/>
      <c r="G7" s="7"/>
      <c r="H7" s="7"/>
      <c r="I7" s="7"/>
      <c r="J7" s="7"/>
      <c r="K7" s="7"/>
      <c r="L7" s="7"/>
      <c r="M7" s="23"/>
      <c r="N7" s="23"/>
      <c r="O7" s="23"/>
      <c r="P7" s="23"/>
      <c r="Q7" s="23"/>
    </row>
    <row r="8" spans="2:20" s="3" customFormat="1">
      <c r="B8" s="34" t="s">
        <v>0</v>
      </c>
      <c r="C8" s="34"/>
      <c r="D8" s="31" t="s">
        <v>29</v>
      </c>
      <c r="E8" s="36"/>
      <c r="F8" s="36"/>
      <c r="G8" s="31"/>
      <c r="H8" s="31"/>
      <c r="I8" s="27" t="s">
        <v>30</v>
      </c>
      <c r="J8" s="30"/>
      <c r="K8" s="30"/>
      <c r="L8" s="26"/>
      <c r="M8" s="32" t="s">
        <v>29</v>
      </c>
      <c r="N8" s="40"/>
      <c r="O8" s="33"/>
      <c r="Q8" s="28" t="s">
        <v>47</v>
      </c>
    </row>
    <row r="9" spans="2:20" s="3" customFormat="1">
      <c r="B9" s="35"/>
      <c r="C9" s="35" t="s">
        <v>40</v>
      </c>
      <c r="D9" s="37" t="s">
        <v>17</v>
      </c>
      <c r="E9" s="38" t="s">
        <v>18</v>
      </c>
      <c r="F9" s="38" t="s">
        <v>19</v>
      </c>
      <c r="G9" s="38" t="s">
        <v>20</v>
      </c>
      <c r="H9" s="39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37" t="s">
        <v>26</v>
      </c>
      <c r="N9" s="38" t="s">
        <v>27</v>
      </c>
      <c r="O9" s="39" t="s">
        <v>28</v>
      </c>
      <c r="Q9" s="29" t="s">
        <v>1</v>
      </c>
    </row>
    <row r="10" spans="2:20" ht="12.75" customHeight="1">
      <c r="B10" s="9"/>
      <c r="C10" s="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8"/>
    </row>
    <row r="11" spans="2:20" ht="12.75" customHeight="1">
      <c r="B11" s="19" t="s">
        <v>46</v>
      </c>
      <c r="C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/>
      <c r="Q11" s="9"/>
    </row>
    <row r="12" spans="2:20" ht="12.75" customHeight="1">
      <c r="B12" s="71">
        <v>2011</v>
      </c>
      <c r="C12" s="70">
        <v>28.372787533275485</v>
      </c>
      <c r="D12" s="11">
        <v>26.155784979692832</v>
      </c>
      <c r="E12" s="11">
        <v>22.882096167166225</v>
      </c>
      <c r="F12" s="11">
        <v>21.492314343123091</v>
      </c>
      <c r="G12" s="11">
        <v>20.356593340073584</v>
      </c>
      <c r="H12" s="45">
        <v>21.178825624279824</v>
      </c>
      <c r="I12" s="56">
        <v>20.23258016535075</v>
      </c>
      <c r="J12" s="11">
        <v>37.137652524371717</v>
      </c>
      <c r="K12" s="11">
        <v>38.39497077148561</v>
      </c>
      <c r="L12" s="45">
        <v>32.045154797464512</v>
      </c>
      <c r="M12" s="56">
        <v>32.817602358474986</v>
      </c>
      <c r="N12" s="11">
        <v>32.502286344817016</v>
      </c>
      <c r="O12" s="45">
        <v>34.47673060933716</v>
      </c>
      <c r="Q12" s="57">
        <f>VLOOKUP(B12,'Table 4'!$B$11:$K$41,9,FALSE)</f>
        <v>0</v>
      </c>
      <c r="T12" s="9" t="s">
        <v>49</v>
      </c>
    </row>
    <row r="13" spans="2:20" ht="12.75" customHeight="1">
      <c r="B13" s="72">
        <f>B12+1</f>
        <v>2012</v>
      </c>
      <c r="C13" s="74">
        <v>35.046301427824773</v>
      </c>
      <c r="D13" s="12">
        <v>35.222976780463668</v>
      </c>
      <c r="E13" s="12">
        <v>35.620062704265692</v>
      </c>
      <c r="F13" s="12">
        <v>34.148401852559054</v>
      </c>
      <c r="G13" s="12">
        <v>28.495090739372507</v>
      </c>
      <c r="H13" s="46">
        <v>25.385508393940906</v>
      </c>
      <c r="I13" s="55">
        <v>26.972843126073673</v>
      </c>
      <c r="J13" s="12">
        <v>43.558630704134231</v>
      </c>
      <c r="K13" s="12">
        <v>41.816431035242793</v>
      </c>
      <c r="L13" s="46">
        <v>37.301870089273145</v>
      </c>
      <c r="M13" s="55">
        <v>36.440061116133975</v>
      </c>
      <c r="N13" s="12">
        <v>36.890555693704414</v>
      </c>
      <c r="O13" s="46">
        <v>38.40069059195924</v>
      </c>
      <c r="Q13" s="54">
        <f>VLOOKUP(B13,'Table 4'!$B$11:$K$41,9,FALSE)</f>
        <v>0</v>
      </c>
      <c r="S13" s="48"/>
      <c r="T13" s="58" t="s">
        <v>48</v>
      </c>
    </row>
    <row r="14" spans="2:20" ht="12.75" customHeight="1">
      <c r="B14" s="72">
        <f t="shared" ref="B14:B31" si="0">B13+1</f>
        <v>2013</v>
      </c>
      <c r="C14" s="74">
        <v>38.521856110025055</v>
      </c>
      <c r="D14" s="12">
        <v>37.855751274293084</v>
      </c>
      <c r="E14" s="12">
        <v>36.716266245413991</v>
      </c>
      <c r="F14" s="12">
        <v>37.25843292863982</v>
      </c>
      <c r="G14" s="12">
        <v>31.299966712397786</v>
      </c>
      <c r="H14" s="46">
        <v>27.741549169038677</v>
      </c>
      <c r="I14" s="55">
        <v>28.483364789425547</v>
      </c>
      <c r="J14" s="12">
        <v>48.697940613261075</v>
      </c>
      <c r="K14" s="12">
        <v>51.169601959123462</v>
      </c>
      <c r="L14" s="46">
        <v>48.459512760114244</v>
      </c>
      <c r="M14" s="55">
        <v>36.559433267302317</v>
      </c>
      <c r="N14" s="12">
        <v>38.651162888092152</v>
      </c>
      <c r="O14" s="46">
        <v>38.962510491137088</v>
      </c>
      <c r="Q14" s="54">
        <f>VLOOKUP(B14,'Table 4'!$B$11:$K$41,9,FALSE)</f>
        <v>0</v>
      </c>
    </row>
    <row r="15" spans="2:20" ht="12.75" customHeight="1">
      <c r="B15" s="72">
        <f t="shared" si="0"/>
        <v>2014</v>
      </c>
      <c r="C15" s="74">
        <v>41.526568735885306</v>
      </c>
      <c r="D15" s="12">
        <v>41.354614052646554</v>
      </c>
      <c r="E15" s="12">
        <v>40.511820016425695</v>
      </c>
      <c r="F15" s="12">
        <v>39.796185457873044</v>
      </c>
      <c r="G15" s="12">
        <v>34.522358591334005</v>
      </c>
      <c r="H15" s="46">
        <v>31.41300751881781</v>
      </c>
      <c r="I15" s="55">
        <v>32.285701529975569</v>
      </c>
      <c r="J15" s="12">
        <v>51.53612607088197</v>
      </c>
      <c r="K15" s="12">
        <v>53.392248884800075</v>
      </c>
      <c r="L15" s="46">
        <v>50.509410800028569</v>
      </c>
      <c r="M15" s="55">
        <v>39.715505228861979</v>
      </c>
      <c r="N15" s="12">
        <v>41.642798871791683</v>
      </c>
      <c r="O15" s="46">
        <v>41.310330023032193</v>
      </c>
      <c r="Q15" s="54">
        <f>VLOOKUP(B15,'Table 4'!$B$11:$K$41,9,FALSE)</f>
        <v>0</v>
      </c>
    </row>
    <row r="16" spans="2:20" ht="12.75" customHeight="1">
      <c r="B16" s="72">
        <f t="shared" si="0"/>
        <v>2015</v>
      </c>
      <c r="C16" s="74">
        <v>45.838845911393484</v>
      </c>
      <c r="D16" s="12">
        <v>46.193521451455254</v>
      </c>
      <c r="E16" s="12">
        <v>45.60719304889107</v>
      </c>
      <c r="F16" s="12">
        <v>44.206765228344963</v>
      </c>
      <c r="G16" s="12">
        <v>38.805161568365648</v>
      </c>
      <c r="H16" s="46">
        <v>35.681738278707094</v>
      </c>
      <c r="I16" s="55">
        <v>34.611266496983518</v>
      </c>
      <c r="J16" s="12">
        <v>54.906674863923058</v>
      </c>
      <c r="K16" s="12">
        <v>57.000025111812434</v>
      </c>
      <c r="L16" s="46">
        <v>55.502673818676982</v>
      </c>
      <c r="M16" s="55">
        <v>45.279266051939352</v>
      </c>
      <c r="N16" s="12">
        <v>46.041008562558133</v>
      </c>
      <c r="O16" s="46">
        <v>45.937623171628957</v>
      </c>
      <c r="Q16" s="54">
        <f>VLOOKUP(B16,'Table 4'!$B$11:$K$41,9,FALSE)</f>
        <v>0</v>
      </c>
    </row>
    <row r="17" spans="2:17" ht="12.75" customHeight="1">
      <c r="B17" s="72">
        <f t="shared" si="0"/>
        <v>2016</v>
      </c>
      <c r="C17" s="74">
        <v>41.568116057133324</v>
      </c>
      <c r="D17" s="12">
        <v>47.885121406698666</v>
      </c>
      <c r="E17" s="12">
        <v>49.168074491781773</v>
      </c>
      <c r="F17" s="12">
        <v>47.538840876411761</v>
      </c>
      <c r="G17" s="12">
        <v>41.547414980073967</v>
      </c>
      <c r="H17" s="46">
        <v>39.237789028864604</v>
      </c>
      <c r="I17" s="55">
        <v>33.165950624715364</v>
      </c>
      <c r="J17" s="12">
        <v>37.384609834211282</v>
      </c>
      <c r="K17" s="12">
        <v>40.15444037243865</v>
      </c>
      <c r="L17" s="46">
        <v>38.499465335420531</v>
      </c>
      <c r="M17" s="55">
        <v>40.803419366839904</v>
      </c>
      <c r="N17" s="12">
        <v>42.775371561194071</v>
      </c>
      <c r="O17" s="46">
        <v>40.815464327664387</v>
      </c>
      <c r="Q17" s="54">
        <f>VLOOKUP(B17,'Table 4'!$B$11:$K$41,9,FALSE)</f>
        <v>43.08</v>
      </c>
    </row>
    <row r="18" spans="2:17" ht="12.75" customHeight="1">
      <c r="B18" s="72">
        <f t="shared" si="0"/>
        <v>2017</v>
      </c>
      <c r="C18" s="74">
        <v>43.432530961309389</v>
      </c>
      <c r="D18" s="12">
        <v>42.773796712784808</v>
      </c>
      <c r="E18" s="12">
        <v>44.139229797935037</v>
      </c>
      <c r="F18" s="12">
        <v>49.373514802772775</v>
      </c>
      <c r="G18" s="12">
        <v>41.287751434313897</v>
      </c>
      <c r="H18" s="46">
        <v>42.1529926148417</v>
      </c>
      <c r="I18" s="55">
        <v>39.134131399185634</v>
      </c>
      <c r="J18" s="12">
        <v>41.701237526412989</v>
      </c>
      <c r="K18" s="12">
        <v>43.512194686088947</v>
      </c>
      <c r="L18" s="46">
        <v>41.706392137492017</v>
      </c>
      <c r="M18" s="55">
        <v>43.422226746262041</v>
      </c>
      <c r="N18" s="12">
        <v>45.305665631610289</v>
      </c>
      <c r="O18" s="46">
        <v>46.546525570762256</v>
      </c>
      <c r="Q18" s="54">
        <f>VLOOKUP(B18,'Table 4'!$B$11:$K$41,9,FALSE)</f>
        <v>46.11</v>
      </c>
    </row>
    <row r="19" spans="2:17" ht="12.75" customHeight="1">
      <c r="B19" s="72">
        <f t="shared" si="0"/>
        <v>2018</v>
      </c>
      <c r="C19" s="74">
        <v>46.177725097657692</v>
      </c>
      <c r="D19" s="12">
        <v>48.231208394832116</v>
      </c>
      <c r="E19" s="12">
        <v>47.449768982335129</v>
      </c>
      <c r="F19" s="12">
        <v>47.448915248177123</v>
      </c>
      <c r="G19" s="12">
        <v>49.030415398856391</v>
      </c>
      <c r="H19" s="46">
        <v>45.852802610847391</v>
      </c>
      <c r="I19" s="55">
        <v>44.186187355882595</v>
      </c>
      <c r="J19" s="12">
        <v>44.045986846084652</v>
      </c>
      <c r="K19" s="12">
        <v>45.439784415118083</v>
      </c>
      <c r="L19" s="46">
        <v>44.238336152793728</v>
      </c>
      <c r="M19" s="55">
        <v>44.999540576093246</v>
      </c>
      <c r="N19" s="12">
        <v>46.223531713072283</v>
      </c>
      <c r="O19" s="46">
        <v>47.076020312767561</v>
      </c>
      <c r="Q19" s="54">
        <f>VLOOKUP(B19,'Table 4'!$B$11:$K$41,9,FALSE)</f>
        <v>49.07</v>
      </c>
    </row>
    <row r="20" spans="2:17" ht="12.75" customHeight="1">
      <c r="B20" s="72">
        <f t="shared" si="0"/>
        <v>2019</v>
      </c>
      <c r="C20" s="74">
        <v>48.559682614101725</v>
      </c>
      <c r="D20" s="12">
        <v>48.680574513282828</v>
      </c>
      <c r="E20" s="12">
        <v>47.786450305147</v>
      </c>
      <c r="F20" s="12">
        <v>50.060092295224649</v>
      </c>
      <c r="G20" s="12">
        <v>54.088290897423732</v>
      </c>
      <c r="H20" s="46">
        <v>49.429080376976245</v>
      </c>
      <c r="I20" s="55">
        <v>46.665415958122296</v>
      </c>
      <c r="J20" s="12">
        <v>46.818550010477907</v>
      </c>
      <c r="K20" s="12">
        <v>47.495030154965484</v>
      </c>
      <c r="L20" s="46">
        <v>45.878540994075976</v>
      </c>
      <c r="M20" s="55">
        <v>47.967580122693406</v>
      </c>
      <c r="N20" s="12">
        <v>48.978245198290331</v>
      </c>
      <c r="O20" s="46">
        <v>48.837762015593782</v>
      </c>
      <c r="Q20" s="54">
        <f>VLOOKUP(B20,'Table 4'!$B$11:$K$41,9,FALSE)</f>
        <v>51.32</v>
      </c>
    </row>
    <row r="21" spans="2:17" ht="12.75" customHeight="1">
      <c r="B21" s="72">
        <f t="shared" si="0"/>
        <v>2020</v>
      </c>
      <c r="C21" s="75">
        <v>49.101593405249524</v>
      </c>
      <c r="D21" s="12">
        <v>50.218426110239662</v>
      </c>
      <c r="E21" s="12">
        <v>50.564065419438727</v>
      </c>
      <c r="F21" s="12">
        <v>49.913257478335893</v>
      </c>
      <c r="G21" s="12">
        <v>55.054950708598874</v>
      </c>
      <c r="H21" s="46">
        <v>49.708788492252069</v>
      </c>
      <c r="I21" s="55">
        <v>48.389044244771007</v>
      </c>
      <c r="J21" s="12">
        <v>48.508187345507253</v>
      </c>
      <c r="K21" s="12">
        <v>48.517940050126029</v>
      </c>
      <c r="L21" s="46">
        <v>44.936018883343422</v>
      </c>
      <c r="M21" s="55">
        <v>46.246476211135409</v>
      </c>
      <c r="N21" s="12">
        <v>48.995182819837837</v>
      </c>
      <c r="O21" s="46">
        <v>48.292388488567191</v>
      </c>
      <c r="Q21" s="54">
        <f>VLOOKUP(B21,'Table 4'!$B$11:$K$41,9,FALSE)</f>
        <v>51.96</v>
      </c>
    </row>
    <row r="22" spans="2:17" ht="12.75" customHeight="1">
      <c r="B22" s="109">
        <f t="shared" si="0"/>
        <v>2021</v>
      </c>
      <c r="C22" s="74">
        <v>50.334736507494796</v>
      </c>
      <c r="D22" s="11">
        <v>50.048075415327872</v>
      </c>
      <c r="E22" s="11">
        <v>50.964948755602357</v>
      </c>
      <c r="F22" s="11">
        <v>51.195042480866249</v>
      </c>
      <c r="G22" s="11">
        <v>56.481696148511823</v>
      </c>
      <c r="H22" s="45">
        <v>50.938843371284619</v>
      </c>
      <c r="I22" s="56">
        <v>49.482704347451914</v>
      </c>
      <c r="J22" s="11">
        <v>49.308974181432312</v>
      </c>
      <c r="K22" s="11">
        <v>48.98560168957556</v>
      </c>
      <c r="L22" s="45">
        <v>48.029206957332548</v>
      </c>
      <c r="M22" s="56">
        <v>49.075680301809221</v>
      </c>
      <c r="N22" s="11">
        <v>50.252698814542661</v>
      </c>
      <c r="O22" s="45">
        <v>49.408139722399852</v>
      </c>
      <c r="Q22" s="57">
        <f>VLOOKUP(B22,'Table 4'!$B$11:$K$41,9,FALSE)</f>
        <v>52.66</v>
      </c>
    </row>
    <row r="23" spans="2:17" ht="12.75" customHeight="1">
      <c r="B23" s="72">
        <f t="shared" si="0"/>
        <v>2022</v>
      </c>
      <c r="C23" s="74">
        <v>51.924542387498626</v>
      </c>
      <c r="D23" s="12">
        <v>51.207609551207199</v>
      </c>
      <c r="E23" s="12">
        <v>51.979249565612726</v>
      </c>
      <c r="F23" s="12">
        <v>51.861089907021068</v>
      </c>
      <c r="G23" s="12">
        <v>58.42412164733301</v>
      </c>
      <c r="H23" s="46">
        <v>52.334514462102881</v>
      </c>
      <c r="I23" s="55">
        <v>50.637444301802738</v>
      </c>
      <c r="J23" s="12">
        <v>50.309906699319455</v>
      </c>
      <c r="K23" s="12">
        <v>51.129711026247357</v>
      </c>
      <c r="L23" s="46">
        <v>49.828959505254147</v>
      </c>
      <c r="M23" s="55">
        <v>50.953424606141901</v>
      </c>
      <c r="N23" s="12">
        <v>52.415939882843226</v>
      </c>
      <c r="O23" s="46">
        <v>52.134228376439104</v>
      </c>
      <c r="Q23" s="54">
        <f>VLOOKUP(B23,'Table 4'!$B$11:$K$41,9,FALSE)</f>
        <v>54.21</v>
      </c>
    </row>
    <row r="24" spans="2:17" ht="12.75" customHeight="1">
      <c r="B24" s="72">
        <f t="shared" si="0"/>
        <v>2023</v>
      </c>
      <c r="C24" s="74">
        <v>55.009748981057989</v>
      </c>
      <c r="D24" s="12">
        <v>53.916770991303174</v>
      </c>
      <c r="E24" s="12">
        <v>54.742323693253766</v>
      </c>
      <c r="F24" s="12">
        <v>53.820619594876447</v>
      </c>
      <c r="G24" s="12">
        <v>62.235658833543262</v>
      </c>
      <c r="H24" s="46">
        <v>55.064596832930043</v>
      </c>
      <c r="I24" s="55">
        <v>53.933280903389253</v>
      </c>
      <c r="J24" s="12">
        <v>52.937347702877119</v>
      </c>
      <c r="K24" s="12">
        <v>54.03322996980382</v>
      </c>
      <c r="L24" s="46">
        <v>53.273932736546193</v>
      </c>
      <c r="M24" s="55">
        <v>54.530470513774389</v>
      </c>
      <c r="N24" s="12">
        <v>55.996963422853575</v>
      </c>
      <c r="O24" s="46">
        <v>55.780133355244438</v>
      </c>
      <c r="Q24" s="54">
        <f>VLOOKUP(B24,'Table 4'!$B$11:$K$41,9,FALSE)</f>
        <v>57.53</v>
      </c>
    </row>
    <row r="25" spans="2:17" ht="12.75" customHeight="1">
      <c r="B25" s="72">
        <f t="shared" si="0"/>
        <v>2024</v>
      </c>
      <c r="C25" s="74">
        <v>57.601958519892968</v>
      </c>
      <c r="D25" s="12">
        <v>57.246197445128892</v>
      </c>
      <c r="E25" s="12">
        <v>56.64484529107547</v>
      </c>
      <c r="F25" s="12">
        <v>58.664695075266465</v>
      </c>
      <c r="G25" s="12">
        <v>67.310688098693404</v>
      </c>
      <c r="H25" s="46">
        <v>58.425406188210076</v>
      </c>
      <c r="I25" s="55">
        <v>56.429160958169625</v>
      </c>
      <c r="J25" s="12">
        <v>54.897187520557949</v>
      </c>
      <c r="K25" s="12">
        <v>56.152586533523184</v>
      </c>
      <c r="L25" s="46">
        <v>55.415071074078284</v>
      </c>
      <c r="M25" s="55">
        <v>56.326674805249802</v>
      </c>
      <c r="N25" s="12">
        <v>57.330390755228358</v>
      </c>
      <c r="O25" s="46">
        <v>56.514896891887695</v>
      </c>
      <c r="Q25" s="54">
        <f>VLOOKUP(B25,'Table 4'!$B$11:$K$41,9,FALSE)</f>
        <v>61.19</v>
      </c>
    </row>
    <row r="26" spans="2:17" ht="12.75" customHeight="1">
      <c r="B26" s="72">
        <f t="shared" si="0"/>
        <v>2025</v>
      </c>
      <c r="C26" s="74">
        <v>57.298855160827515</v>
      </c>
      <c r="D26" s="12">
        <v>58.461506151836332</v>
      </c>
      <c r="E26" s="12">
        <v>57.770394784677514</v>
      </c>
      <c r="F26" s="12">
        <v>59.313663713396501</v>
      </c>
      <c r="G26" s="12">
        <v>66.407049260958544</v>
      </c>
      <c r="H26" s="46">
        <v>56.813280135356386</v>
      </c>
      <c r="I26" s="55">
        <v>54.992453280391743</v>
      </c>
      <c r="J26" s="12">
        <v>54.387729363204706</v>
      </c>
      <c r="K26" s="12">
        <v>54.128807084809971</v>
      </c>
      <c r="L26" s="46">
        <v>54.260757856665094</v>
      </c>
      <c r="M26" s="55">
        <v>55.783082341135568</v>
      </c>
      <c r="N26" s="12">
        <v>58.132837983005579</v>
      </c>
      <c r="O26" s="46">
        <v>57.328645026403883</v>
      </c>
      <c r="Q26" s="54">
        <f>VLOOKUP(B26,'Table 4'!$B$11:$K$41,9,FALSE)</f>
        <v>59.57</v>
      </c>
    </row>
    <row r="27" spans="2:17" ht="12.75" customHeight="1">
      <c r="B27" s="72">
        <f t="shared" si="0"/>
        <v>2026</v>
      </c>
      <c r="C27" s="74">
        <v>52.526757417759313</v>
      </c>
      <c r="D27" s="12">
        <v>58.830071788107311</v>
      </c>
      <c r="E27" s="12">
        <v>59.999481459032921</v>
      </c>
      <c r="F27" s="12">
        <v>54.399411151170312</v>
      </c>
      <c r="G27" s="12">
        <v>61.239925162068573</v>
      </c>
      <c r="H27" s="46">
        <v>51.039219096271886</v>
      </c>
      <c r="I27" s="55">
        <v>49.810665927366685</v>
      </c>
      <c r="J27" s="12">
        <v>49.069352217398439</v>
      </c>
      <c r="K27" s="12">
        <v>49.042473040004644</v>
      </c>
      <c r="L27" s="46">
        <v>50.024271317646395</v>
      </c>
      <c r="M27" s="55">
        <v>48.982154343915767</v>
      </c>
      <c r="N27" s="12">
        <v>50.13708496172346</v>
      </c>
      <c r="O27" s="46">
        <v>48.505787897488879</v>
      </c>
      <c r="Q27" s="54">
        <f>VLOOKUP(B27,'Table 4'!$B$11:$K$41,9,FALSE)</f>
        <v>53.93</v>
      </c>
    </row>
    <row r="28" spans="2:17" ht="12.75" customHeight="1">
      <c r="B28" s="72">
        <f t="shared" si="0"/>
        <v>2027</v>
      </c>
      <c r="C28" s="74">
        <v>48.818570397476329</v>
      </c>
      <c r="D28" s="12">
        <v>46.181688056450753</v>
      </c>
      <c r="E28" s="12">
        <v>47.256382450962271</v>
      </c>
      <c r="F28" s="12">
        <v>49.318409141272326</v>
      </c>
      <c r="G28" s="12">
        <v>58.275498388931155</v>
      </c>
      <c r="H28" s="46">
        <v>47.669520033787578</v>
      </c>
      <c r="I28" s="55">
        <v>46.983114649410929</v>
      </c>
      <c r="J28" s="12">
        <v>45.439153330255202</v>
      </c>
      <c r="K28" s="12">
        <v>46.199988946871883</v>
      </c>
      <c r="L28" s="46">
        <v>46.613762315205889</v>
      </c>
      <c r="M28" s="55">
        <v>46.093979549810413</v>
      </c>
      <c r="N28" s="12">
        <v>53.258281462909352</v>
      </c>
      <c r="O28" s="46">
        <v>52.699834553106612</v>
      </c>
      <c r="Q28" s="54">
        <f>VLOOKUP(B28,'Table 4'!$B$11:$K$41,9,FALSE)</f>
        <v>50.13</v>
      </c>
    </row>
    <row r="29" spans="2:17" ht="12.75" customHeight="1">
      <c r="B29" s="72">
        <f t="shared" si="0"/>
        <v>2028</v>
      </c>
      <c r="C29" s="74">
        <v>55.574119938235363</v>
      </c>
      <c r="D29" s="12">
        <v>54.35371107165475</v>
      </c>
      <c r="E29" s="12">
        <v>54.613559604631114</v>
      </c>
      <c r="F29" s="12">
        <v>55.05414867694622</v>
      </c>
      <c r="G29" s="12">
        <v>66.809221393071553</v>
      </c>
      <c r="H29" s="46">
        <v>55.184494110077601</v>
      </c>
      <c r="I29" s="55">
        <v>54.281842244844029</v>
      </c>
      <c r="J29" s="12">
        <v>52.787334282920568</v>
      </c>
      <c r="K29" s="12">
        <v>54.115703035420744</v>
      </c>
      <c r="L29" s="46">
        <v>53.775110579105764</v>
      </c>
      <c r="M29" s="55">
        <v>54.373247256957036</v>
      </c>
      <c r="N29" s="12">
        <v>56.235884636906434</v>
      </c>
      <c r="O29" s="46">
        <v>55.527261670603927</v>
      </c>
      <c r="Q29" s="54">
        <f>VLOOKUP(B29,'Table 4'!$B$11:$K$41,9,FALSE)</f>
        <v>56.75</v>
      </c>
    </row>
    <row r="30" spans="2:17" ht="12.75" customHeight="1">
      <c r="B30" s="72">
        <f t="shared" si="0"/>
        <v>2029</v>
      </c>
      <c r="C30" s="74">
        <v>57.226478219668437</v>
      </c>
      <c r="D30" s="12">
        <v>56.403566535778587</v>
      </c>
      <c r="E30" s="12">
        <v>56.729844330356613</v>
      </c>
      <c r="F30" s="12">
        <v>56.852787484929841</v>
      </c>
      <c r="G30" s="12">
        <v>70.350763156313235</v>
      </c>
      <c r="H30" s="46">
        <v>56.297089784533014</v>
      </c>
      <c r="I30" s="55">
        <v>54.950413423016961</v>
      </c>
      <c r="J30" s="12">
        <v>53.281082993674175</v>
      </c>
      <c r="K30" s="12">
        <v>55.256862080231038</v>
      </c>
      <c r="L30" s="46">
        <v>54.921517659082909</v>
      </c>
      <c r="M30" s="55">
        <v>56.39042431593959</v>
      </c>
      <c r="N30" s="12">
        <v>58.207406428218668</v>
      </c>
      <c r="O30" s="46">
        <v>57.335150963947378</v>
      </c>
      <c r="Q30" s="54">
        <f>VLOOKUP(B30,'Table 4'!$B$11:$K$41,9,FALSE)</f>
        <v>58.59</v>
      </c>
    </row>
    <row r="31" spans="2:17" ht="12.75" customHeight="1">
      <c r="B31" s="73">
        <f t="shared" si="0"/>
        <v>2030</v>
      </c>
      <c r="C31" s="75">
        <v>58.4387234353769</v>
      </c>
      <c r="D31" s="20">
        <v>58.163801116565601</v>
      </c>
      <c r="E31" s="20">
        <v>58.701574974479961</v>
      </c>
      <c r="F31" s="20">
        <v>59.152911137054801</v>
      </c>
      <c r="G31" s="20">
        <v>73.608559271265676</v>
      </c>
      <c r="H31" s="47">
        <v>55.968926266366871</v>
      </c>
      <c r="I31" s="110">
        <v>55.633532671103488</v>
      </c>
      <c r="J31" s="20">
        <v>53.785811164136327</v>
      </c>
      <c r="K31" s="20">
        <v>55.786486757328468</v>
      </c>
      <c r="L31" s="47">
        <v>55.683236141591486</v>
      </c>
      <c r="M31" s="110">
        <v>56.294915322359039</v>
      </c>
      <c r="N31" s="20">
        <v>59.79096609371647</v>
      </c>
      <c r="O31" s="47">
        <v>59.072991116731359</v>
      </c>
      <c r="Q31" s="111">
        <f>VLOOKUP(B31,'Table 4'!$B$11:$K$41,9,FALSE)</f>
        <v>59.57</v>
      </c>
    </row>
    <row r="32" spans="2:17" ht="12.75" customHeight="1">
      <c r="D32" s="18"/>
      <c r="E32" s="18"/>
      <c r="F32" s="18"/>
      <c r="M32" s="25"/>
    </row>
    <row r="33" spans="2:17">
      <c r="B33" s="14"/>
      <c r="C33" s="6" t="s">
        <v>52</v>
      </c>
    </row>
    <row r="34" spans="2:17">
      <c r="B34" s="14"/>
    </row>
    <row r="35" spans="2:17">
      <c r="C35" s="14"/>
    </row>
    <row r="36" spans="2:17" s="13" customFormat="1" ht="15.75">
      <c r="B36" s="1" t="str">
        <f>"Table "&amp;RIGHT('Table 2 &amp; 3'!B6,1)+1</f>
        <v>Table 3</v>
      </c>
      <c r="C36" s="1"/>
      <c r="D36" s="1"/>
      <c r="E36" s="1"/>
      <c r="F36" s="1"/>
      <c r="G36" s="16"/>
      <c r="H36" s="1"/>
      <c r="I36" s="1"/>
      <c r="J36" s="1"/>
      <c r="K36" s="1"/>
      <c r="L36" s="21"/>
      <c r="M36" s="22"/>
      <c r="N36" s="22"/>
      <c r="O36" s="22"/>
      <c r="P36" s="22"/>
      <c r="Q36" s="22"/>
    </row>
    <row r="37" spans="2:17" s="17" customFormat="1" ht="15">
      <c r="B37" s="7" t="s">
        <v>108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23"/>
      <c r="N37" s="23"/>
      <c r="O37" s="23"/>
      <c r="P37" s="23"/>
      <c r="Q37" s="23"/>
    </row>
    <row r="38" spans="2:17">
      <c r="B38" s="59" t="s">
        <v>0</v>
      </c>
      <c r="C38" s="59"/>
      <c r="D38" s="60" t="s">
        <v>29</v>
      </c>
      <c r="E38" s="61"/>
      <c r="F38" s="61"/>
      <c r="G38" s="60"/>
      <c r="H38" s="60"/>
      <c r="I38" s="50" t="s">
        <v>30</v>
      </c>
      <c r="J38" s="49"/>
      <c r="K38" s="49"/>
      <c r="L38" s="62"/>
      <c r="M38" s="51" t="s">
        <v>29</v>
      </c>
      <c r="N38" s="52"/>
      <c r="O38" s="53"/>
      <c r="Q38" s="63" t="s">
        <v>47</v>
      </c>
    </row>
    <row r="39" spans="2:17">
      <c r="B39" s="64"/>
      <c r="C39" s="64" t="s">
        <v>40</v>
      </c>
      <c r="D39" s="65" t="s">
        <v>17</v>
      </c>
      <c r="E39" s="66" t="s">
        <v>18</v>
      </c>
      <c r="F39" s="66" t="s">
        <v>19</v>
      </c>
      <c r="G39" s="66" t="s">
        <v>20</v>
      </c>
      <c r="H39" s="67" t="s">
        <v>21</v>
      </c>
      <c r="I39" s="68" t="s">
        <v>22</v>
      </c>
      <c r="J39" s="68" t="s">
        <v>23</v>
      </c>
      <c r="K39" s="68" t="s">
        <v>24</v>
      </c>
      <c r="L39" s="68" t="s">
        <v>25</v>
      </c>
      <c r="M39" s="65" t="s">
        <v>26</v>
      </c>
      <c r="N39" s="66" t="s">
        <v>27</v>
      </c>
      <c r="O39" s="67" t="s">
        <v>28</v>
      </c>
      <c r="Q39" s="69" t="s">
        <v>1</v>
      </c>
    </row>
    <row r="40" spans="2:17" ht="12.75" customHeight="1">
      <c r="B40" s="9"/>
      <c r="C40" s="9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8"/>
    </row>
    <row r="41" spans="2:17" ht="12.75" customHeight="1">
      <c r="B41" s="19" t="s">
        <v>46</v>
      </c>
      <c r="C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/>
      <c r="Q41" s="9"/>
    </row>
    <row r="42" spans="2:17" ht="12.75" customHeight="1">
      <c r="B42" s="71">
        <f>'Table 2 &amp; 3'!B12</f>
        <v>2011</v>
      </c>
      <c r="C42" s="70">
        <v>28.372787533275485</v>
      </c>
      <c r="D42" s="11">
        <f>IF($Q42&lt;&gt;0,MIN('Table 2 &amp; 3'!D12,'Table 2 &amp; 3'!$Q42),'Table 2 &amp; 3'!D12)</f>
        <v>26.155784979692832</v>
      </c>
      <c r="E42" s="11">
        <f>IF($Q42&lt;&gt;0,MIN('Table 2 &amp; 3'!E12,'Table 2 &amp; 3'!$Q42),'Table 2 &amp; 3'!E12)</f>
        <v>22.882096167166225</v>
      </c>
      <c r="F42" s="11">
        <f>IF($Q42&lt;&gt;0,MIN('Table 2 &amp; 3'!F12,'Table 2 &amp; 3'!$Q42),'Table 2 &amp; 3'!F12)</f>
        <v>21.492314343123091</v>
      </c>
      <c r="G42" s="11">
        <f>IF($Q42&lt;&gt;0,MIN('Table 2 &amp; 3'!G12,'Table 2 &amp; 3'!$Q42),'Table 2 &amp; 3'!G12)</f>
        <v>20.356593340073584</v>
      </c>
      <c r="H42" s="45">
        <f>IF($Q42&lt;&gt;0,MIN('Table 2 &amp; 3'!H12,'Table 2 &amp; 3'!$Q42),'Table 2 &amp; 3'!H12)</f>
        <v>21.178825624279824</v>
      </c>
      <c r="I42" s="11">
        <f>IF($Q42&lt;&gt;0,MIN('Table 2 &amp; 3'!I12,'Table 2 &amp; 3'!$Q42),'Table 2 &amp; 3'!I12)</f>
        <v>20.23258016535075</v>
      </c>
      <c r="J42" s="11">
        <f>IF($Q42&lt;&gt;0,MIN('Table 2 &amp; 3'!J12,'Table 2 &amp; 3'!$Q42),'Table 2 &amp; 3'!J12)</f>
        <v>37.137652524371717</v>
      </c>
      <c r="K42" s="11">
        <f>IF($Q42&lt;&gt;0,MIN('Table 2 &amp; 3'!K12,'Table 2 &amp; 3'!$Q42),'Table 2 &amp; 3'!K12)</f>
        <v>38.39497077148561</v>
      </c>
      <c r="L42" s="45">
        <f>IF($Q42&lt;&gt;0,MIN('Table 2 &amp; 3'!L12,'Table 2 &amp; 3'!$Q42),'Table 2 &amp; 3'!L12)</f>
        <v>32.045154797464512</v>
      </c>
      <c r="M42" s="56">
        <f>IF($Q42&lt;&gt;0,MIN('Table 2 &amp; 3'!M12,'Table 2 &amp; 3'!$Q42),'Table 2 &amp; 3'!M12)</f>
        <v>32.817602358474986</v>
      </c>
      <c r="N42" s="11">
        <f>IF($Q42&lt;&gt;0,MIN('Table 2 &amp; 3'!N12,'Table 2 &amp; 3'!$Q42),'Table 2 &amp; 3'!N12)</f>
        <v>32.502286344817016</v>
      </c>
      <c r="O42" s="45">
        <f>IF($Q42&lt;&gt;0,MIN('Table 2 &amp; 3'!O12,'Table 2 &amp; 3'!$Q42),'Table 2 &amp; 3'!O12)</f>
        <v>34.47673060933716</v>
      </c>
      <c r="Q42" s="57">
        <f>VLOOKUP(B42,'Table 4'!$B$11:$K$41,9,FALSE)</f>
        <v>0</v>
      </c>
    </row>
    <row r="43" spans="2:17" ht="12.75" customHeight="1">
      <c r="B43" s="72">
        <f t="shared" ref="B43:B61" si="1">B42+1</f>
        <v>2012</v>
      </c>
      <c r="C43" s="74">
        <v>35.046301427824773</v>
      </c>
      <c r="D43" s="12">
        <f>IF($Q43&lt;&gt;0,MIN('Table 2 &amp; 3'!D13,'Table 2 &amp; 3'!$Q43),'Table 2 &amp; 3'!D13)</f>
        <v>35.222976780463668</v>
      </c>
      <c r="E43" s="12">
        <f>IF($Q43&lt;&gt;0,MIN('Table 2 &amp; 3'!E13,'Table 2 &amp; 3'!$Q43),'Table 2 &amp; 3'!E13)</f>
        <v>35.620062704265692</v>
      </c>
      <c r="F43" s="12">
        <f>IF($Q43&lt;&gt;0,MIN('Table 2 &amp; 3'!F13,'Table 2 &amp; 3'!$Q43),'Table 2 &amp; 3'!F13)</f>
        <v>34.148401852559054</v>
      </c>
      <c r="G43" s="12">
        <f>IF($Q43&lt;&gt;0,MIN('Table 2 &amp; 3'!G13,'Table 2 &amp; 3'!$Q43),'Table 2 &amp; 3'!G13)</f>
        <v>28.495090739372507</v>
      </c>
      <c r="H43" s="46">
        <f>IF($Q43&lt;&gt;0,MIN('Table 2 &amp; 3'!H13,'Table 2 &amp; 3'!$Q43),'Table 2 &amp; 3'!H13)</f>
        <v>25.385508393940906</v>
      </c>
      <c r="I43" s="12">
        <f>IF($Q43&lt;&gt;0,MIN('Table 2 &amp; 3'!I13,'Table 2 &amp; 3'!$Q43),'Table 2 &amp; 3'!I13)</f>
        <v>26.972843126073673</v>
      </c>
      <c r="J43" s="12">
        <f>IF($Q43&lt;&gt;0,MIN('Table 2 &amp; 3'!J13,'Table 2 &amp; 3'!$Q43),'Table 2 &amp; 3'!J13)</f>
        <v>43.558630704134231</v>
      </c>
      <c r="K43" s="12">
        <f>IF($Q43&lt;&gt;0,MIN('Table 2 &amp; 3'!K13,'Table 2 &amp; 3'!$Q43),'Table 2 &amp; 3'!K13)</f>
        <v>41.816431035242793</v>
      </c>
      <c r="L43" s="46">
        <f>IF($Q43&lt;&gt;0,MIN('Table 2 &amp; 3'!L13,'Table 2 &amp; 3'!$Q43),'Table 2 &amp; 3'!L13)</f>
        <v>37.301870089273145</v>
      </c>
      <c r="M43" s="55">
        <f>IF($Q43&lt;&gt;0,MIN('Table 2 &amp; 3'!M13,'Table 2 &amp; 3'!$Q43),'Table 2 &amp; 3'!M13)</f>
        <v>36.440061116133975</v>
      </c>
      <c r="N43" s="12">
        <f>IF($Q43&lt;&gt;0,MIN('Table 2 &amp; 3'!N13,'Table 2 &amp; 3'!$Q43),'Table 2 &amp; 3'!N13)</f>
        <v>36.890555693704414</v>
      </c>
      <c r="O43" s="46">
        <f>IF($Q43&lt;&gt;0,MIN('Table 2 &amp; 3'!O13,'Table 2 &amp; 3'!$Q43),'Table 2 &amp; 3'!O13)</f>
        <v>38.40069059195924</v>
      </c>
      <c r="Q43" s="54">
        <f>VLOOKUP(B43,'Table 4'!$B$11:$K$41,9,FALSE)</f>
        <v>0</v>
      </c>
    </row>
    <row r="44" spans="2:17" ht="12.75" customHeight="1">
      <c r="B44" s="72">
        <f t="shared" si="1"/>
        <v>2013</v>
      </c>
      <c r="C44" s="74">
        <v>38.521856110025055</v>
      </c>
      <c r="D44" s="12">
        <f>IF($Q44&lt;&gt;0,MIN('Table 2 &amp; 3'!D14,'Table 2 &amp; 3'!$Q44),'Table 2 &amp; 3'!D14)</f>
        <v>37.855751274293084</v>
      </c>
      <c r="E44" s="12">
        <f>IF($Q44&lt;&gt;0,MIN('Table 2 &amp; 3'!E14,'Table 2 &amp; 3'!$Q44),'Table 2 &amp; 3'!E14)</f>
        <v>36.716266245413991</v>
      </c>
      <c r="F44" s="12">
        <f>IF($Q44&lt;&gt;0,MIN('Table 2 &amp; 3'!F14,'Table 2 &amp; 3'!$Q44),'Table 2 &amp; 3'!F14)</f>
        <v>37.25843292863982</v>
      </c>
      <c r="G44" s="12">
        <f>IF($Q44&lt;&gt;0,MIN('Table 2 &amp; 3'!G14,'Table 2 &amp; 3'!$Q44),'Table 2 &amp; 3'!G14)</f>
        <v>31.299966712397786</v>
      </c>
      <c r="H44" s="46">
        <f>IF($Q44&lt;&gt;0,MIN('Table 2 &amp; 3'!H14,'Table 2 &amp; 3'!$Q44),'Table 2 &amp; 3'!H14)</f>
        <v>27.741549169038677</v>
      </c>
      <c r="I44" s="12">
        <f>IF($Q44&lt;&gt;0,MIN('Table 2 &amp; 3'!I14,'Table 2 &amp; 3'!$Q44),'Table 2 &amp; 3'!I14)</f>
        <v>28.483364789425547</v>
      </c>
      <c r="J44" s="12">
        <f>IF($Q44&lt;&gt;0,MIN('Table 2 &amp; 3'!J14,'Table 2 &amp; 3'!$Q44),'Table 2 &amp; 3'!J14)</f>
        <v>48.697940613261075</v>
      </c>
      <c r="K44" s="12">
        <f>IF($Q44&lt;&gt;0,MIN('Table 2 &amp; 3'!K14,'Table 2 &amp; 3'!$Q44),'Table 2 &amp; 3'!K14)</f>
        <v>51.169601959123462</v>
      </c>
      <c r="L44" s="46">
        <f>IF($Q44&lt;&gt;0,MIN('Table 2 &amp; 3'!L14,'Table 2 &amp; 3'!$Q44),'Table 2 &amp; 3'!L14)</f>
        <v>48.459512760114244</v>
      </c>
      <c r="M44" s="55">
        <f>IF($Q44&lt;&gt;0,MIN('Table 2 &amp; 3'!M14,'Table 2 &amp; 3'!$Q44),'Table 2 &amp; 3'!M14)</f>
        <v>36.559433267302317</v>
      </c>
      <c r="N44" s="12">
        <f>IF($Q44&lt;&gt;0,MIN('Table 2 &amp; 3'!N14,'Table 2 &amp; 3'!$Q44),'Table 2 &amp; 3'!N14)</f>
        <v>38.651162888092152</v>
      </c>
      <c r="O44" s="46">
        <f>IF($Q44&lt;&gt;0,MIN('Table 2 &amp; 3'!O14,'Table 2 &amp; 3'!$Q44),'Table 2 &amp; 3'!O14)</f>
        <v>38.962510491137088</v>
      </c>
      <c r="Q44" s="54">
        <f>VLOOKUP(B44,'Table 4'!$B$11:$K$41,9,FALSE)</f>
        <v>0</v>
      </c>
    </row>
    <row r="45" spans="2:17" ht="12.75" customHeight="1">
      <c r="B45" s="72">
        <f t="shared" si="1"/>
        <v>2014</v>
      </c>
      <c r="C45" s="74">
        <v>41.526568735885306</v>
      </c>
      <c r="D45" s="12">
        <f>IF($Q45&lt;&gt;0,MIN('Table 2 &amp; 3'!D15,'Table 2 &amp; 3'!$Q45),'Table 2 &amp; 3'!D15)</f>
        <v>41.354614052646554</v>
      </c>
      <c r="E45" s="12">
        <f>IF($Q45&lt;&gt;0,MIN('Table 2 &amp; 3'!E15,'Table 2 &amp; 3'!$Q45),'Table 2 &amp; 3'!E15)</f>
        <v>40.511820016425695</v>
      </c>
      <c r="F45" s="12">
        <f>IF($Q45&lt;&gt;0,MIN('Table 2 &amp; 3'!F15,'Table 2 &amp; 3'!$Q45),'Table 2 &amp; 3'!F15)</f>
        <v>39.796185457873044</v>
      </c>
      <c r="G45" s="12">
        <f>IF($Q45&lt;&gt;0,MIN('Table 2 &amp; 3'!G15,'Table 2 &amp; 3'!$Q45),'Table 2 &amp; 3'!G15)</f>
        <v>34.522358591334005</v>
      </c>
      <c r="H45" s="46">
        <f>IF($Q45&lt;&gt;0,MIN('Table 2 &amp; 3'!H15,'Table 2 &amp; 3'!$Q45),'Table 2 &amp; 3'!H15)</f>
        <v>31.41300751881781</v>
      </c>
      <c r="I45" s="12">
        <f>IF($Q45&lt;&gt;0,MIN('Table 2 &amp; 3'!I15,'Table 2 &amp; 3'!$Q45),'Table 2 &amp; 3'!I15)</f>
        <v>32.285701529975569</v>
      </c>
      <c r="J45" s="12">
        <f>IF($Q45&lt;&gt;0,MIN('Table 2 &amp; 3'!J15,'Table 2 &amp; 3'!$Q45),'Table 2 &amp; 3'!J15)</f>
        <v>51.53612607088197</v>
      </c>
      <c r="K45" s="12">
        <f>IF($Q45&lt;&gt;0,MIN('Table 2 &amp; 3'!K15,'Table 2 &amp; 3'!$Q45),'Table 2 &amp; 3'!K15)</f>
        <v>53.392248884800075</v>
      </c>
      <c r="L45" s="46">
        <f>IF($Q45&lt;&gt;0,MIN('Table 2 &amp; 3'!L15,'Table 2 &amp; 3'!$Q45),'Table 2 &amp; 3'!L15)</f>
        <v>50.509410800028569</v>
      </c>
      <c r="M45" s="55">
        <f>IF($Q45&lt;&gt;0,MIN('Table 2 &amp; 3'!M15,'Table 2 &amp; 3'!$Q45),'Table 2 &amp; 3'!M15)</f>
        <v>39.715505228861979</v>
      </c>
      <c r="N45" s="12">
        <f>IF($Q45&lt;&gt;0,MIN('Table 2 &amp; 3'!N15,'Table 2 &amp; 3'!$Q45),'Table 2 &amp; 3'!N15)</f>
        <v>41.642798871791683</v>
      </c>
      <c r="O45" s="46">
        <f>IF($Q45&lt;&gt;0,MIN('Table 2 &amp; 3'!O15,'Table 2 &amp; 3'!$Q45),'Table 2 &amp; 3'!O15)</f>
        <v>41.310330023032193</v>
      </c>
      <c r="Q45" s="54">
        <f>VLOOKUP(B45,'Table 4'!$B$11:$K$41,9,FALSE)</f>
        <v>0</v>
      </c>
    </row>
    <row r="46" spans="2:17" ht="12.75" customHeight="1">
      <c r="B46" s="72">
        <f t="shared" si="1"/>
        <v>2015</v>
      </c>
      <c r="C46" s="74">
        <v>45.838845911393484</v>
      </c>
      <c r="D46" s="12">
        <f>IF($Q46&lt;&gt;0,MIN('Table 2 &amp; 3'!D16,'Table 2 &amp; 3'!$Q46),'Table 2 &amp; 3'!D16)</f>
        <v>46.193521451455254</v>
      </c>
      <c r="E46" s="12">
        <f>IF($Q46&lt;&gt;0,MIN('Table 2 &amp; 3'!E16,'Table 2 &amp; 3'!$Q46),'Table 2 &amp; 3'!E16)</f>
        <v>45.60719304889107</v>
      </c>
      <c r="F46" s="12">
        <f>IF($Q46&lt;&gt;0,MIN('Table 2 &amp; 3'!F16,'Table 2 &amp; 3'!$Q46),'Table 2 &amp; 3'!F16)</f>
        <v>44.206765228344963</v>
      </c>
      <c r="G46" s="12">
        <f>IF($Q46&lt;&gt;0,MIN('Table 2 &amp; 3'!G16,'Table 2 &amp; 3'!$Q46),'Table 2 &amp; 3'!G16)</f>
        <v>38.805161568365648</v>
      </c>
      <c r="H46" s="46">
        <f>IF($Q46&lt;&gt;0,MIN('Table 2 &amp; 3'!H16,'Table 2 &amp; 3'!$Q46),'Table 2 &amp; 3'!H16)</f>
        <v>35.681738278707094</v>
      </c>
      <c r="I46" s="12">
        <f>IF($Q46&lt;&gt;0,MIN('Table 2 &amp; 3'!I16,'Table 2 &amp; 3'!$Q46),'Table 2 &amp; 3'!I16)</f>
        <v>34.611266496983518</v>
      </c>
      <c r="J46" s="12">
        <f>IF($Q46&lt;&gt;0,MIN('Table 2 &amp; 3'!J16,'Table 2 &amp; 3'!$Q46),'Table 2 &amp; 3'!J16)</f>
        <v>54.906674863923058</v>
      </c>
      <c r="K46" s="12">
        <f>IF($Q46&lt;&gt;0,MIN('Table 2 &amp; 3'!K16,'Table 2 &amp; 3'!$Q46),'Table 2 &amp; 3'!K16)</f>
        <v>57.000025111812434</v>
      </c>
      <c r="L46" s="46">
        <f>IF($Q46&lt;&gt;0,MIN('Table 2 &amp; 3'!L16,'Table 2 &amp; 3'!$Q46),'Table 2 &amp; 3'!L16)</f>
        <v>55.502673818676982</v>
      </c>
      <c r="M46" s="55">
        <f>IF($Q46&lt;&gt;0,MIN('Table 2 &amp; 3'!M16,'Table 2 &amp; 3'!$Q46),'Table 2 &amp; 3'!M16)</f>
        <v>45.279266051939352</v>
      </c>
      <c r="N46" s="12">
        <f>IF($Q46&lt;&gt;0,MIN('Table 2 &amp; 3'!N16,'Table 2 &amp; 3'!$Q46),'Table 2 &amp; 3'!N16)</f>
        <v>46.041008562558133</v>
      </c>
      <c r="O46" s="46">
        <f>IF($Q46&lt;&gt;0,MIN('Table 2 &amp; 3'!O16,'Table 2 &amp; 3'!$Q46),'Table 2 &amp; 3'!O16)</f>
        <v>45.937623171628957</v>
      </c>
      <c r="Q46" s="54">
        <f>VLOOKUP(B46,'Table 4'!$B$11:$K$41,9,FALSE)</f>
        <v>0</v>
      </c>
    </row>
    <row r="47" spans="2:17" ht="12.75" customHeight="1">
      <c r="B47" s="72">
        <f t="shared" si="1"/>
        <v>2016</v>
      </c>
      <c r="C47" s="74">
        <v>41.568116057133324</v>
      </c>
      <c r="D47" s="12">
        <f>'Table 2 &amp; 3'!D17</f>
        <v>47.885121406698666</v>
      </c>
      <c r="E47" s="12">
        <f>'Table 2 &amp; 3'!E17</f>
        <v>49.168074491781773</v>
      </c>
      <c r="F47" s="12">
        <f>'Table 2 &amp; 3'!F17</f>
        <v>47.538840876411761</v>
      </c>
      <c r="G47" s="12">
        <f>'Table 2 &amp; 3'!G17</f>
        <v>41.547414980073967</v>
      </c>
      <c r="H47" s="46">
        <f>'Table 2 &amp; 3'!H17</f>
        <v>39.237789028864604</v>
      </c>
      <c r="I47" s="12">
        <f>IF($Q47&lt;&gt;0,MIN('Table 2 &amp; 3'!I17,'Table 2 &amp; 3'!$Q47),'Table 2 &amp; 3'!I17)</f>
        <v>33.165950624715364</v>
      </c>
      <c r="J47" s="12">
        <f>IF($Q47&lt;&gt;0,MIN('Table 2 &amp; 3'!J17,'Table 2 &amp; 3'!$Q47),'Table 2 &amp; 3'!J17)</f>
        <v>37.384609834211282</v>
      </c>
      <c r="K47" s="12">
        <f>IF($Q47&lt;&gt;0,MIN('Table 2 &amp; 3'!K17,'Table 2 &amp; 3'!$Q47),'Table 2 &amp; 3'!K17)</f>
        <v>40.15444037243865</v>
      </c>
      <c r="L47" s="46">
        <f>IF($Q47&lt;&gt;0,MIN('Table 2 &amp; 3'!L17,'Table 2 &amp; 3'!$Q47),'Table 2 &amp; 3'!L17)</f>
        <v>38.499465335420531</v>
      </c>
      <c r="M47" s="55">
        <f>IF($Q47&lt;&gt;0,MIN('Table 2 &amp; 3'!M17,'Table 2 &amp; 3'!$Q47),'Table 2 &amp; 3'!M17)</f>
        <v>40.803419366839904</v>
      </c>
      <c r="N47" s="12">
        <f>IF($Q47&lt;&gt;0,MIN('Table 2 &amp; 3'!N17,'Table 2 &amp; 3'!$Q47),'Table 2 &amp; 3'!N17)</f>
        <v>42.775371561194071</v>
      </c>
      <c r="O47" s="46">
        <f>IF($Q47&lt;&gt;0,MIN('Table 2 &amp; 3'!O17,'Table 2 &amp; 3'!$Q47),'Table 2 &amp; 3'!O17)</f>
        <v>40.815464327664387</v>
      </c>
      <c r="Q47" s="54">
        <f>VLOOKUP(B47,'Table 4'!$B$11:$K$41,9,FALSE)</f>
        <v>43.08</v>
      </c>
    </row>
    <row r="48" spans="2:17" ht="12.75" customHeight="1">
      <c r="B48" s="72">
        <f t="shared" si="1"/>
        <v>2017</v>
      </c>
      <c r="C48" s="74">
        <v>43.112968223910606</v>
      </c>
      <c r="D48" s="12">
        <f>IF($Q48&lt;&gt;0,MIN('Table 2 &amp; 3'!D18,'Table 2 &amp; 3'!$Q48),'Table 2 &amp; 3'!D18)</f>
        <v>42.773796712784808</v>
      </c>
      <c r="E48" s="12">
        <f>IF($Q48&lt;&gt;0,MIN('Table 2 &amp; 3'!E18,'Table 2 &amp; 3'!$Q48),'Table 2 &amp; 3'!E18)</f>
        <v>44.139229797935037</v>
      </c>
      <c r="F48" s="12">
        <f>IF($Q48&lt;&gt;0,MIN('Table 2 &amp; 3'!F18,'Table 2 &amp; 3'!$Q48),'Table 2 &amp; 3'!F18)</f>
        <v>46.11</v>
      </c>
      <c r="G48" s="12">
        <f>IF($Q48&lt;&gt;0,MIN('Table 2 &amp; 3'!G18,'Table 2 &amp; 3'!$Q48),'Table 2 &amp; 3'!G18)</f>
        <v>41.287751434313897</v>
      </c>
      <c r="H48" s="46">
        <f>IF($Q48&lt;&gt;0,MIN('Table 2 &amp; 3'!H18,'Table 2 &amp; 3'!$Q48),'Table 2 &amp; 3'!H18)</f>
        <v>42.1529926148417</v>
      </c>
      <c r="I48" s="12">
        <f>IF($Q48&lt;&gt;0,MIN('Table 2 &amp; 3'!I18,'Table 2 &amp; 3'!$Q48),'Table 2 &amp; 3'!I18)</f>
        <v>39.134131399185634</v>
      </c>
      <c r="J48" s="12">
        <f>IF($Q48&lt;&gt;0,MIN('Table 2 &amp; 3'!J18,'Table 2 &amp; 3'!$Q48),'Table 2 &amp; 3'!J18)</f>
        <v>41.701237526412989</v>
      </c>
      <c r="K48" s="12">
        <f>IF($Q48&lt;&gt;0,MIN('Table 2 &amp; 3'!K18,'Table 2 &amp; 3'!$Q48),'Table 2 &amp; 3'!K18)</f>
        <v>43.512194686088947</v>
      </c>
      <c r="L48" s="46">
        <f>IF($Q48&lt;&gt;0,MIN('Table 2 &amp; 3'!L18,'Table 2 &amp; 3'!$Q48),'Table 2 &amp; 3'!L18)</f>
        <v>41.706392137492017</v>
      </c>
      <c r="M48" s="55">
        <f>IF($Q48&lt;&gt;0,MIN('Table 2 &amp; 3'!M18,'Table 2 &amp; 3'!$Q48),'Table 2 &amp; 3'!M18)</f>
        <v>43.422226746262041</v>
      </c>
      <c r="N48" s="12">
        <f>IF($Q48&lt;&gt;0,MIN('Table 2 &amp; 3'!N18,'Table 2 &amp; 3'!$Q48),'Table 2 &amp; 3'!N18)</f>
        <v>45.305665631610289</v>
      </c>
      <c r="O48" s="46">
        <f>IF($Q48&lt;&gt;0,MIN('Table 2 &amp; 3'!O18,'Table 2 &amp; 3'!$Q48),'Table 2 &amp; 3'!O18)</f>
        <v>46.11</v>
      </c>
      <c r="Q48" s="54">
        <f>VLOOKUP(B48,'Table 4'!$B$11:$K$41,9,FALSE)</f>
        <v>46.11</v>
      </c>
    </row>
    <row r="49" spans="2:17" ht="12.75" customHeight="1">
      <c r="B49" s="72">
        <f t="shared" si="1"/>
        <v>2018</v>
      </c>
      <c r="C49" s="74">
        <v>46.177725097657692</v>
      </c>
      <c r="D49" s="12">
        <f>IF($Q49&lt;&gt;0,MIN('Table 2 &amp; 3'!D19,'Table 2 &amp; 3'!$Q49),'Table 2 &amp; 3'!D19)</f>
        <v>48.231208394832116</v>
      </c>
      <c r="E49" s="12">
        <f>IF($Q49&lt;&gt;0,MIN('Table 2 &amp; 3'!E19,'Table 2 &amp; 3'!$Q49),'Table 2 &amp; 3'!E19)</f>
        <v>47.449768982335129</v>
      </c>
      <c r="F49" s="12">
        <f>IF($Q49&lt;&gt;0,MIN('Table 2 &amp; 3'!F19,'Table 2 &amp; 3'!$Q49),'Table 2 &amp; 3'!F19)</f>
        <v>47.448915248177123</v>
      </c>
      <c r="G49" s="12">
        <f>IF($Q49&lt;&gt;0,MIN('Table 2 &amp; 3'!G19,'Table 2 &amp; 3'!$Q49),'Table 2 &amp; 3'!G19)</f>
        <v>49.030415398856391</v>
      </c>
      <c r="H49" s="46">
        <f>IF($Q49&lt;&gt;0,MIN('Table 2 &amp; 3'!H19,'Table 2 &amp; 3'!$Q49),'Table 2 &amp; 3'!H19)</f>
        <v>45.852802610847391</v>
      </c>
      <c r="I49" s="12">
        <f>IF($Q49&lt;&gt;0,MIN('Table 2 &amp; 3'!I19,'Table 2 &amp; 3'!$Q49),'Table 2 &amp; 3'!I19)</f>
        <v>44.186187355882595</v>
      </c>
      <c r="J49" s="12">
        <f>IF($Q49&lt;&gt;0,MIN('Table 2 &amp; 3'!J19,'Table 2 &amp; 3'!$Q49),'Table 2 &amp; 3'!J19)</f>
        <v>44.045986846084652</v>
      </c>
      <c r="K49" s="12">
        <f>IF($Q49&lt;&gt;0,MIN('Table 2 &amp; 3'!K19,'Table 2 &amp; 3'!$Q49),'Table 2 &amp; 3'!K19)</f>
        <v>45.439784415118083</v>
      </c>
      <c r="L49" s="46">
        <f>IF($Q49&lt;&gt;0,MIN('Table 2 &amp; 3'!L19,'Table 2 &amp; 3'!$Q49),'Table 2 &amp; 3'!L19)</f>
        <v>44.238336152793728</v>
      </c>
      <c r="M49" s="55">
        <f>IF($Q49&lt;&gt;0,MIN('Table 2 &amp; 3'!M19,'Table 2 &amp; 3'!$Q49),'Table 2 &amp; 3'!M19)</f>
        <v>44.999540576093246</v>
      </c>
      <c r="N49" s="12">
        <f>IF($Q49&lt;&gt;0,MIN('Table 2 &amp; 3'!N19,'Table 2 &amp; 3'!$Q49),'Table 2 &amp; 3'!N19)</f>
        <v>46.223531713072283</v>
      </c>
      <c r="O49" s="46">
        <f>IF($Q49&lt;&gt;0,MIN('Table 2 &amp; 3'!O19,'Table 2 &amp; 3'!$Q49),'Table 2 &amp; 3'!O19)</f>
        <v>47.076020312767561</v>
      </c>
      <c r="Q49" s="54">
        <f>VLOOKUP(B49,'Table 4'!$B$11:$K$41,9,FALSE)</f>
        <v>49.07</v>
      </c>
    </row>
    <row r="50" spans="2:17" ht="12.75" customHeight="1">
      <c r="B50" s="72">
        <f t="shared" si="1"/>
        <v>2019</v>
      </c>
      <c r="C50" s="74">
        <v>48.326443495404156</v>
      </c>
      <c r="D50" s="12">
        <f>IF($Q50&lt;&gt;0,MIN('Table 2 &amp; 3'!D20,'Table 2 &amp; 3'!$Q50),'Table 2 &amp; 3'!D20)</f>
        <v>48.680574513282828</v>
      </c>
      <c r="E50" s="12">
        <f>IF($Q50&lt;&gt;0,MIN('Table 2 &amp; 3'!E20,'Table 2 &amp; 3'!$Q50),'Table 2 &amp; 3'!E20)</f>
        <v>47.786450305147</v>
      </c>
      <c r="F50" s="12">
        <f>IF($Q50&lt;&gt;0,MIN('Table 2 &amp; 3'!F20,'Table 2 &amp; 3'!$Q50),'Table 2 &amp; 3'!F20)</f>
        <v>50.060092295224649</v>
      </c>
      <c r="G50" s="12">
        <f>IF($Q50&lt;&gt;0,MIN('Table 2 &amp; 3'!G20,'Table 2 &amp; 3'!$Q50),'Table 2 &amp; 3'!G20)</f>
        <v>51.32</v>
      </c>
      <c r="H50" s="46">
        <f>IF($Q50&lt;&gt;0,MIN('Table 2 &amp; 3'!H20,'Table 2 &amp; 3'!$Q50),'Table 2 &amp; 3'!H20)</f>
        <v>49.429080376976245</v>
      </c>
      <c r="I50" s="12">
        <f>IF($Q50&lt;&gt;0,MIN('Table 2 &amp; 3'!I20,'Table 2 &amp; 3'!$Q50),'Table 2 &amp; 3'!I20)</f>
        <v>46.665415958122296</v>
      </c>
      <c r="J50" s="12">
        <f>IF($Q50&lt;&gt;0,MIN('Table 2 &amp; 3'!J20,'Table 2 &amp; 3'!$Q50),'Table 2 &amp; 3'!J20)</f>
        <v>46.818550010477907</v>
      </c>
      <c r="K50" s="12">
        <f>IF($Q50&lt;&gt;0,MIN('Table 2 &amp; 3'!K20,'Table 2 &amp; 3'!$Q50),'Table 2 &amp; 3'!K20)</f>
        <v>47.495030154965484</v>
      </c>
      <c r="L50" s="46">
        <f>IF($Q50&lt;&gt;0,MIN('Table 2 &amp; 3'!L20,'Table 2 &amp; 3'!$Q50),'Table 2 &amp; 3'!L20)</f>
        <v>45.878540994075976</v>
      </c>
      <c r="M50" s="55">
        <f>IF($Q50&lt;&gt;0,MIN('Table 2 &amp; 3'!M20,'Table 2 &amp; 3'!$Q50),'Table 2 &amp; 3'!M20)</f>
        <v>47.967580122693406</v>
      </c>
      <c r="N50" s="12">
        <f>IF($Q50&lt;&gt;0,MIN('Table 2 &amp; 3'!N20,'Table 2 &amp; 3'!$Q50),'Table 2 &amp; 3'!N20)</f>
        <v>48.978245198290331</v>
      </c>
      <c r="O50" s="46">
        <f>IF($Q50&lt;&gt;0,MIN('Table 2 &amp; 3'!O20,'Table 2 &amp; 3'!$Q50),'Table 2 &amp; 3'!O20)</f>
        <v>48.837762015593782</v>
      </c>
      <c r="Q50" s="54">
        <f>VLOOKUP(B50,'Table 4'!$B$11:$K$41,9,FALSE)</f>
        <v>51.32</v>
      </c>
    </row>
    <row r="51" spans="2:17" ht="12.75" customHeight="1">
      <c r="B51" s="73">
        <f t="shared" si="1"/>
        <v>2020</v>
      </c>
      <c r="C51" s="75">
        <v>48.854147961962873</v>
      </c>
      <c r="D51" s="20">
        <f>IF($Q51&lt;&gt;0,MIN('Table 2 &amp; 3'!D21,'Table 2 &amp; 3'!$Q51),'Table 2 &amp; 3'!D21)</f>
        <v>50.218426110239662</v>
      </c>
      <c r="E51" s="20">
        <f>IF($Q51&lt;&gt;0,MIN('Table 2 &amp; 3'!E21,'Table 2 &amp; 3'!$Q51),'Table 2 &amp; 3'!E21)</f>
        <v>50.564065419438727</v>
      </c>
      <c r="F51" s="20">
        <f>IF($Q51&lt;&gt;0,MIN('Table 2 &amp; 3'!F21,'Table 2 &amp; 3'!$Q51),'Table 2 &amp; 3'!F21)</f>
        <v>49.913257478335893</v>
      </c>
      <c r="G51" s="20">
        <f>IF($Q51&lt;&gt;0,MIN('Table 2 &amp; 3'!G21,'Table 2 &amp; 3'!$Q51),'Table 2 &amp; 3'!G21)</f>
        <v>51.96</v>
      </c>
      <c r="H51" s="47">
        <f>IF($Q51&lt;&gt;0,MIN('Table 2 &amp; 3'!H21,'Table 2 &amp; 3'!$Q51),'Table 2 &amp; 3'!H21)</f>
        <v>49.708788492252069</v>
      </c>
      <c r="I51" s="12">
        <f>IF($Q51&lt;&gt;0,MIN('Table 2 &amp; 3'!I21,'Table 2 &amp; 3'!$Q51),'Table 2 &amp; 3'!I21)</f>
        <v>48.389044244771007</v>
      </c>
      <c r="J51" s="12">
        <f>IF($Q51&lt;&gt;0,MIN('Table 2 &amp; 3'!J21,'Table 2 &amp; 3'!$Q51),'Table 2 &amp; 3'!J21)</f>
        <v>48.508187345507253</v>
      </c>
      <c r="K51" s="12">
        <f>IF($Q51&lt;&gt;0,MIN('Table 2 &amp; 3'!K21,'Table 2 &amp; 3'!$Q51),'Table 2 &amp; 3'!K21)</f>
        <v>48.517940050126029</v>
      </c>
      <c r="L51" s="46">
        <f>IF($Q51&lt;&gt;0,MIN('Table 2 &amp; 3'!L21,'Table 2 &amp; 3'!$Q51),'Table 2 &amp; 3'!L21)</f>
        <v>44.936018883343422</v>
      </c>
      <c r="M51" s="55">
        <f>IF($Q51&lt;&gt;0,MIN('Table 2 &amp; 3'!M21,'Table 2 &amp; 3'!$Q51),'Table 2 &amp; 3'!M21)</f>
        <v>46.246476211135409</v>
      </c>
      <c r="N51" s="12">
        <f>IF($Q51&lt;&gt;0,MIN('Table 2 &amp; 3'!N21,'Table 2 &amp; 3'!$Q51),'Table 2 &amp; 3'!N21)</f>
        <v>48.995182819837837</v>
      </c>
      <c r="O51" s="46">
        <f>IF($Q51&lt;&gt;0,MIN('Table 2 &amp; 3'!O21,'Table 2 &amp; 3'!$Q51),'Table 2 &amp; 3'!O21)</f>
        <v>48.292388488567191</v>
      </c>
      <c r="Q51" s="54">
        <f>VLOOKUP(B51,'Table 4'!$B$11:$K$41,9,FALSE)</f>
        <v>51.96</v>
      </c>
    </row>
    <row r="52" spans="2:17" ht="12.75" customHeight="1">
      <c r="B52" s="109">
        <f t="shared" si="1"/>
        <v>2021</v>
      </c>
      <c r="C52" s="74">
        <v>50.029159669802091</v>
      </c>
      <c r="D52" s="11">
        <f>IF($Q52&lt;&gt;0,MIN('Table 2 &amp; 3'!D22,'Table 2 &amp; 3'!$Q52),'Table 2 &amp; 3'!D22)</f>
        <v>50.048075415327872</v>
      </c>
      <c r="E52" s="11">
        <f>IF($Q52&lt;&gt;0,MIN('Table 2 &amp; 3'!E22,'Table 2 &amp; 3'!$Q52),'Table 2 &amp; 3'!E22)</f>
        <v>50.964948755602357</v>
      </c>
      <c r="F52" s="11">
        <f>IF($Q52&lt;&gt;0,MIN('Table 2 &amp; 3'!F22,'Table 2 &amp; 3'!$Q52),'Table 2 &amp; 3'!F22)</f>
        <v>51.195042480866249</v>
      </c>
      <c r="G52" s="11">
        <f>IF($Q52&lt;&gt;0,MIN('Table 2 &amp; 3'!G22,'Table 2 &amp; 3'!$Q52),'Table 2 &amp; 3'!G22)</f>
        <v>52.66</v>
      </c>
      <c r="H52" s="45">
        <f>IF($Q52&lt;&gt;0,MIN('Table 2 &amp; 3'!H22,'Table 2 &amp; 3'!$Q52),'Table 2 &amp; 3'!H22)</f>
        <v>50.938843371284619</v>
      </c>
      <c r="I52" s="56">
        <f>IF($Q52&lt;&gt;0,MIN('Table 2 &amp; 3'!I22,'Table 2 &amp; 3'!$Q52),'Table 2 &amp; 3'!I22)</f>
        <v>49.482704347451914</v>
      </c>
      <c r="J52" s="11">
        <f>IF($Q52&lt;&gt;0,MIN('Table 2 &amp; 3'!J22,'Table 2 &amp; 3'!$Q52),'Table 2 &amp; 3'!J22)</f>
        <v>49.308974181432312</v>
      </c>
      <c r="K52" s="11">
        <f>IF($Q52&lt;&gt;0,MIN('Table 2 &amp; 3'!K22,'Table 2 &amp; 3'!$Q52),'Table 2 &amp; 3'!K22)</f>
        <v>48.98560168957556</v>
      </c>
      <c r="L52" s="45">
        <f>IF($Q52&lt;&gt;0,MIN('Table 2 &amp; 3'!L22,'Table 2 &amp; 3'!$Q52),'Table 2 &amp; 3'!L22)</f>
        <v>48.029206957332548</v>
      </c>
      <c r="M52" s="56">
        <f>IF($Q52&lt;&gt;0,MIN('Table 2 &amp; 3'!M22,'Table 2 &amp; 3'!$Q52),'Table 2 &amp; 3'!M22)</f>
        <v>49.075680301809221</v>
      </c>
      <c r="N52" s="11">
        <f>IF($Q52&lt;&gt;0,MIN('Table 2 &amp; 3'!N22,'Table 2 &amp; 3'!$Q52),'Table 2 &amp; 3'!N22)</f>
        <v>50.252698814542661</v>
      </c>
      <c r="O52" s="45">
        <f>IF($Q52&lt;&gt;0,MIN('Table 2 &amp; 3'!O22,'Table 2 &amp; 3'!$Q52),'Table 2 &amp; 3'!O22)</f>
        <v>49.408139722399852</v>
      </c>
      <c r="Q52" s="57">
        <f>VLOOKUP(B52,'Table 4'!$B$11:$K$41,9,FALSE)</f>
        <v>52.66</v>
      </c>
    </row>
    <row r="53" spans="2:17" ht="12.75" customHeight="1">
      <c r="B53" s="72">
        <f t="shared" si="1"/>
        <v>2022</v>
      </c>
      <c r="C53" s="74">
        <v>51.583506490332645</v>
      </c>
      <c r="D53" s="12">
        <f>IF($Q53&lt;&gt;0,MIN('Table 2 &amp; 3'!D23,'Table 2 &amp; 3'!$Q53),'Table 2 &amp; 3'!D23)</f>
        <v>51.207609551207199</v>
      </c>
      <c r="E53" s="12">
        <f>IF($Q53&lt;&gt;0,MIN('Table 2 &amp; 3'!E23,'Table 2 &amp; 3'!$Q53),'Table 2 &amp; 3'!E23)</f>
        <v>51.979249565612726</v>
      </c>
      <c r="F53" s="12">
        <f>IF($Q53&lt;&gt;0,MIN('Table 2 &amp; 3'!F23,'Table 2 &amp; 3'!$Q53),'Table 2 &amp; 3'!F23)</f>
        <v>51.861089907021068</v>
      </c>
      <c r="G53" s="12">
        <f>IF($Q53&lt;&gt;0,MIN('Table 2 &amp; 3'!G23,'Table 2 &amp; 3'!$Q53),'Table 2 &amp; 3'!G23)</f>
        <v>54.21</v>
      </c>
      <c r="H53" s="46">
        <f>IF($Q53&lt;&gt;0,MIN('Table 2 &amp; 3'!H23,'Table 2 &amp; 3'!$Q53),'Table 2 &amp; 3'!H23)</f>
        <v>52.334514462102881</v>
      </c>
      <c r="I53" s="55">
        <f>IF($Q53&lt;&gt;0,MIN('Table 2 &amp; 3'!I23,'Table 2 &amp; 3'!$Q53),'Table 2 &amp; 3'!I23)</f>
        <v>50.637444301802738</v>
      </c>
      <c r="J53" s="12">
        <f>IF($Q53&lt;&gt;0,MIN('Table 2 &amp; 3'!J23,'Table 2 &amp; 3'!$Q53),'Table 2 &amp; 3'!J23)</f>
        <v>50.309906699319455</v>
      </c>
      <c r="K53" s="12">
        <f>IF($Q53&lt;&gt;0,MIN('Table 2 &amp; 3'!K23,'Table 2 &amp; 3'!$Q53),'Table 2 &amp; 3'!K23)</f>
        <v>51.129711026247357</v>
      </c>
      <c r="L53" s="46">
        <f>IF($Q53&lt;&gt;0,MIN('Table 2 &amp; 3'!L23,'Table 2 &amp; 3'!$Q53),'Table 2 &amp; 3'!L23)</f>
        <v>49.828959505254147</v>
      </c>
      <c r="M53" s="55">
        <f>IF($Q53&lt;&gt;0,MIN('Table 2 &amp; 3'!M23,'Table 2 &amp; 3'!$Q53),'Table 2 &amp; 3'!M23)</f>
        <v>50.953424606141901</v>
      </c>
      <c r="N53" s="12">
        <f>IF($Q53&lt;&gt;0,MIN('Table 2 &amp; 3'!N23,'Table 2 &amp; 3'!$Q53),'Table 2 &amp; 3'!N23)</f>
        <v>52.415939882843226</v>
      </c>
      <c r="O53" s="46">
        <f>IF($Q53&lt;&gt;0,MIN('Table 2 &amp; 3'!O23,'Table 2 &amp; 3'!$Q53),'Table 2 &amp; 3'!O23)</f>
        <v>52.134228376439104</v>
      </c>
      <c r="Q53" s="54">
        <f>VLOOKUP(B53,'Table 4'!$B$11:$K$41,9,FALSE)</f>
        <v>54.21</v>
      </c>
    </row>
    <row r="54" spans="2:17" ht="12.75" customHeight="1">
      <c r="B54" s="72">
        <f t="shared" si="1"/>
        <v>2023</v>
      </c>
      <c r="C54" s="74">
        <v>54.62997247640434</v>
      </c>
      <c r="D54" s="12">
        <f>IF($Q54&lt;&gt;0,MIN('Table 2 &amp; 3'!D24,'Table 2 &amp; 3'!$Q54),'Table 2 &amp; 3'!D24)</f>
        <v>53.916770991303174</v>
      </c>
      <c r="E54" s="12">
        <f>IF($Q54&lt;&gt;0,MIN('Table 2 &amp; 3'!E24,'Table 2 &amp; 3'!$Q54),'Table 2 &amp; 3'!E24)</f>
        <v>54.742323693253766</v>
      </c>
      <c r="F54" s="12">
        <f>IF($Q54&lt;&gt;0,MIN('Table 2 &amp; 3'!F24,'Table 2 &amp; 3'!$Q54),'Table 2 &amp; 3'!F24)</f>
        <v>53.820619594876447</v>
      </c>
      <c r="G54" s="12">
        <f>IF($Q54&lt;&gt;0,MIN('Table 2 &amp; 3'!G24,'Table 2 &amp; 3'!$Q54),'Table 2 &amp; 3'!G24)</f>
        <v>57.53</v>
      </c>
      <c r="H54" s="46">
        <f>IF($Q54&lt;&gt;0,MIN('Table 2 &amp; 3'!H24,'Table 2 &amp; 3'!$Q54),'Table 2 &amp; 3'!H24)</f>
        <v>55.064596832930043</v>
      </c>
      <c r="I54" s="55">
        <f>IF($Q54&lt;&gt;0,MIN('Table 2 &amp; 3'!I24,'Table 2 &amp; 3'!$Q54),'Table 2 &amp; 3'!I24)</f>
        <v>53.933280903389253</v>
      </c>
      <c r="J54" s="12">
        <f>IF($Q54&lt;&gt;0,MIN('Table 2 &amp; 3'!J24,'Table 2 &amp; 3'!$Q54),'Table 2 &amp; 3'!J24)</f>
        <v>52.937347702877119</v>
      </c>
      <c r="K54" s="12">
        <f>IF($Q54&lt;&gt;0,MIN('Table 2 &amp; 3'!K24,'Table 2 &amp; 3'!$Q54),'Table 2 &amp; 3'!K24)</f>
        <v>54.03322996980382</v>
      </c>
      <c r="L54" s="46">
        <f>IF($Q54&lt;&gt;0,MIN('Table 2 &amp; 3'!L24,'Table 2 &amp; 3'!$Q54),'Table 2 &amp; 3'!L24)</f>
        <v>53.273932736546193</v>
      </c>
      <c r="M54" s="55">
        <f>IF($Q54&lt;&gt;0,MIN('Table 2 &amp; 3'!M24,'Table 2 &amp; 3'!$Q54),'Table 2 &amp; 3'!M24)</f>
        <v>54.530470513774389</v>
      </c>
      <c r="N54" s="12">
        <f>IF($Q54&lt;&gt;0,MIN('Table 2 &amp; 3'!N24,'Table 2 &amp; 3'!$Q54),'Table 2 &amp; 3'!N24)</f>
        <v>55.996963422853575</v>
      </c>
      <c r="O54" s="46">
        <f>IF($Q54&lt;&gt;0,MIN('Table 2 &amp; 3'!O24,'Table 2 &amp; 3'!$Q54),'Table 2 &amp; 3'!O24)</f>
        <v>55.780133355244438</v>
      </c>
      <c r="Q54" s="54">
        <f>VLOOKUP(B54,'Table 4'!$B$11:$K$41,9,FALSE)</f>
        <v>57.53</v>
      </c>
    </row>
    <row r="55" spans="2:17" ht="12.75" customHeight="1">
      <c r="B55" s="72">
        <f t="shared" si="1"/>
        <v>2024</v>
      </c>
      <c r="C55" s="74">
        <v>57.10309271153131</v>
      </c>
      <c r="D55" s="12">
        <f>IF($Q55&lt;&gt;0,MIN('Table 2 &amp; 3'!D25,'Table 2 &amp; 3'!$Q55),'Table 2 &amp; 3'!D25)</f>
        <v>57.246197445128892</v>
      </c>
      <c r="E55" s="12">
        <f>IF($Q55&lt;&gt;0,MIN('Table 2 &amp; 3'!E25,'Table 2 &amp; 3'!$Q55),'Table 2 &amp; 3'!E25)</f>
        <v>56.64484529107547</v>
      </c>
      <c r="F55" s="12">
        <f>IF($Q55&lt;&gt;0,MIN('Table 2 &amp; 3'!F25,'Table 2 &amp; 3'!$Q55),'Table 2 &amp; 3'!F25)</f>
        <v>58.664695075266465</v>
      </c>
      <c r="G55" s="12">
        <f>IF($Q55&lt;&gt;0,MIN('Table 2 &amp; 3'!G25,'Table 2 &amp; 3'!$Q55),'Table 2 &amp; 3'!G25)</f>
        <v>61.19</v>
      </c>
      <c r="H55" s="46">
        <f>IF($Q55&lt;&gt;0,MIN('Table 2 &amp; 3'!H25,'Table 2 &amp; 3'!$Q55),'Table 2 &amp; 3'!H25)</f>
        <v>58.425406188210076</v>
      </c>
      <c r="I55" s="55">
        <f>IF($Q55&lt;&gt;0,MIN('Table 2 &amp; 3'!I25,'Table 2 &amp; 3'!$Q55),'Table 2 &amp; 3'!I25)</f>
        <v>56.429160958169625</v>
      </c>
      <c r="J55" s="12">
        <f>IF($Q55&lt;&gt;0,MIN('Table 2 &amp; 3'!J25,'Table 2 &amp; 3'!$Q55),'Table 2 &amp; 3'!J25)</f>
        <v>54.897187520557949</v>
      </c>
      <c r="K55" s="12">
        <f>IF($Q55&lt;&gt;0,MIN('Table 2 &amp; 3'!K25,'Table 2 &amp; 3'!$Q55),'Table 2 &amp; 3'!K25)</f>
        <v>56.152586533523184</v>
      </c>
      <c r="L55" s="46">
        <f>IF($Q55&lt;&gt;0,MIN('Table 2 &amp; 3'!L25,'Table 2 &amp; 3'!$Q55),'Table 2 &amp; 3'!L25)</f>
        <v>55.415071074078284</v>
      </c>
      <c r="M55" s="55">
        <f>IF($Q55&lt;&gt;0,MIN('Table 2 &amp; 3'!M25,'Table 2 &amp; 3'!$Q55),'Table 2 &amp; 3'!M25)</f>
        <v>56.326674805249802</v>
      </c>
      <c r="N55" s="12">
        <f>IF($Q55&lt;&gt;0,MIN('Table 2 &amp; 3'!N25,'Table 2 &amp; 3'!$Q55),'Table 2 &amp; 3'!N25)</f>
        <v>57.330390755228358</v>
      </c>
      <c r="O55" s="46">
        <f>IF($Q55&lt;&gt;0,MIN('Table 2 &amp; 3'!O25,'Table 2 &amp; 3'!$Q55),'Table 2 &amp; 3'!O25)</f>
        <v>56.514896891887695</v>
      </c>
      <c r="Q55" s="54">
        <f>VLOOKUP(B55,'Table 4'!$B$11:$K$41,9,FALSE)</f>
        <v>61.19</v>
      </c>
    </row>
    <row r="56" spans="2:17" ht="12.75" customHeight="1">
      <c r="B56" s="72">
        <f t="shared" si="1"/>
        <v>2025</v>
      </c>
      <c r="C56" s="74">
        <v>56.745263143406952</v>
      </c>
      <c r="D56" s="12">
        <f>IF($Q56&lt;&gt;0,MIN('Table 2 &amp; 3'!D26,'Table 2 &amp; 3'!$Q56),'Table 2 &amp; 3'!D26)</f>
        <v>58.461506151836332</v>
      </c>
      <c r="E56" s="12">
        <f>IF($Q56&lt;&gt;0,MIN('Table 2 &amp; 3'!E26,'Table 2 &amp; 3'!$Q56),'Table 2 &amp; 3'!E26)</f>
        <v>57.770394784677514</v>
      </c>
      <c r="F56" s="12">
        <f>IF($Q56&lt;&gt;0,MIN('Table 2 &amp; 3'!F26,'Table 2 &amp; 3'!$Q56),'Table 2 &amp; 3'!F26)</f>
        <v>59.313663713396501</v>
      </c>
      <c r="G56" s="12">
        <f>IF($Q56&lt;&gt;0,MIN('Table 2 &amp; 3'!G26,'Table 2 &amp; 3'!$Q56),'Table 2 &amp; 3'!G26)</f>
        <v>59.57</v>
      </c>
      <c r="H56" s="46">
        <f>IF($Q56&lt;&gt;0,MIN('Table 2 &amp; 3'!H26,'Table 2 &amp; 3'!$Q56),'Table 2 &amp; 3'!H26)</f>
        <v>56.813280135356386</v>
      </c>
      <c r="I56" s="55">
        <f>IF($Q56&lt;&gt;0,MIN('Table 2 &amp; 3'!I26,'Table 2 &amp; 3'!$Q56),'Table 2 &amp; 3'!I26)</f>
        <v>54.992453280391743</v>
      </c>
      <c r="J56" s="12">
        <f>IF($Q56&lt;&gt;0,MIN('Table 2 &amp; 3'!J26,'Table 2 &amp; 3'!$Q56),'Table 2 &amp; 3'!J26)</f>
        <v>54.387729363204706</v>
      </c>
      <c r="K56" s="12">
        <f>IF($Q56&lt;&gt;0,MIN('Table 2 &amp; 3'!K26,'Table 2 &amp; 3'!$Q56),'Table 2 &amp; 3'!K26)</f>
        <v>54.128807084809971</v>
      </c>
      <c r="L56" s="46">
        <f>IF($Q56&lt;&gt;0,MIN('Table 2 &amp; 3'!L26,'Table 2 &amp; 3'!$Q56),'Table 2 &amp; 3'!L26)</f>
        <v>54.260757856665094</v>
      </c>
      <c r="M56" s="55">
        <f>IF($Q56&lt;&gt;0,MIN('Table 2 &amp; 3'!M26,'Table 2 &amp; 3'!$Q56),'Table 2 &amp; 3'!M26)</f>
        <v>55.783082341135568</v>
      </c>
      <c r="N56" s="12">
        <f>IF($Q56&lt;&gt;0,MIN('Table 2 &amp; 3'!N26,'Table 2 &amp; 3'!$Q56),'Table 2 &amp; 3'!N26)</f>
        <v>58.132837983005579</v>
      </c>
      <c r="O56" s="46">
        <f>IF($Q56&lt;&gt;0,MIN('Table 2 &amp; 3'!O26,'Table 2 &amp; 3'!$Q56),'Table 2 &amp; 3'!O26)</f>
        <v>57.328645026403883</v>
      </c>
      <c r="Q56" s="54">
        <f>VLOOKUP(B56,'Table 4'!$B$11:$K$41,9,FALSE)</f>
        <v>59.57</v>
      </c>
    </row>
    <row r="57" spans="2:17" ht="12.75" customHeight="1">
      <c r="B57" s="72">
        <f t="shared" si="1"/>
        <v>2026</v>
      </c>
      <c r="C57" s="74">
        <v>51.027584066818008</v>
      </c>
      <c r="D57" s="12">
        <f>IF($Q57&lt;&gt;0,MIN('Table 2 &amp; 3'!D27,'Table 2 &amp; 3'!$Q57),'Table 2 &amp; 3'!D27)</f>
        <v>53.93</v>
      </c>
      <c r="E57" s="12">
        <f>IF($Q57&lt;&gt;0,MIN('Table 2 &amp; 3'!E27,'Table 2 &amp; 3'!$Q57),'Table 2 &amp; 3'!E27)</f>
        <v>53.93</v>
      </c>
      <c r="F57" s="12">
        <f>IF($Q57&lt;&gt;0,MIN('Table 2 &amp; 3'!F27,'Table 2 &amp; 3'!$Q57),'Table 2 &amp; 3'!F27)</f>
        <v>53.93</v>
      </c>
      <c r="G57" s="12">
        <f>IF($Q57&lt;&gt;0,MIN('Table 2 &amp; 3'!G27,'Table 2 &amp; 3'!$Q57),'Table 2 &amp; 3'!G27)</f>
        <v>53.93</v>
      </c>
      <c r="H57" s="46">
        <f>IF($Q57&lt;&gt;0,MIN('Table 2 &amp; 3'!H27,'Table 2 &amp; 3'!$Q57),'Table 2 &amp; 3'!H27)</f>
        <v>51.039219096271886</v>
      </c>
      <c r="I57" s="55">
        <f>IF($Q57&lt;&gt;0,MIN('Table 2 &amp; 3'!I27,'Table 2 &amp; 3'!$Q57),'Table 2 &amp; 3'!I27)</f>
        <v>49.810665927366685</v>
      </c>
      <c r="J57" s="12">
        <f>IF($Q57&lt;&gt;0,MIN('Table 2 &amp; 3'!J27,'Table 2 &amp; 3'!$Q57),'Table 2 &amp; 3'!J27)</f>
        <v>49.069352217398439</v>
      </c>
      <c r="K57" s="12">
        <f>IF($Q57&lt;&gt;0,MIN('Table 2 &amp; 3'!K27,'Table 2 &amp; 3'!$Q57),'Table 2 &amp; 3'!K27)</f>
        <v>49.042473040004644</v>
      </c>
      <c r="L57" s="46">
        <f>IF($Q57&lt;&gt;0,MIN('Table 2 &amp; 3'!L27,'Table 2 &amp; 3'!$Q57),'Table 2 &amp; 3'!L27)</f>
        <v>50.024271317646395</v>
      </c>
      <c r="M57" s="55">
        <f>IF($Q57&lt;&gt;0,MIN('Table 2 &amp; 3'!M27,'Table 2 &amp; 3'!$Q57),'Table 2 &amp; 3'!M27)</f>
        <v>48.982154343915767</v>
      </c>
      <c r="N57" s="12">
        <f>IF($Q57&lt;&gt;0,MIN('Table 2 &amp; 3'!N27,'Table 2 &amp; 3'!$Q57),'Table 2 &amp; 3'!N27)</f>
        <v>50.13708496172346</v>
      </c>
      <c r="O57" s="46">
        <f>IF($Q57&lt;&gt;0,MIN('Table 2 &amp; 3'!O27,'Table 2 &amp; 3'!$Q57),'Table 2 &amp; 3'!O27)</f>
        <v>48.505787897488879</v>
      </c>
      <c r="Q57" s="54">
        <f>VLOOKUP(B57,'Table 4'!$B$11:$K$41,9,FALSE)</f>
        <v>53.93</v>
      </c>
    </row>
    <row r="58" spans="2:17" ht="12.75" customHeight="1">
      <c r="B58" s="72">
        <f t="shared" si="1"/>
        <v>2027</v>
      </c>
      <c r="C58" s="74">
        <v>47.678833206168939</v>
      </c>
      <c r="D58" s="12">
        <f>IF($Q58&lt;&gt;0,MIN('Table 2 &amp; 3'!D28,'Table 2 &amp; 3'!$Q58),'Table 2 &amp; 3'!D28)</f>
        <v>46.181688056450753</v>
      </c>
      <c r="E58" s="12">
        <f>IF($Q58&lt;&gt;0,MIN('Table 2 &amp; 3'!E28,'Table 2 &amp; 3'!$Q58),'Table 2 &amp; 3'!E28)</f>
        <v>47.256382450962271</v>
      </c>
      <c r="F58" s="12">
        <f>IF($Q58&lt;&gt;0,MIN('Table 2 &amp; 3'!F28,'Table 2 &amp; 3'!$Q58),'Table 2 &amp; 3'!F28)</f>
        <v>49.318409141272326</v>
      </c>
      <c r="G58" s="12">
        <f>IF($Q58&lt;&gt;0,MIN('Table 2 &amp; 3'!G28,'Table 2 &amp; 3'!$Q58),'Table 2 &amp; 3'!G28)</f>
        <v>50.13</v>
      </c>
      <c r="H58" s="46">
        <f>IF($Q58&lt;&gt;0,MIN('Table 2 &amp; 3'!H28,'Table 2 &amp; 3'!$Q58),'Table 2 &amp; 3'!H28)</f>
        <v>47.669520033787578</v>
      </c>
      <c r="I58" s="55">
        <f>IF($Q58&lt;&gt;0,MIN('Table 2 &amp; 3'!I28,'Table 2 &amp; 3'!$Q58),'Table 2 &amp; 3'!I28)</f>
        <v>46.983114649410929</v>
      </c>
      <c r="J58" s="12">
        <f>IF($Q58&lt;&gt;0,MIN('Table 2 &amp; 3'!J28,'Table 2 &amp; 3'!$Q58),'Table 2 &amp; 3'!J28)</f>
        <v>45.439153330255202</v>
      </c>
      <c r="K58" s="12">
        <f>IF($Q58&lt;&gt;0,MIN('Table 2 &amp; 3'!K28,'Table 2 &amp; 3'!$Q58),'Table 2 &amp; 3'!K28)</f>
        <v>46.199988946871883</v>
      </c>
      <c r="L58" s="46">
        <f>IF($Q58&lt;&gt;0,MIN('Table 2 &amp; 3'!L28,'Table 2 &amp; 3'!$Q58),'Table 2 &amp; 3'!L28)</f>
        <v>46.613762315205889</v>
      </c>
      <c r="M58" s="55">
        <f>IF($Q58&lt;&gt;0,MIN('Table 2 &amp; 3'!M28,'Table 2 &amp; 3'!$Q58),'Table 2 &amp; 3'!M28)</f>
        <v>46.093979549810413</v>
      </c>
      <c r="N58" s="12">
        <f>IF($Q58&lt;&gt;0,MIN('Table 2 &amp; 3'!N28,'Table 2 &amp; 3'!$Q58),'Table 2 &amp; 3'!N28)</f>
        <v>50.13</v>
      </c>
      <c r="O58" s="46">
        <f>IF($Q58&lt;&gt;0,MIN('Table 2 &amp; 3'!O28,'Table 2 &amp; 3'!$Q58),'Table 2 &amp; 3'!O28)</f>
        <v>50.13</v>
      </c>
      <c r="Q58" s="54">
        <f>VLOOKUP(B58,'Table 4'!$B$11:$K$41,9,FALSE)</f>
        <v>50.13</v>
      </c>
    </row>
    <row r="59" spans="2:17" ht="12.75" customHeight="1">
      <c r="B59" s="72">
        <f t="shared" si="1"/>
        <v>2028</v>
      </c>
      <c r="C59" s="74">
        <v>54.754358097505694</v>
      </c>
      <c r="D59" s="12">
        <f>IF($Q59&lt;&gt;0,MIN('Table 2 &amp; 3'!D29,'Table 2 &amp; 3'!$Q59),'Table 2 &amp; 3'!D29)</f>
        <v>54.35371107165475</v>
      </c>
      <c r="E59" s="12">
        <f>IF($Q59&lt;&gt;0,MIN('Table 2 &amp; 3'!E29,'Table 2 &amp; 3'!$Q59),'Table 2 &amp; 3'!E29)</f>
        <v>54.613559604631114</v>
      </c>
      <c r="F59" s="12">
        <f>IF($Q59&lt;&gt;0,MIN('Table 2 &amp; 3'!F29,'Table 2 &amp; 3'!$Q59),'Table 2 &amp; 3'!F29)</f>
        <v>55.05414867694622</v>
      </c>
      <c r="G59" s="12">
        <f>IF($Q59&lt;&gt;0,MIN('Table 2 &amp; 3'!G29,'Table 2 &amp; 3'!$Q59),'Table 2 &amp; 3'!G29)</f>
        <v>56.75</v>
      </c>
      <c r="H59" s="46">
        <f>IF($Q59&lt;&gt;0,MIN('Table 2 &amp; 3'!H29,'Table 2 &amp; 3'!$Q59),'Table 2 &amp; 3'!H29)</f>
        <v>55.184494110077601</v>
      </c>
      <c r="I59" s="55">
        <f>IF($Q59&lt;&gt;0,MIN('Table 2 &amp; 3'!I29,'Table 2 &amp; 3'!$Q59),'Table 2 &amp; 3'!I29)</f>
        <v>54.281842244844029</v>
      </c>
      <c r="J59" s="12">
        <f>IF($Q59&lt;&gt;0,MIN('Table 2 &amp; 3'!J29,'Table 2 &amp; 3'!$Q59),'Table 2 &amp; 3'!J29)</f>
        <v>52.787334282920568</v>
      </c>
      <c r="K59" s="12">
        <f>IF($Q59&lt;&gt;0,MIN('Table 2 &amp; 3'!K29,'Table 2 &amp; 3'!$Q59),'Table 2 &amp; 3'!K29)</f>
        <v>54.115703035420744</v>
      </c>
      <c r="L59" s="46">
        <f>IF($Q59&lt;&gt;0,MIN('Table 2 &amp; 3'!L29,'Table 2 &amp; 3'!$Q59),'Table 2 &amp; 3'!L29)</f>
        <v>53.775110579105764</v>
      </c>
      <c r="M59" s="55">
        <f>IF($Q59&lt;&gt;0,MIN('Table 2 &amp; 3'!M29,'Table 2 &amp; 3'!$Q59),'Table 2 &amp; 3'!M29)</f>
        <v>54.373247256957036</v>
      </c>
      <c r="N59" s="12">
        <f>IF($Q59&lt;&gt;0,MIN('Table 2 &amp; 3'!N29,'Table 2 &amp; 3'!$Q59),'Table 2 &amp; 3'!N29)</f>
        <v>56.235884636906434</v>
      </c>
      <c r="O59" s="46">
        <f>IF($Q59&lt;&gt;0,MIN('Table 2 &amp; 3'!O29,'Table 2 &amp; 3'!$Q59),'Table 2 &amp; 3'!O29)</f>
        <v>55.527261670603927</v>
      </c>
      <c r="Q59" s="54">
        <f>VLOOKUP(B59,'Table 4'!$B$11:$K$41,9,FALSE)</f>
        <v>56.75</v>
      </c>
    </row>
    <row r="60" spans="2:17" ht="12.75" customHeight="1">
      <c r="B60" s="72">
        <f t="shared" si="1"/>
        <v>2029</v>
      </c>
      <c r="C60" s="74">
        <v>56.268012166642393</v>
      </c>
      <c r="D60" s="12">
        <f>IF($Q60&lt;&gt;0,MIN('Table 2 &amp; 3'!D30,'Table 2 &amp; 3'!$Q60),'Table 2 &amp; 3'!D30)</f>
        <v>56.403566535778587</v>
      </c>
      <c r="E60" s="12">
        <f>IF($Q60&lt;&gt;0,MIN('Table 2 &amp; 3'!E30,'Table 2 &amp; 3'!$Q60),'Table 2 &amp; 3'!E30)</f>
        <v>56.729844330356613</v>
      </c>
      <c r="F60" s="12">
        <f>IF($Q60&lt;&gt;0,MIN('Table 2 &amp; 3'!F30,'Table 2 &amp; 3'!$Q60),'Table 2 &amp; 3'!F30)</f>
        <v>56.852787484929841</v>
      </c>
      <c r="G60" s="12">
        <f>IF($Q60&lt;&gt;0,MIN('Table 2 &amp; 3'!G30,'Table 2 &amp; 3'!$Q60),'Table 2 &amp; 3'!G30)</f>
        <v>58.59</v>
      </c>
      <c r="H60" s="46">
        <f>IF($Q60&lt;&gt;0,MIN('Table 2 &amp; 3'!H30,'Table 2 &amp; 3'!$Q60),'Table 2 &amp; 3'!H30)</f>
        <v>56.297089784533014</v>
      </c>
      <c r="I60" s="55">
        <f>IF($Q60&lt;&gt;0,MIN('Table 2 &amp; 3'!I30,'Table 2 &amp; 3'!$Q60),'Table 2 &amp; 3'!I30)</f>
        <v>54.950413423016961</v>
      </c>
      <c r="J60" s="12">
        <f>IF($Q60&lt;&gt;0,MIN('Table 2 &amp; 3'!J30,'Table 2 &amp; 3'!$Q60),'Table 2 &amp; 3'!J30)</f>
        <v>53.281082993674175</v>
      </c>
      <c r="K60" s="12">
        <f>IF($Q60&lt;&gt;0,MIN('Table 2 &amp; 3'!K30,'Table 2 &amp; 3'!$Q60),'Table 2 &amp; 3'!K30)</f>
        <v>55.256862080231038</v>
      </c>
      <c r="L60" s="46">
        <f>IF($Q60&lt;&gt;0,MIN('Table 2 &amp; 3'!L30,'Table 2 &amp; 3'!$Q60),'Table 2 &amp; 3'!L30)</f>
        <v>54.921517659082909</v>
      </c>
      <c r="M60" s="55">
        <f>IF($Q60&lt;&gt;0,MIN('Table 2 &amp; 3'!M30,'Table 2 &amp; 3'!$Q60),'Table 2 &amp; 3'!M30)</f>
        <v>56.39042431593959</v>
      </c>
      <c r="N60" s="12">
        <f>IF($Q60&lt;&gt;0,MIN('Table 2 &amp; 3'!N30,'Table 2 &amp; 3'!$Q60),'Table 2 &amp; 3'!N30)</f>
        <v>58.207406428218668</v>
      </c>
      <c r="O60" s="46">
        <f>IF($Q60&lt;&gt;0,MIN('Table 2 &amp; 3'!O30,'Table 2 &amp; 3'!$Q60),'Table 2 &amp; 3'!O30)</f>
        <v>57.335150963947378</v>
      </c>
      <c r="Q60" s="54">
        <f>VLOOKUP(B60,'Table 4'!$B$11:$K$41,9,FALSE)</f>
        <v>58.59</v>
      </c>
    </row>
    <row r="61" spans="2:17" ht="12.75" customHeight="1">
      <c r="B61" s="73">
        <f t="shared" si="1"/>
        <v>2030</v>
      </c>
      <c r="C61" s="75">
        <v>57.28201555564312</v>
      </c>
      <c r="D61" s="20">
        <f>IF($Q61&lt;&gt;0,MIN('Table 2 &amp; 3'!D31,'Table 2 &amp; 3'!$Q61),'Table 2 &amp; 3'!D31)</f>
        <v>58.163801116565601</v>
      </c>
      <c r="E61" s="20">
        <f>IF($Q61&lt;&gt;0,MIN('Table 2 &amp; 3'!E31,'Table 2 &amp; 3'!$Q61),'Table 2 &amp; 3'!E31)</f>
        <v>58.701574974479961</v>
      </c>
      <c r="F61" s="20">
        <f>IF($Q61&lt;&gt;0,MIN('Table 2 &amp; 3'!F31,'Table 2 &amp; 3'!$Q61),'Table 2 &amp; 3'!F31)</f>
        <v>59.152911137054801</v>
      </c>
      <c r="G61" s="20">
        <f>IF($Q61&lt;&gt;0,MIN('Table 2 &amp; 3'!G31,'Table 2 &amp; 3'!$Q61),'Table 2 &amp; 3'!G31)</f>
        <v>59.57</v>
      </c>
      <c r="H61" s="47">
        <f>IF($Q61&lt;&gt;0,MIN('Table 2 &amp; 3'!H31,'Table 2 &amp; 3'!$Q61),'Table 2 &amp; 3'!H31)</f>
        <v>55.968926266366871</v>
      </c>
      <c r="I61" s="110">
        <f>IF($Q61&lt;&gt;0,MIN('Table 2 &amp; 3'!I31,'Table 2 &amp; 3'!$Q61),'Table 2 &amp; 3'!I31)</f>
        <v>55.633532671103488</v>
      </c>
      <c r="J61" s="20">
        <f>IF($Q61&lt;&gt;0,MIN('Table 2 &amp; 3'!J31,'Table 2 &amp; 3'!$Q61),'Table 2 &amp; 3'!J31)</f>
        <v>53.785811164136327</v>
      </c>
      <c r="K61" s="20">
        <f>IF($Q61&lt;&gt;0,MIN('Table 2 &amp; 3'!K31,'Table 2 &amp; 3'!$Q61),'Table 2 &amp; 3'!K31)</f>
        <v>55.786486757328468</v>
      </c>
      <c r="L61" s="47">
        <f>IF($Q61&lt;&gt;0,MIN('Table 2 &amp; 3'!L31,'Table 2 &amp; 3'!$Q61),'Table 2 &amp; 3'!L31)</f>
        <v>55.683236141591486</v>
      </c>
      <c r="M61" s="110">
        <f>IF($Q61&lt;&gt;0,MIN('Table 2 &amp; 3'!M31,'Table 2 &amp; 3'!$Q61),'Table 2 &amp; 3'!M31)</f>
        <v>56.294915322359039</v>
      </c>
      <c r="N61" s="20">
        <f>IF($Q61&lt;&gt;0,MIN('Table 2 &amp; 3'!N31,'Table 2 &amp; 3'!$Q61),'Table 2 &amp; 3'!N31)</f>
        <v>59.57</v>
      </c>
      <c r="O61" s="47">
        <f>IF($Q61&lt;&gt;0,MIN('Table 2 &amp; 3'!O31,'Table 2 &amp; 3'!$Q61),'Table 2 &amp; 3'!O31)</f>
        <v>59.072991116731359</v>
      </c>
      <c r="Q61" s="111">
        <f>VLOOKUP(B61,'Table 4'!$B$11:$K$41,9,FALSE)</f>
        <v>59.57</v>
      </c>
    </row>
    <row r="62" spans="2:17" ht="12.75" customHeight="1">
      <c r="D62" s="18"/>
      <c r="E62" s="18"/>
      <c r="F62" s="18"/>
      <c r="M62" s="25"/>
    </row>
    <row r="63" spans="2:17">
      <c r="C63" s="6" t="s">
        <v>51</v>
      </c>
    </row>
    <row r="64" spans="2:17">
      <c r="C64" s="76" t="s">
        <v>50</v>
      </c>
      <c r="D64" s="76"/>
      <c r="E64" s="76"/>
      <c r="F64" s="76"/>
      <c r="G64" s="76"/>
      <c r="M64" s="6"/>
      <c r="N64" s="8"/>
    </row>
  </sheetData>
  <phoneticPr fontId="6" type="noConversion"/>
  <conditionalFormatting sqref="C17:O31">
    <cfRule type="cellIs" dxfId="1" priority="2" stopIfTrue="1" operator="equal">
      <formula>$Q17</formula>
    </cfRule>
  </conditionalFormatting>
  <conditionalFormatting sqref="D43:O61">
    <cfRule type="cellIs" dxfId="0" priority="1" stopIfTrue="1" operator="equal">
      <formula>$Q43</formula>
    </cfRule>
  </conditionalFormatting>
  <printOptions horizontalCentered="1"/>
  <pageMargins left="0.46" right="0.3" top="0.4" bottom="0.4" header="0.5" footer="0.2"/>
  <pageSetup scale="76" orientation="portrait" r:id="rId1"/>
  <headerFooter alignWithMargins="0">
    <oddFooter>&amp;L&amp;8NPC Group&amp;C&amp;8Page &amp;P of &amp;N 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O90"/>
  <sheetViews>
    <sheetView zoomScale="85" zoomScaleNormal="85" zoomScaleSheetLayoutView="85" workbookViewId="0">
      <pane xSplit="2" ySplit="10" topLeftCell="C11" activePane="bottomRight" state="frozen"/>
      <selection activeCell="C30" sqref="C30"/>
      <selection pane="topRight" activeCell="C30" sqref="C30"/>
      <selection pane="bottomLeft" activeCell="C30" sqref="C30"/>
      <selection pane="bottomRight" activeCell="B4" sqref="B4"/>
    </sheetView>
  </sheetViews>
  <sheetFormatPr defaultRowHeight="12.75"/>
  <cols>
    <col min="1" max="1" width="2.83203125" style="178" customWidth="1"/>
    <col min="2" max="2" width="10.83203125" style="178" customWidth="1"/>
    <col min="3" max="3" width="14.1640625" style="178" customWidth="1"/>
    <col min="4" max="4" width="12.33203125" style="178" customWidth="1"/>
    <col min="5" max="5" width="9.1640625" style="178" customWidth="1"/>
    <col min="6" max="6" width="10.5" style="178" customWidth="1"/>
    <col min="7" max="7" width="10.5" style="178" bestFit="1" customWidth="1"/>
    <col min="8" max="8" width="11.6640625" style="178" bestFit="1" customWidth="1"/>
    <col min="9" max="9" width="11.1640625" style="178" customWidth="1"/>
    <col min="10" max="10" width="12" style="178" bestFit="1" customWidth="1"/>
    <col min="11" max="11" width="12" style="178" customWidth="1"/>
    <col min="12" max="13" width="9.33203125" style="178"/>
    <col min="14" max="15" width="9.33203125" style="178" customWidth="1"/>
    <col min="16" max="16384" width="9.33203125" style="178"/>
  </cols>
  <sheetData>
    <row r="1" spans="2:14" ht="15.75">
      <c r="B1" s="1" t="s">
        <v>76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2:14" ht="15.75">
      <c r="B2" s="1"/>
      <c r="C2" s="177"/>
      <c r="D2" s="177"/>
      <c r="E2" s="177"/>
      <c r="F2" s="177"/>
      <c r="G2" s="177"/>
      <c r="H2" s="177"/>
      <c r="I2" s="177"/>
      <c r="J2" s="177"/>
      <c r="K2" s="177"/>
    </row>
    <row r="3" spans="2:14" ht="15.75">
      <c r="B3" s="1" t="str">
        <f>"Table "&amp;RIGHT('Table 2 &amp; 3'!B36,1)+1</f>
        <v>Table 4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2:14" ht="15.75">
      <c r="B4" s="1" t="s">
        <v>114</v>
      </c>
      <c r="C4" s="177"/>
      <c r="D4" s="177"/>
      <c r="E4" s="177"/>
      <c r="F4" s="177"/>
      <c r="G4" s="177"/>
      <c r="H4" s="177"/>
      <c r="I4" s="177"/>
      <c r="J4" s="177"/>
      <c r="K4" s="177"/>
    </row>
    <row r="5" spans="2:14" ht="15.75">
      <c r="B5" s="1" t="str">
        <f>C52</f>
        <v>CCCT (Dry "F" 2x1)  - East Side Resource (4500')</v>
      </c>
      <c r="C5" s="177"/>
      <c r="D5" s="177"/>
      <c r="E5" s="177"/>
      <c r="F5" s="177"/>
      <c r="G5" s="177"/>
      <c r="H5" s="177"/>
      <c r="I5" s="177"/>
      <c r="J5" s="177"/>
      <c r="K5" s="177"/>
    </row>
    <row r="6" spans="2:14" ht="15.75">
      <c r="B6" s="1"/>
      <c r="C6" s="177"/>
      <c r="D6" s="177"/>
      <c r="E6" s="177"/>
      <c r="F6" s="177"/>
      <c r="G6" s="177"/>
      <c r="H6" s="177"/>
      <c r="I6" s="177"/>
      <c r="K6" s="77"/>
    </row>
    <row r="7" spans="2:14">
      <c r="B7" s="179"/>
      <c r="C7" s="179"/>
      <c r="D7" s="179"/>
      <c r="E7" s="179"/>
      <c r="F7" s="179"/>
      <c r="G7" s="179"/>
      <c r="H7" s="179"/>
      <c r="I7" s="177"/>
      <c r="J7" s="180"/>
      <c r="K7" s="180"/>
      <c r="L7" s="180"/>
      <c r="M7" s="180"/>
      <c r="N7" s="180"/>
    </row>
    <row r="8" spans="2:14" ht="51.75" customHeight="1">
      <c r="B8" s="78" t="s">
        <v>0</v>
      </c>
      <c r="C8" s="79" t="s">
        <v>11</v>
      </c>
      <c r="D8" s="79" t="s">
        <v>12</v>
      </c>
      <c r="E8" s="79" t="s">
        <v>13</v>
      </c>
      <c r="F8" s="79" t="s">
        <v>14</v>
      </c>
      <c r="G8" s="79" t="s">
        <v>15</v>
      </c>
      <c r="H8" s="79" t="s">
        <v>16</v>
      </c>
      <c r="I8" s="80" t="s">
        <v>42</v>
      </c>
      <c r="J8" s="80" t="s">
        <v>93</v>
      </c>
      <c r="K8" s="79" t="s">
        <v>94</v>
      </c>
      <c r="L8" s="180"/>
    </row>
    <row r="9" spans="2:14" ht="18.75" customHeight="1">
      <c r="B9" s="81"/>
      <c r="C9" s="82" t="s">
        <v>9</v>
      </c>
      <c r="D9" s="83" t="s">
        <v>10</v>
      </c>
      <c r="E9" s="83" t="s">
        <v>10</v>
      </c>
      <c r="F9" s="82" t="s">
        <v>62</v>
      </c>
      <c r="G9" s="83" t="s">
        <v>10</v>
      </c>
      <c r="H9" s="83" t="s">
        <v>10</v>
      </c>
      <c r="I9" s="83" t="s">
        <v>43</v>
      </c>
      <c r="J9" s="82" t="s">
        <v>62</v>
      </c>
      <c r="K9" s="82" t="s">
        <v>62</v>
      </c>
      <c r="L9" s="180"/>
    </row>
    <row r="10" spans="2:14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8</v>
      </c>
      <c r="I10" s="2" t="s">
        <v>44</v>
      </c>
      <c r="J10" s="2" t="s">
        <v>45</v>
      </c>
      <c r="K10" s="2" t="s">
        <v>53</v>
      </c>
    </row>
    <row r="11" spans="2:14" ht="6" customHeight="1"/>
    <row r="12" spans="2:14" ht="15.75">
      <c r="B12" s="134" t="str">
        <f>C52</f>
        <v>CCCT (Dry "F" 2x1)  - East Side Resource (4500')</v>
      </c>
      <c r="C12" s="180"/>
      <c r="E12" s="180"/>
      <c r="F12" s="180"/>
      <c r="G12" s="180"/>
      <c r="H12" s="180"/>
      <c r="I12" s="179"/>
      <c r="J12" s="179"/>
      <c r="K12" s="179"/>
      <c r="L12" s="180"/>
    </row>
    <row r="13" spans="2:14" ht="4.5" customHeight="1">
      <c r="B13" s="181"/>
      <c r="C13" s="182"/>
      <c r="D13" s="183"/>
      <c r="E13" s="184"/>
      <c r="F13" s="184"/>
      <c r="G13" s="185"/>
      <c r="H13" s="185"/>
      <c r="I13" s="185"/>
      <c r="J13" s="185"/>
      <c r="K13" s="185"/>
    </row>
    <row r="14" spans="2:14">
      <c r="B14" s="181">
        <v>2010</v>
      </c>
      <c r="C14" s="182">
        <f>$H$58</f>
        <v>1024</v>
      </c>
      <c r="D14" s="183">
        <f>ROUND(C14*$C$74,2)</f>
        <v>85.71</v>
      </c>
      <c r="E14" s="184">
        <f>$I$58</f>
        <v>8.82</v>
      </c>
      <c r="F14" s="184">
        <f>$J$63</f>
        <v>7.95</v>
      </c>
      <c r="G14" s="185">
        <f>ROUND(F14*(8.76*$G$63)+E14,2)</f>
        <v>43.85</v>
      </c>
      <c r="H14" s="185">
        <f>ROUND(D14+G14,2)</f>
        <v>129.56</v>
      </c>
      <c r="I14" s="185"/>
      <c r="J14" s="185"/>
      <c r="K14" s="185"/>
    </row>
    <row r="15" spans="2:14">
      <c r="B15" s="181">
        <f t="shared" ref="B15:B29" si="0">B14+1</f>
        <v>2011</v>
      </c>
      <c r="C15" s="186"/>
      <c r="D15" s="183">
        <f t="shared" ref="D15:F22" si="1">ROUND(D14*(1+$D81),2)</f>
        <v>87.42</v>
      </c>
      <c r="E15" s="183">
        <f t="shared" si="1"/>
        <v>9</v>
      </c>
      <c r="F15" s="183">
        <f t="shared" si="1"/>
        <v>8.11</v>
      </c>
      <c r="G15" s="187">
        <f t="shared" ref="G15:G40" si="2">ROUND(F15*(8.76*$G$63)+E15,2)</f>
        <v>44.73</v>
      </c>
      <c r="H15" s="187">
        <f t="shared" ref="H15:H29" si="3">ROUND(D15+G15,2)</f>
        <v>132.15</v>
      </c>
      <c r="I15" s="185"/>
      <c r="J15" s="185"/>
      <c r="K15" s="185"/>
    </row>
    <row r="16" spans="2:14">
      <c r="B16" s="181">
        <f t="shared" si="0"/>
        <v>2012</v>
      </c>
      <c r="C16" s="186"/>
      <c r="D16" s="183">
        <f t="shared" si="1"/>
        <v>88.82</v>
      </c>
      <c r="E16" s="183">
        <f t="shared" si="1"/>
        <v>9.14</v>
      </c>
      <c r="F16" s="183">
        <f t="shared" si="1"/>
        <v>8.24</v>
      </c>
      <c r="G16" s="185">
        <f t="shared" si="2"/>
        <v>45.45</v>
      </c>
      <c r="H16" s="185">
        <f t="shared" si="3"/>
        <v>134.27000000000001</v>
      </c>
      <c r="I16" s="185"/>
      <c r="J16" s="185"/>
      <c r="K16" s="185"/>
    </row>
    <row r="17" spans="2:11">
      <c r="B17" s="181">
        <f t="shared" si="0"/>
        <v>2013</v>
      </c>
      <c r="C17" s="186"/>
      <c r="D17" s="187">
        <f t="shared" si="1"/>
        <v>90.42</v>
      </c>
      <c r="E17" s="187">
        <f t="shared" si="1"/>
        <v>9.3000000000000007</v>
      </c>
      <c r="F17" s="187">
        <f t="shared" si="1"/>
        <v>8.39</v>
      </c>
      <c r="G17" s="185">
        <f t="shared" si="2"/>
        <v>46.27</v>
      </c>
      <c r="H17" s="185">
        <f t="shared" si="3"/>
        <v>136.69</v>
      </c>
      <c r="I17" s="185"/>
      <c r="J17" s="185"/>
      <c r="K17" s="185"/>
    </row>
    <row r="18" spans="2:11">
      <c r="B18" s="181">
        <f>B17+1</f>
        <v>2014</v>
      </c>
      <c r="C18" s="186"/>
      <c r="D18" s="187">
        <f t="shared" si="1"/>
        <v>92.32</v>
      </c>
      <c r="E18" s="187">
        <f t="shared" si="1"/>
        <v>9.5</v>
      </c>
      <c r="F18" s="187">
        <f t="shared" si="1"/>
        <v>8.57</v>
      </c>
      <c r="G18" s="185">
        <f t="shared" si="2"/>
        <v>47.26</v>
      </c>
      <c r="H18" s="185">
        <f t="shared" si="3"/>
        <v>139.58000000000001</v>
      </c>
      <c r="I18" s="185"/>
      <c r="J18" s="185"/>
      <c r="K18" s="185"/>
    </row>
    <row r="19" spans="2:11" ht="13.5" thickBot="1">
      <c r="B19" s="188">
        <f t="shared" si="0"/>
        <v>2015</v>
      </c>
      <c r="C19" s="189"/>
      <c r="D19" s="190">
        <f t="shared" si="1"/>
        <v>94.17</v>
      </c>
      <c r="E19" s="191">
        <f t="shared" si="1"/>
        <v>9.69</v>
      </c>
      <c r="F19" s="191">
        <f t="shared" si="1"/>
        <v>8.74</v>
      </c>
      <c r="G19" s="190">
        <f t="shared" si="2"/>
        <v>48.2</v>
      </c>
      <c r="H19" s="190">
        <f t="shared" si="3"/>
        <v>142.37</v>
      </c>
      <c r="I19" s="190"/>
      <c r="J19" s="190"/>
      <c r="K19" s="190"/>
    </row>
    <row r="20" spans="2:11">
      <c r="B20" s="181">
        <f t="shared" si="0"/>
        <v>2016</v>
      </c>
      <c r="C20" s="186"/>
      <c r="D20" s="185">
        <f t="shared" si="1"/>
        <v>96.05</v>
      </c>
      <c r="E20" s="183">
        <f t="shared" si="1"/>
        <v>9.8800000000000008</v>
      </c>
      <c r="F20" s="183">
        <f t="shared" si="1"/>
        <v>8.91</v>
      </c>
      <c r="G20" s="185">
        <f t="shared" si="2"/>
        <v>49.14</v>
      </c>
      <c r="H20" s="185">
        <f t="shared" si="3"/>
        <v>145.19</v>
      </c>
      <c r="I20" s="185">
        <f>VLOOKUP(B20,'Table 5'!$B$12:$C$39,2,FALSE)</f>
        <v>6.11</v>
      </c>
      <c r="J20" s="185">
        <f t="shared" ref="J20:J22" si="4">ROUND($K$63*I20/1000,2)</f>
        <v>43.08</v>
      </c>
      <c r="K20" s="185">
        <f t="shared" ref="K20:K22" si="5">ROUND(H20*1000/8760/$G$63+J20,2)</f>
        <v>76.03</v>
      </c>
    </row>
    <row r="21" spans="2:11">
      <c r="B21" s="181">
        <f t="shared" si="0"/>
        <v>2017</v>
      </c>
      <c r="C21" s="186"/>
      <c r="D21" s="185">
        <f t="shared" si="1"/>
        <v>97.97</v>
      </c>
      <c r="E21" s="183">
        <f t="shared" si="1"/>
        <v>10.08</v>
      </c>
      <c r="F21" s="183">
        <f t="shared" si="1"/>
        <v>9.09</v>
      </c>
      <c r="G21" s="185">
        <f t="shared" si="2"/>
        <v>50.13</v>
      </c>
      <c r="H21" s="185">
        <f t="shared" si="3"/>
        <v>148.1</v>
      </c>
      <c r="I21" s="185">
        <f>VLOOKUP(B21,'Table 5'!$B$12:$C$39,2,FALSE)</f>
        <v>6.54</v>
      </c>
      <c r="J21" s="185">
        <f t="shared" si="4"/>
        <v>46.11</v>
      </c>
      <c r="K21" s="185">
        <f t="shared" si="5"/>
        <v>79.72</v>
      </c>
    </row>
    <row r="22" spans="2:11">
      <c r="B22" s="181">
        <f t="shared" si="0"/>
        <v>2018</v>
      </c>
      <c r="C22" s="186"/>
      <c r="D22" s="185">
        <f t="shared" si="1"/>
        <v>99.83</v>
      </c>
      <c r="E22" s="183">
        <f t="shared" si="1"/>
        <v>10.27</v>
      </c>
      <c r="F22" s="183">
        <f t="shared" si="1"/>
        <v>9.26</v>
      </c>
      <c r="G22" s="185">
        <f t="shared" si="2"/>
        <v>51.07</v>
      </c>
      <c r="H22" s="185">
        <f t="shared" si="3"/>
        <v>150.9</v>
      </c>
      <c r="I22" s="185">
        <f>VLOOKUP(B22,'Table 5'!$B$12:$C$39,2,FALSE)</f>
        <v>6.96</v>
      </c>
      <c r="J22" s="185">
        <f t="shared" si="4"/>
        <v>49.07</v>
      </c>
      <c r="K22" s="185">
        <f t="shared" si="5"/>
        <v>83.32</v>
      </c>
    </row>
    <row r="23" spans="2:11">
      <c r="B23" s="181">
        <f t="shared" si="0"/>
        <v>2019</v>
      </c>
      <c r="C23" s="186"/>
      <c r="D23" s="185">
        <f t="shared" ref="D23:D31" si="6">ROUND(D22*(1+$G80),2)</f>
        <v>101.63</v>
      </c>
      <c r="E23" s="183">
        <f t="shared" ref="E23:E31" si="7">ROUND(E22*(1+$G80),2)</f>
        <v>10.45</v>
      </c>
      <c r="F23" s="183">
        <f t="shared" ref="F23:F31" si="8">ROUND(F22*(1+$G80),2)</f>
        <v>9.43</v>
      </c>
      <c r="G23" s="185">
        <f t="shared" si="2"/>
        <v>52</v>
      </c>
      <c r="H23" s="185">
        <f t="shared" si="3"/>
        <v>153.63</v>
      </c>
      <c r="I23" s="185">
        <f>VLOOKUP(B23,'Table 5'!$B$12:$C$39,2,FALSE)</f>
        <v>7.28</v>
      </c>
      <c r="J23" s="185">
        <f t="shared" ref="J23:J35" si="9">ROUND($K$63*I23/1000,2)</f>
        <v>51.32</v>
      </c>
      <c r="K23" s="185">
        <f t="shared" ref="K23:K29" si="10">ROUND(H23*1000/8760/$G$63+J23,2)</f>
        <v>86.19</v>
      </c>
    </row>
    <row r="24" spans="2:11">
      <c r="B24" s="181">
        <f t="shared" si="0"/>
        <v>2020</v>
      </c>
      <c r="C24" s="186"/>
      <c r="D24" s="185">
        <f t="shared" si="6"/>
        <v>103.46</v>
      </c>
      <c r="E24" s="183">
        <f t="shared" si="7"/>
        <v>10.64</v>
      </c>
      <c r="F24" s="183">
        <f t="shared" si="8"/>
        <v>9.6</v>
      </c>
      <c r="G24" s="185">
        <f t="shared" si="2"/>
        <v>52.94</v>
      </c>
      <c r="H24" s="185">
        <f t="shared" si="3"/>
        <v>156.4</v>
      </c>
      <c r="I24" s="185">
        <f>VLOOKUP(B24,'Table 5'!$B$12:$C$39,2,FALSE)</f>
        <v>7.37</v>
      </c>
      <c r="J24" s="185">
        <f t="shared" si="9"/>
        <v>51.96</v>
      </c>
      <c r="K24" s="185">
        <f t="shared" si="10"/>
        <v>87.45</v>
      </c>
    </row>
    <row r="25" spans="2:11">
      <c r="B25" s="181">
        <f t="shared" si="0"/>
        <v>2021</v>
      </c>
      <c r="C25" s="186"/>
      <c r="D25" s="185">
        <f t="shared" si="6"/>
        <v>105.32</v>
      </c>
      <c r="E25" s="183">
        <f t="shared" si="7"/>
        <v>10.83</v>
      </c>
      <c r="F25" s="183">
        <f t="shared" si="8"/>
        <v>9.77</v>
      </c>
      <c r="G25" s="185">
        <f t="shared" si="2"/>
        <v>53.88</v>
      </c>
      <c r="H25" s="185">
        <f t="shared" si="3"/>
        <v>159.19999999999999</v>
      </c>
      <c r="I25" s="185">
        <f>VLOOKUP(B25,'Table 5'!$B$12:$C$39,2,FALSE)</f>
        <v>7.47</v>
      </c>
      <c r="J25" s="185">
        <f t="shared" si="9"/>
        <v>52.66</v>
      </c>
      <c r="K25" s="185">
        <f t="shared" si="10"/>
        <v>88.79</v>
      </c>
    </row>
    <row r="26" spans="2:11">
      <c r="B26" s="181">
        <f t="shared" si="0"/>
        <v>2022</v>
      </c>
      <c r="C26" s="186"/>
      <c r="D26" s="185">
        <f t="shared" si="6"/>
        <v>107.22</v>
      </c>
      <c r="E26" s="183">
        <f t="shared" si="7"/>
        <v>11.02</v>
      </c>
      <c r="F26" s="183">
        <f t="shared" si="8"/>
        <v>9.9499999999999993</v>
      </c>
      <c r="G26" s="185">
        <f t="shared" si="2"/>
        <v>54.86</v>
      </c>
      <c r="H26" s="185">
        <f t="shared" si="3"/>
        <v>162.08000000000001</v>
      </c>
      <c r="I26" s="185">
        <f>VLOOKUP(B26,'Table 5'!$B$12:$C$39,2,FALSE)</f>
        <v>7.69</v>
      </c>
      <c r="J26" s="185">
        <f t="shared" si="9"/>
        <v>54.21</v>
      </c>
      <c r="K26" s="185">
        <f t="shared" si="10"/>
        <v>90.99</v>
      </c>
    </row>
    <row r="27" spans="2:11">
      <c r="B27" s="181">
        <f t="shared" si="0"/>
        <v>2023</v>
      </c>
      <c r="C27" s="186"/>
      <c r="D27" s="185">
        <f t="shared" si="6"/>
        <v>109.15</v>
      </c>
      <c r="E27" s="183">
        <f t="shared" si="7"/>
        <v>11.22</v>
      </c>
      <c r="F27" s="183">
        <f t="shared" si="8"/>
        <v>10.130000000000001</v>
      </c>
      <c r="G27" s="185">
        <f t="shared" si="2"/>
        <v>55.86</v>
      </c>
      <c r="H27" s="185">
        <f t="shared" si="3"/>
        <v>165.01</v>
      </c>
      <c r="I27" s="185">
        <f>VLOOKUP(B27,'Table 5'!$B$12:$C$39,2,FALSE)</f>
        <v>8.16</v>
      </c>
      <c r="J27" s="185">
        <f t="shared" si="9"/>
        <v>57.53</v>
      </c>
      <c r="K27" s="185">
        <f t="shared" si="10"/>
        <v>94.98</v>
      </c>
    </row>
    <row r="28" spans="2:11">
      <c r="B28" s="181">
        <f t="shared" si="0"/>
        <v>2024</v>
      </c>
      <c r="C28" s="186"/>
      <c r="D28" s="185">
        <f t="shared" si="6"/>
        <v>111.11</v>
      </c>
      <c r="E28" s="183">
        <f t="shared" si="7"/>
        <v>11.42</v>
      </c>
      <c r="F28" s="183">
        <f t="shared" si="8"/>
        <v>10.31</v>
      </c>
      <c r="G28" s="185">
        <f t="shared" si="2"/>
        <v>56.85</v>
      </c>
      <c r="H28" s="185">
        <f t="shared" si="3"/>
        <v>167.96</v>
      </c>
      <c r="I28" s="185">
        <f>VLOOKUP(B28,'Table 5'!$B$12:$C$39,2,FALSE)</f>
        <v>8.68</v>
      </c>
      <c r="J28" s="185">
        <f t="shared" si="9"/>
        <v>61.19</v>
      </c>
      <c r="K28" s="185">
        <f t="shared" si="10"/>
        <v>99.31</v>
      </c>
    </row>
    <row r="29" spans="2:11">
      <c r="B29" s="181">
        <f t="shared" si="0"/>
        <v>2025</v>
      </c>
      <c r="C29" s="186"/>
      <c r="D29" s="185">
        <f t="shared" si="6"/>
        <v>113.22</v>
      </c>
      <c r="E29" s="183">
        <f t="shared" si="7"/>
        <v>11.64</v>
      </c>
      <c r="F29" s="183">
        <f t="shared" si="8"/>
        <v>10.51</v>
      </c>
      <c r="G29" s="185">
        <f t="shared" si="2"/>
        <v>57.95</v>
      </c>
      <c r="H29" s="185">
        <f t="shared" si="3"/>
        <v>171.17</v>
      </c>
      <c r="I29" s="185">
        <f>VLOOKUP(B29,'Table 5'!$B$12:$C$39,2,FALSE)</f>
        <v>8.4499999999999993</v>
      </c>
      <c r="J29" s="185">
        <f t="shared" si="9"/>
        <v>59.57</v>
      </c>
      <c r="K29" s="185">
        <f t="shared" si="10"/>
        <v>98.42</v>
      </c>
    </row>
    <row r="30" spans="2:11">
      <c r="B30" s="181">
        <f t="shared" ref="B30:B40" si="11">B29+1</f>
        <v>2026</v>
      </c>
      <c r="C30" s="186"/>
      <c r="D30" s="185">
        <f t="shared" si="6"/>
        <v>115.37</v>
      </c>
      <c r="E30" s="183">
        <f t="shared" si="7"/>
        <v>11.86</v>
      </c>
      <c r="F30" s="183">
        <f t="shared" si="8"/>
        <v>10.71</v>
      </c>
      <c r="G30" s="185">
        <f t="shared" si="2"/>
        <v>59.05</v>
      </c>
      <c r="H30" s="185">
        <f t="shared" ref="H30:H35" si="12">ROUND(D30+G30,2)</f>
        <v>174.42</v>
      </c>
      <c r="I30" s="185">
        <f>VLOOKUP(B30,'Table 5'!$B$12:$C$39,2,FALSE)</f>
        <v>7.65</v>
      </c>
      <c r="J30" s="185">
        <f t="shared" si="9"/>
        <v>53.93</v>
      </c>
      <c r="K30" s="185">
        <f t="shared" ref="K30:K35" si="13">ROUND(H30*1000/8760/$G$63+J30,2)</f>
        <v>93.51</v>
      </c>
    </row>
    <row r="31" spans="2:11">
      <c r="B31" s="181">
        <f t="shared" si="11"/>
        <v>2027</v>
      </c>
      <c r="C31" s="186"/>
      <c r="D31" s="185">
        <f t="shared" si="6"/>
        <v>117.56</v>
      </c>
      <c r="E31" s="183">
        <f t="shared" si="7"/>
        <v>12.09</v>
      </c>
      <c r="F31" s="183">
        <f t="shared" si="8"/>
        <v>10.91</v>
      </c>
      <c r="G31" s="185">
        <f t="shared" si="2"/>
        <v>60.16</v>
      </c>
      <c r="H31" s="185">
        <f t="shared" si="12"/>
        <v>177.72</v>
      </c>
      <c r="I31" s="185">
        <f>VLOOKUP(B31,'Table 5'!$B$12:$C$39,2,FALSE)</f>
        <v>7.11</v>
      </c>
      <c r="J31" s="185">
        <f t="shared" si="9"/>
        <v>50.13</v>
      </c>
      <c r="K31" s="185">
        <f t="shared" si="13"/>
        <v>90.46</v>
      </c>
    </row>
    <row r="32" spans="2:11">
      <c r="B32" s="181">
        <f t="shared" si="11"/>
        <v>2028</v>
      </c>
      <c r="C32" s="186"/>
      <c r="D32" s="185">
        <f t="shared" ref="D32:D40" si="14">ROUND(D31*(1+$J80),2)</f>
        <v>119.91</v>
      </c>
      <c r="E32" s="183">
        <f t="shared" ref="E32:E40" si="15">ROUND(E31*(1+$J80),2)</f>
        <v>12.33</v>
      </c>
      <c r="F32" s="183">
        <f t="shared" ref="F32:F40" si="16">ROUND(F31*(1+$J80),2)</f>
        <v>11.13</v>
      </c>
      <c r="G32" s="185">
        <f t="shared" si="2"/>
        <v>61.37</v>
      </c>
      <c r="H32" s="185">
        <f t="shared" si="12"/>
        <v>181.28</v>
      </c>
      <c r="I32" s="185">
        <f>VLOOKUP(B32,'Table 5'!$B$12:$C$39,2,FALSE)</f>
        <v>8.0500000000000007</v>
      </c>
      <c r="J32" s="185">
        <f t="shared" si="9"/>
        <v>56.75</v>
      </c>
      <c r="K32" s="185">
        <f t="shared" si="13"/>
        <v>97.89</v>
      </c>
    </row>
    <row r="33" spans="2:15">
      <c r="B33" s="181">
        <f t="shared" si="11"/>
        <v>2029</v>
      </c>
      <c r="C33" s="186"/>
      <c r="D33" s="185">
        <f t="shared" si="14"/>
        <v>122.31</v>
      </c>
      <c r="E33" s="183">
        <f t="shared" si="15"/>
        <v>12.58</v>
      </c>
      <c r="F33" s="183">
        <f t="shared" si="16"/>
        <v>11.35</v>
      </c>
      <c r="G33" s="185">
        <f t="shared" si="2"/>
        <v>62.59</v>
      </c>
      <c r="H33" s="185">
        <f t="shared" si="12"/>
        <v>184.9</v>
      </c>
      <c r="I33" s="185">
        <f>VLOOKUP(B33,'Table 5'!$B$12:$C$39,2,FALSE)</f>
        <v>8.31</v>
      </c>
      <c r="J33" s="185">
        <f t="shared" si="9"/>
        <v>58.59</v>
      </c>
      <c r="K33" s="185">
        <f t="shared" si="13"/>
        <v>100.55</v>
      </c>
    </row>
    <row r="34" spans="2:15">
      <c r="B34" s="181">
        <f t="shared" si="11"/>
        <v>2030</v>
      </c>
      <c r="C34" s="186"/>
      <c r="D34" s="185">
        <f t="shared" si="14"/>
        <v>124.63</v>
      </c>
      <c r="E34" s="183">
        <f t="shared" si="15"/>
        <v>12.82</v>
      </c>
      <c r="F34" s="183">
        <f t="shared" si="16"/>
        <v>11.57</v>
      </c>
      <c r="G34" s="185">
        <f t="shared" si="2"/>
        <v>63.8</v>
      </c>
      <c r="H34" s="185">
        <f t="shared" si="12"/>
        <v>188.43</v>
      </c>
      <c r="I34" s="185">
        <f>VLOOKUP(B34,'Table 5'!$B$12:$C$39,2,FALSE)</f>
        <v>8.4499999999999993</v>
      </c>
      <c r="J34" s="185">
        <f t="shared" si="9"/>
        <v>59.57</v>
      </c>
      <c r="K34" s="185">
        <f t="shared" si="13"/>
        <v>102.33</v>
      </c>
    </row>
    <row r="35" spans="2:15" hidden="1">
      <c r="B35" s="181">
        <f t="shared" si="11"/>
        <v>2031</v>
      </c>
      <c r="C35" s="186"/>
      <c r="D35" s="185">
        <f t="shared" si="14"/>
        <v>127</v>
      </c>
      <c r="E35" s="183">
        <f t="shared" si="15"/>
        <v>13.06</v>
      </c>
      <c r="F35" s="183">
        <f t="shared" si="16"/>
        <v>11.79</v>
      </c>
      <c r="G35" s="185">
        <f t="shared" si="2"/>
        <v>65.010000000000005</v>
      </c>
      <c r="H35" s="185">
        <f t="shared" si="12"/>
        <v>192.01</v>
      </c>
      <c r="I35" s="185">
        <f>VLOOKUP(B35,'Table 5'!$B$12:$C$39,2,FALSE)</f>
        <v>8.61</v>
      </c>
      <c r="J35" s="185">
        <f t="shared" si="9"/>
        <v>60.7</v>
      </c>
      <c r="K35" s="185">
        <f t="shared" si="13"/>
        <v>104.28</v>
      </c>
    </row>
    <row r="36" spans="2:15" hidden="1">
      <c r="B36" s="181">
        <f t="shared" si="11"/>
        <v>2032</v>
      </c>
      <c r="C36" s="186"/>
      <c r="D36" s="185">
        <f t="shared" si="14"/>
        <v>129.41</v>
      </c>
      <c r="E36" s="183">
        <f t="shared" si="15"/>
        <v>13.31</v>
      </c>
      <c r="F36" s="183">
        <f t="shared" si="16"/>
        <v>12.01</v>
      </c>
      <c r="G36" s="185">
        <f t="shared" si="2"/>
        <v>66.23</v>
      </c>
      <c r="H36" s="185">
        <f t="shared" ref="H36:H40" si="17">ROUND(D36+G36,2)</f>
        <v>195.64</v>
      </c>
      <c r="I36" s="185">
        <f>VLOOKUP(B36,'Table 5'!$B$12:$C$39,2,FALSE)</f>
        <v>8.7799999999999994</v>
      </c>
      <c r="J36" s="185">
        <f t="shared" ref="J36:J40" si="18">ROUND($K$63*I36/1000,2)</f>
        <v>61.9</v>
      </c>
      <c r="K36" s="185">
        <f t="shared" ref="K36:K40" si="19">ROUND(H36*1000/8760/$G$63+J36,2)</f>
        <v>106.3</v>
      </c>
    </row>
    <row r="37" spans="2:15" hidden="1">
      <c r="B37" s="181">
        <f t="shared" si="11"/>
        <v>2033</v>
      </c>
      <c r="C37" s="186"/>
      <c r="D37" s="185">
        <f t="shared" si="14"/>
        <v>131.87</v>
      </c>
      <c r="E37" s="183">
        <f t="shared" si="15"/>
        <v>13.56</v>
      </c>
      <c r="F37" s="183">
        <f t="shared" si="16"/>
        <v>12.24</v>
      </c>
      <c r="G37" s="185">
        <f t="shared" si="2"/>
        <v>67.489999999999995</v>
      </c>
      <c r="H37" s="185">
        <f t="shared" si="17"/>
        <v>199.36</v>
      </c>
      <c r="I37" s="185">
        <f>VLOOKUP(B37,'Table 5'!$B$12:$C$39,2,FALSE)</f>
        <v>8.94</v>
      </c>
      <c r="J37" s="185">
        <f t="shared" si="18"/>
        <v>63.03</v>
      </c>
      <c r="K37" s="185">
        <f t="shared" si="19"/>
        <v>108.27</v>
      </c>
    </row>
    <row r="38" spans="2:15" hidden="1">
      <c r="B38" s="181">
        <f t="shared" si="11"/>
        <v>2034</v>
      </c>
      <c r="C38" s="186"/>
      <c r="D38" s="185">
        <f t="shared" si="14"/>
        <v>134.38</v>
      </c>
      <c r="E38" s="183">
        <f t="shared" si="15"/>
        <v>13.82</v>
      </c>
      <c r="F38" s="183">
        <f t="shared" si="16"/>
        <v>12.47</v>
      </c>
      <c r="G38" s="185">
        <f t="shared" si="2"/>
        <v>68.77</v>
      </c>
      <c r="H38" s="185">
        <f t="shared" si="17"/>
        <v>203.15</v>
      </c>
      <c r="I38" s="185">
        <f>VLOOKUP(B38,'Table 5'!$B$12:$C$39,2,FALSE)</f>
        <v>9.11</v>
      </c>
      <c r="J38" s="185">
        <f t="shared" si="18"/>
        <v>64.23</v>
      </c>
      <c r="K38" s="185">
        <f t="shared" si="19"/>
        <v>110.33</v>
      </c>
    </row>
    <row r="39" spans="2:15" hidden="1">
      <c r="B39" s="181">
        <f t="shared" si="11"/>
        <v>2035</v>
      </c>
      <c r="C39" s="186"/>
      <c r="D39" s="185">
        <f t="shared" si="14"/>
        <v>136.80000000000001</v>
      </c>
      <c r="E39" s="183">
        <f t="shared" si="15"/>
        <v>14.07</v>
      </c>
      <c r="F39" s="183">
        <f t="shared" si="16"/>
        <v>12.69</v>
      </c>
      <c r="G39" s="185">
        <f t="shared" si="2"/>
        <v>69.989999999999995</v>
      </c>
      <c r="H39" s="185">
        <f t="shared" si="17"/>
        <v>206.79</v>
      </c>
      <c r="I39" s="185">
        <f>VLOOKUP(B39,'Table 5'!$B$12:$C$39,2,FALSE)</f>
        <v>9.2799999999999994</v>
      </c>
      <c r="J39" s="185">
        <f t="shared" si="18"/>
        <v>65.42</v>
      </c>
      <c r="K39" s="185">
        <f t="shared" si="19"/>
        <v>112.35</v>
      </c>
    </row>
    <row r="40" spans="2:15" hidden="1">
      <c r="B40" s="181">
        <f t="shared" si="11"/>
        <v>2036</v>
      </c>
      <c r="C40" s="186"/>
      <c r="D40" s="185">
        <f t="shared" si="14"/>
        <v>139.4</v>
      </c>
      <c r="E40" s="183">
        <f t="shared" si="15"/>
        <v>14.34</v>
      </c>
      <c r="F40" s="183">
        <f t="shared" si="16"/>
        <v>12.93</v>
      </c>
      <c r="G40" s="185">
        <f t="shared" si="2"/>
        <v>71.31</v>
      </c>
      <c r="H40" s="185">
        <f t="shared" si="17"/>
        <v>210.71</v>
      </c>
      <c r="I40" s="185">
        <f>VLOOKUP(B40,'Table 5'!$B$12:$C$39,2,FALSE)</f>
        <v>9.4499999999999993</v>
      </c>
      <c r="J40" s="185">
        <f t="shared" si="18"/>
        <v>66.62</v>
      </c>
      <c r="K40" s="185">
        <f t="shared" si="19"/>
        <v>114.44</v>
      </c>
    </row>
    <row r="41" spans="2:15">
      <c r="M41" s="181"/>
      <c r="O41" s="192"/>
    </row>
    <row r="42" spans="2:15" ht="14.25">
      <c r="B42" s="7" t="s">
        <v>54</v>
      </c>
      <c r="C42" s="84"/>
      <c r="D42" s="84"/>
      <c r="E42" s="84"/>
      <c r="F42" s="84"/>
      <c r="G42" s="84"/>
      <c r="H42" s="84"/>
      <c r="I42" s="84"/>
      <c r="J42" s="84"/>
      <c r="K42" s="84"/>
      <c r="M42" s="181"/>
      <c r="N42" s="192"/>
      <c r="O42" s="192"/>
    </row>
    <row r="44" spans="2:15">
      <c r="B44" s="178" t="s">
        <v>31</v>
      </c>
      <c r="D44" s="193" t="s">
        <v>101</v>
      </c>
    </row>
    <row r="45" spans="2:15">
      <c r="C45" s="194" t="str">
        <f>D10</f>
        <v>(b)</v>
      </c>
      <c r="D45" s="185" t="str">
        <f>"= "&amp;C10&amp;" x "&amp;C74</f>
        <v>= (a) x 0.0837</v>
      </c>
    </row>
    <row r="46" spans="2:15">
      <c r="C46" s="194" t="str">
        <f>G10</f>
        <v>(e)</v>
      </c>
      <c r="D46" s="185" t="str">
        <f>"= "&amp;$F$10&amp;" x  (8.76 x "&amp;TEXT(G63,"0.0%")&amp;") + "&amp;$E$10</f>
        <v>= (d) x  (8.76 x 50.3%) + (c)</v>
      </c>
    </row>
    <row r="47" spans="2:15">
      <c r="C47" s="194" t="str">
        <f>H10</f>
        <v>(f)</v>
      </c>
      <c r="D47" s="185" t="str">
        <f>"= "&amp;D10&amp;" + "&amp;G10</f>
        <v>= (b) + (e)</v>
      </c>
    </row>
    <row r="48" spans="2:15">
      <c r="C48" s="194" t="str">
        <f>I10</f>
        <v>(g)</v>
      </c>
      <c r="D48" s="195" t="str">
        <f>'Table 5'!B3&amp;" - "&amp;'Table 5'!B4</f>
        <v>Table 5 - Burnertip Natural Gas Price Forecast</v>
      </c>
    </row>
    <row r="49" spans="3:11">
      <c r="C49" s="194" t="str">
        <f>J10</f>
        <v>(h)</v>
      </c>
      <c r="D49" s="185" t="str">
        <f>"= "&amp;K63&amp;" x "&amp;I10&amp;" / 1000"</f>
        <v>= 7050 x (g) / 1000</v>
      </c>
    </row>
    <row r="50" spans="3:11">
      <c r="C50" s="194" t="str">
        <f>K10</f>
        <v>(i)</v>
      </c>
      <c r="D50" s="196" t="str">
        <f>"= "&amp;H10&amp;" / (8.76 x 'Capacity Factor' ) + "&amp;J10</f>
        <v>= (f) / (8.76 x 'Capacity Factor' ) + (h)</v>
      </c>
    </row>
    <row r="51" spans="3:11" ht="13.5" thickBot="1"/>
    <row r="52" spans="3:11" ht="13.5" thickBot="1">
      <c r="C52" s="132" t="s">
        <v>96</v>
      </c>
      <c r="D52" s="129"/>
      <c r="E52" s="129"/>
      <c r="F52" s="129"/>
      <c r="G52" s="129"/>
      <c r="H52" s="129"/>
      <c r="I52" s="129"/>
      <c r="J52" s="130"/>
      <c r="K52" s="197"/>
    </row>
    <row r="53" spans="3:11" ht="5.25" customHeight="1"/>
    <row r="54" spans="3:11" ht="5.25" customHeight="1"/>
    <row r="55" spans="3:11">
      <c r="C55" s="113" t="s">
        <v>64</v>
      </c>
      <c r="D55" s="92"/>
      <c r="E55" s="113"/>
      <c r="F55" s="112" t="s">
        <v>65</v>
      </c>
      <c r="G55" s="112" t="s">
        <v>66</v>
      </c>
      <c r="H55" s="112" t="s">
        <v>67</v>
      </c>
      <c r="I55" s="112" t="s">
        <v>68</v>
      </c>
    </row>
    <row r="56" spans="3:11">
      <c r="C56" s="178" t="s">
        <v>104</v>
      </c>
      <c r="F56" s="198">
        <f>C67</f>
        <v>512.02975597057275</v>
      </c>
      <c r="G56" s="131">
        <f>F56/F58</f>
        <v>0.85774942914772856</v>
      </c>
      <c r="H56" s="199">
        <f>C68</f>
        <v>1104.467075257872</v>
      </c>
      <c r="I56" s="200">
        <f>C69</f>
        <v>10.193995329538243</v>
      </c>
    </row>
    <row r="57" spans="3:11">
      <c r="C57" s="178" t="s">
        <v>105</v>
      </c>
      <c r="F57" s="119">
        <f>D67</f>
        <v>84.915853750593101</v>
      </c>
      <c r="G57" s="115">
        <f>1-G56</f>
        <v>0.14225057085227144</v>
      </c>
      <c r="H57" s="120">
        <f>D68</f>
        <v>538.38742035331188</v>
      </c>
      <c r="I57" s="121">
        <f>D69</f>
        <v>0.5</v>
      </c>
    </row>
    <row r="58" spans="3:11">
      <c r="C58" s="178" t="s">
        <v>69</v>
      </c>
      <c r="F58" s="198">
        <f>F56+F57</f>
        <v>596.94560972116585</v>
      </c>
      <c r="G58" s="131">
        <f>G56+G57</f>
        <v>1</v>
      </c>
      <c r="H58" s="199">
        <f>ROUND(((F56*H56)+(F57*H57))/F58,0)</f>
        <v>1024</v>
      </c>
      <c r="I58" s="200">
        <f>ROUND(((F56*I56)+(F57*I57))/F58,2)</f>
        <v>8.82</v>
      </c>
    </row>
    <row r="59" spans="3:11">
      <c r="F59" s="198"/>
      <c r="G59" s="131"/>
      <c r="H59" s="199"/>
      <c r="I59" s="200"/>
    </row>
    <row r="60" spans="3:11">
      <c r="C60" s="113" t="s">
        <v>64</v>
      </c>
      <c r="D60" s="92"/>
      <c r="E60" s="113"/>
      <c r="F60" s="112" t="s">
        <v>65</v>
      </c>
      <c r="G60" s="112" t="s">
        <v>70</v>
      </c>
      <c r="H60" s="112" t="s">
        <v>71</v>
      </c>
      <c r="I60" s="112" t="s">
        <v>66</v>
      </c>
      <c r="J60" s="112" t="s">
        <v>72</v>
      </c>
      <c r="K60" s="112" t="s">
        <v>73</v>
      </c>
    </row>
    <row r="61" spans="3:11">
      <c r="C61" s="201" t="s">
        <v>104</v>
      </c>
      <c r="D61" s="201"/>
      <c r="E61" s="201"/>
      <c r="F61" s="178">
        <f>C67</f>
        <v>512.02975597057275</v>
      </c>
      <c r="G61" s="131">
        <f>C75</f>
        <v>0.56000000000000005</v>
      </c>
      <c r="H61" s="178">
        <f>G61*F61</f>
        <v>286.73666334352077</v>
      </c>
      <c r="I61" s="131">
        <f>H61/H63</f>
        <v>0.95476028291305592</v>
      </c>
      <c r="J61" s="200">
        <f>C70</f>
        <v>8.02</v>
      </c>
      <c r="K61" s="202">
        <f>C73</f>
        <v>6963</v>
      </c>
    </row>
    <row r="62" spans="3:11">
      <c r="C62" s="201" t="s">
        <v>105</v>
      </c>
      <c r="D62" s="201"/>
      <c r="E62" s="201"/>
      <c r="F62" s="114">
        <f>D67</f>
        <v>84.915853750593101</v>
      </c>
      <c r="G62" s="115">
        <f>D75</f>
        <v>0.16</v>
      </c>
      <c r="H62" s="114">
        <f>G62*F62</f>
        <v>13.586536600094897</v>
      </c>
      <c r="I62" s="115">
        <f>1-I61</f>
        <v>4.5239717086944076E-2</v>
      </c>
      <c r="J62" s="116">
        <f>D70</f>
        <v>6.54</v>
      </c>
      <c r="K62" s="117">
        <f>D73</f>
        <v>8934</v>
      </c>
    </row>
    <row r="63" spans="3:11">
      <c r="C63" s="178" t="s">
        <v>74</v>
      </c>
      <c r="F63" s="178">
        <f>F61+F62</f>
        <v>596.94560972116585</v>
      </c>
      <c r="G63" s="203">
        <f>ROUND(H63/F63,3)</f>
        <v>0.503</v>
      </c>
      <c r="H63" s="178">
        <f>SUM(H61:H62)</f>
        <v>300.32319994361569</v>
      </c>
      <c r="I63" s="131">
        <f>I61+I62</f>
        <v>1</v>
      </c>
      <c r="J63" s="200">
        <f>ROUND(($I61*J61)+($I62*J62),2)</f>
        <v>7.95</v>
      </c>
      <c r="K63" s="204">
        <f>ROUND(($I61*K61)+($I62*K62),-1)</f>
        <v>7050</v>
      </c>
    </row>
    <row r="64" spans="3:11">
      <c r="G64" s="203"/>
      <c r="I64" s="131"/>
      <c r="J64" s="200"/>
      <c r="K64" s="118" t="s">
        <v>75</v>
      </c>
    </row>
    <row r="66" spans="3:11">
      <c r="C66" s="112" t="s">
        <v>57</v>
      </c>
      <c r="D66" s="112" t="s">
        <v>58</v>
      </c>
      <c r="E66" s="133" t="str">
        <f>D44</f>
        <v>Plant Costs 2011 IRP Update - [Table 6.1 &amp; 6.3]</v>
      </c>
      <c r="F66" s="205"/>
      <c r="G66" s="205"/>
      <c r="H66" s="205"/>
      <c r="I66" s="205"/>
      <c r="J66" s="205"/>
      <c r="K66" s="206"/>
    </row>
    <row r="67" spans="3:11">
      <c r="C67" s="178">
        <v>512.02975597057275</v>
      </c>
      <c r="D67" s="178">
        <v>84.915853750593101</v>
      </c>
      <c r="E67" s="178" t="s">
        <v>79</v>
      </c>
      <c r="H67" s="207"/>
    </row>
    <row r="68" spans="3:11">
      <c r="C68" s="199">
        <v>1104.467075257872</v>
      </c>
      <c r="D68" s="199">
        <v>538.38742035331188</v>
      </c>
      <c r="E68" s="178" t="s">
        <v>84</v>
      </c>
    </row>
    <row r="69" spans="3:11">
      <c r="C69" s="200">
        <v>10.193995329538243</v>
      </c>
      <c r="D69" s="200">
        <v>0.5</v>
      </c>
      <c r="E69" s="178" t="s">
        <v>80</v>
      </c>
    </row>
    <row r="70" spans="3:11">
      <c r="C70" s="200">
        <f>C71+C72</f>
        <v>8.02</v>
      </c>
      <c r="D70" s="200">
        <f>D71+D72</f>
        <v>6.54</v>
      </c>
      <c r="E70" s="208" t="s">
        <v>100</v>
      </c>
    </row>
    <row r="71" spans="3:11">
      <c r="C71" s="200">
        <v>3.35</v>
      </c>
      <c r="D71" s="200">
        <v>0.55000000000000004</v>
      </c>
      <c r="E71" s="178" t="s">
        <v>99</v>
      </c>
    </row>
    <row r="72" spans="3:11">
      <c r="C72" s="200">
        <v>4.67</v>
      </c>
      <c r="D72" s="200">
        <v>5.99</v>
      </c>
      <c r="E72" s="208" t="s">
        <v>86</v>
      </c>
    </row>
    <row r="73" spans="3:11">
      <c r="C73" s="204">
        <v>6963</v>
      </c>
      <c r="D73" s="204">
        <v>8934</v>
      </c>
      <c r="E73" s="178" t="s">
        <v>81</v>
      </c>
    </row>
    <row r="74" spans="3:11">
      <c r="C74" s="209">
        <v>8.3699999999999997E-2</v>
      </c>
      <c r="D74" s="209">
        <f>C74</f>
        <v>8.3699999999999997E-2</v>
      </c>
      <c r="E74" s="178" t="s">
        <v>82</v>
      </c>
    </row>
    <row r="75" spans="3:11">
      <c r="C75" s="210">
        <v>0.56000000000000005</v>
      </c>
      <c r="D75" s="210">
        <v>0.16</v>
      </c>
      <c r="E75" s="178" t="s">
        <v>83</v>
      </c>
    </row>
    <row r="76" spans="3:11">
      <c r="D76" s="131">
        <f>ROUND(H63/F63,3)</f>
        <v>0.503</v>
      </c>
      <c r="E76" s="178" t="s">
        <v>85</v>
      </c>
    </row>
    <row r="77" spans="3:11">
      <c r="D77" s="203">
        <f>MIN(1,ROUND(D76/0.57,3))</f>
        <v>0.88200000000000001</v>
      </c>
      <c r="E77" s="145" t="str">
        <f>"  Capacity Factor - On-peak     "&amp;TEXT(D76,"0.0%")&amp;" / 57% (percent of hours on-peak) "</f>
        <v xml:space="preserve">  Capacity Factor - On-peak     50.3% / 57% (percent of hours on-peak) </v>
      </c>
    </row>
    <row r="78" spans="3:11" ht="13.5" thickBot="1">
      <c r="C78" s="210"/>
      <c r="D78" s="210"/>
    </row>
    <row r="79" spans="3:11" ht="13.5" thickBot="1">
      <c r="C79" s="128" t="s">
        <v>109</v>
      </c>
      <c r="D79" s="129"/>
      <c r="E79" s="129"/>
      <c r="F79" s="129"/>
      <c r="G79" s="129"/>
      <c r="H79" s="129"/>
      <c r="I79" s="129"/>
      <c r="J79" s="130"/>
      <c r="K79" s="197"/>
    </row>
    <row r="80" spans="3:11">
      <c r="C80" s="211">
        <v>2010</v>
      </c>
      <c r="D80" s="131">
        <v>1.2999999999999999E-2</v>
      </c>
      <c r="F80" s="211">
        <f>C88+1</f>
        <v>2019</v>
      </c>
      <c r="G80" s="131">
        <v>1.7999999999999999E-2</v>
      </c>
      <c r="I80" s="211">
        <f>F88+1</f>
        <v>2028</v>
      </c>
      <c r="J80" s="131">
        <v>0.02</v>
      </c>
    </row>
    <row r="81" spans="3:15">
      <c r="C81" s="211">
        <f>C80+1</f>
        <v>2011</v>
      </c>
      <c r="D81" s="131">
        <v>0.02</v>
      </c>
      <c r="F81" s="211">
        <f t="shared" ref="F81:F88" si="20">F80+1</f>
        <v>2020</v>
      </c>
      <c r="G81" s="131">
        <v>1.7999999999999999E-2</v>
      </c>
      <c r="I81" s="211">
        <f t="shared" ref="I81:I88" si="21">I80+1</f>
        <v>2029</v>
      </c>
      <c r="J81" s="131">
        <v>0.02</v>
      </c>
    </row>
    <row r="82" spans="3:15">
      <c r="C82" s="211">
        <f t="shared" ref="C82:C88" si="22">C81+1</f>
        <v>2012</v>
      </c>
      <c r="D82" s="131">
        <v>1.6E-2</v>
      </c>
      <c r="F82" s="211">
        <f t="shared" si="20"/>
        <v>2021</v>
      </c>
      <c r="G82" s="131">
        <v>1.7999999999999999E-2</v>
      </c>
      <c r="I82" s="211">
        <f t="shared" si="21"/>
        <v>2030</v>
      </c>
      <c r="J82" s="131">
        <v>1.9E-2</v>
      </c>
    </row>
    <row r="83" spans="3:15">
      <c r="C83" s="211">
        <f t="shared" si="22"/>
        <v>2013</v>
      </c>
      <c r="D83" s="131">
        <v>1.7999999999999999E-2</v>
      </c>
      <c r="F83" s="211">
        <f t="shared" si="20"/>
        <v>2022</v>
      </c>
      <c r="G83" s="131">
        <v>1.7999999999999999E-2</v>
      </c>
      <c r="I83" s="211">
        <f t="shared" si="21"/>
        <v>2031</v>
      </c>
      <c r="J83" s="131">
        <v>1.9E-2</v>
      </c>
    </row>
    <row r="84" spans="3:15">
      <c r="C84" s="211">
        <f t="shared" si="22"/>
        <v>2014</v>
      </c>
      <c r="D84" s="131">
        <v>2.1000000000000001E-2</v>
      </c>
      <c r="F84" s="211">
        <f t="shared" si="20"/>
        <v>2023</v>
      </c>
      <c r="G84" s="131">
        <v>1.7999999999999999E-2</v>
      </c>
      <c r="I84" s="211">
        <f t="shared" si="21"/>
        <v>2032</v>
      </c>
      <c r="J84" s="131">
        <v>1.9E-2</v>
      </c>
    </row>
    <row r="85" spans="3:15">
      <c r="C85" s="211">
        <f t="shared" si="22"/>
        <v>2015</v>
      </c>
      <c r="D85" s="131">
        <v>0.02</v>
      </c>
      <c r="F85" s="211">
        <f t="shared" si="20"/>
        <v>2024</v>
      </c>
      <c r="G85" s="131">
        <v>1.7999999999999999E-2</v>
      </c>
      <c r="I85" s="211">
        <f t="shared" si="21"/>
        <v>2033</v>
      </c>
      <c r="J85" s="131">
        <v>1.9E-2</v>
      </c>
    </row>
    <row r="86" spans="3:15" s="180" customFormat="1">
      <c r="C86" s="211">
        <f t="shared" si="22"/>
        <v>2016</v>
      </c>
      <c r="D86" s="131">
        <v>0.02</v>
      </c>
      <c r="F86" s="211">
        <f t="shared" si="20"/>
        <v>2025</v>
      </c>
      <c r="G86" s="131">
        <v>1.9E-2</v>
      </c>
      <c r="I86" s="211">
        <f t="shared" si="21"/>
        <v>2034</v>
      </c>
      <c r="J86" s="131">
        <v>1.9E-2</v>
      </c>
      <c r="N86" s="178"/>
      <c r="O86" s="178"/>
    </row>
    <row r="87" spans="3:15" s="180" customFormat="1">
      <c r="C87" s="211">
        <f t="shared" si="22"/>
        <v>2017</v>
      </c>
      <c r="D87" s="131">
        <v>0.02</v>
      </c>
      <c r="F87" s="211">
        <f t="shared" si="20"/>
        <v>2026</v>
      </c>
      <c r="G87" s="131">
        <v>1.9E-2</v>
      </c>
      <c r="I87" s="211">
        <f t="shared" si="21"/>
        <v>2035</v>
      </c>
      <c r="J87" s="131">
        <v>1.7999999999999999E-2</v>
      </c>
      <c r="N87" s="178"/>
      <c r="O87" s="178"/>
    </row>
    <row r="88" spans="3:15" s="180" customFormat="1">
      <c r="C88" s="211">
        <f t="shared" si="22"/>
        <v>2018</v>
      </c>
      <c r="D88" s="131">
        <v>1.9E-2</v>
      </c>
      <c r="F88" s="211">
        <f t="shared" si="20"/>
        <v>2027</v>
      </c>
      <c r="G88" s="131">
        <v>1.9E-2</v>
      </c>
      <c r="I88" s="211">
        <f t="shared" si="21"/>
        <v>2036</v>
      </c>
      <c r="J88" s="131">
        <v>1.9E-2</v>
      </c>
      <c r="N88" s="178"/>
      <c r="O88" s="178"/>
    </row>
    <row r="89" spans="3:15" s="180" customFormat="1">
      <c r="N89" s="178"/>
      <c r="O89" s="178"/>
    </row>
    <row r="90" spans="3:15" s="180" customFormat="1">
      <c r="N90" s="178"/>
      <c r="O90" s="178"/>
    </row>
  </sheetData>
  <phoneticPr fontId="6" type="noConversion"/>
  <printOptions horizontalCentered="1"/>
  <pageMargins left="0.52" right="0.3" top="0.4" bottom="0.4" header="0.5" footer="0.2"/>
  <pageSetup scale="66" orientation="portrait" r:id="rId1"/>
  <headerFooter alignWithMargins="0">
    <oddFooter>&amp;L&amp;8NPC Group&amp;C&amp;8Page &amp;P of &amp;N  &amp;R &amp;8&amp;D  &amp;T</oddFooter>
  </headerFooter>
  <rowBreaks count="1" manualBreakCount="1">
    <brk id="51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322"/>
  <sheetViews>
    <sheetView workbookViewId="0">
      <pane ySplit="10" topLeftCell="A11" activePane="bottomLeft" state="frozen"/>
      <selection activeCell="C30" sqref="C30"/>
      <selection pane="bottomLeft" activeCell="B40" sqref="B40"/>
    </sheetView>
  </sheetViews>
  <sheetFormatPr defaultRowHeight="12.75"/>
  <cols>
    <col min="1" max="1" width="9.33203125" style="6"/>
    <col min="2" max="3" width="39" style="6" customWidth="1"/>
    <col min="4" max="6" width="9.33203125" style="6"/>
    <col min="7" max="7" width="15" style="139" hidden="1" customWidth="1"/>
    <col min="8" max="8" width="9.33203125" style="100" hidden="1" customWidth="1"/>
    <col min="9" max="10" width="9.33203125" style="6" hidden="1" customWidth="1"/>
    <col min="11" max="11" width="11.5" style="6" hidden="1" customWidth="1"/>
    <col min="12" max="16384" width="9.33203125" style="6"/>
  </cols>
  <sheetData>
    <row r="1" spans="2:11" ht="15.75">
      <c r="B1" s="1" t="s">
        <v>76</v>
      </c>
      <c r="C1" s="1"/>
      <c r="G1" s="94"/>
    </row>
    <row r="2" spans="2:11" ht="15.75">
      <c r="B2" s="1"/>
      <c r="C2" s="1"/>
      <c r="G2" s="94"/>
    </row>
    <row r="3" spans="2:11" ht="15.75">
      <c r="B3" s="1" t="str">
        <f>"Table "&amp;RIGHT('Table 4'!B3,1)+1</f>
        <v>Table 5</v>
      </c>
      <c r="C3" s="1"/>
      <c r="G3" s="94"/>
    </row>
    <row r="4" spans="2:11" ht="15.75">
      <c r="B4" s="1" t="s">
        <v>61</v>
      </c>
      <c r="C4" s="1"/>
      <c r="G4" s="105" t="s">
        <v>60</v>
      </c>
    </row>
    <row r="5" spans="2:11" ht="15.75">
      <c r="B5" s="1" t="str">
        <f>'Table 1'!$B$5</f>
        <v>Utah 2011.Q2 Compliance Filing - 100 MW and 85% Capacity Factor</v>
      </c>
      <c r="C5" s="1"/>
      <c r="G5" s="106">
        <v>40633</v>
      </c>
    </row>
    <row r="6" spans="2:11">
      <c r="B6" s="43"/>
      <c r="C6" s="43"/>
      <c r="G6" s="94"/>
    </row>
    <row r="7" spans="2:11" ht="14.25">
      <c r="B7" s="85"/>
      <c r="C7" s="93" t="s">
        <v>55</v>
      </c>
      <c r="G7" s="94"/>
    </row>
    <row r="8" spans="2:11">
      <c r="B8" s="86"/>
      <c r="C8" s="78" t="s">
        <v>56</v>
      </c>
      <c r="G8" s="94"/>
    </row>
    <row r="9" spans="2:11">
      <c r="B9" s="86" t="s">
        <v>0</v>
      </c>
      <c r="C9" s="86" t="s">
        <v>78</v>
      </c>
      <c r="G9" s="94"/>
    </row>
    <row r="10" spans="2:11">
      <c r="B10" s="87"/>
      <c r="C10" s="88" t="s">
        <v>42</v>
      </c>
      <c r="G10" s="95"/>
      <c r="H10" s="101"/>
    </row>
    <row r="11" spans="2:11">
      <c r="C11" s="44"/>
      <c r="G11" s="95"/>
      <c r="H11" s="101"/>
    </row>
    <row r="12" spans="2:11">
      <c r="C12" s="89"/>
      <c r="G12" s="95"/>
      <c r="H12" s="101"/>
    </row>
    <row r="13" spans="2:11" ht="6" customHeight="1">
      <c r="G13" s="96"/>
      <c r="H13" s="102"/>
    </row>
    <row r="14" spans="2:11">
      <c r="B14" s="90">
        <v>2016</v>
      </c>
      <c r="C14" s="91">
        <f t="shared" ref="C14:C34" si="0">ROUND(SUMIF($I$17:$I$322,B14,$H$17:$H$322)/COUNTIF($I$17:$I$322,B14),2)</f>
        <v>6.11</v>
      </c>
      <c r="G14" s="97"/>
      <c r="H14" s="103"/>
    </row>
    <row r="15" spans="2:11" ht="13.5" thickBot="1">
      <c r="B15" s="90">
        <f t="shared" ref="B15:B24" si="1">B14+1</f>
        <v>2017</v>
      </c>
      <c r="C15" s="91">
        <f t="shared" si="0"/>
        <v>6.54</v>
      </c>
      <c r="G15" s="98"/>
      <c r="H15" s="104" t="s">
        <v>88</v>
      </c>
    </row>
    <row r="16" spans="2:11" ht="13.5" thickBot="1">
      <c r="B16" s="90">
        <f t="shared" si="1"/>
        <v>2018</v>
      </c>
      <c r="C16" s="91">
        <f t="shared" si="0"/>
        <v>6.96</v>
      </c>
      <c r="G16" s="98" t="s">
        <v>59</v>
      </c>
      <c r="H16" s="104" t="s">
        <v>56</v>
      </c>
      <c r="I16" s="9" t="s">
        <v>0</v>
      </c>
      <c r="K16" s="127" t="s">
        <v>77</v>
      </c>
    </row>
    <row r="17" spans="2:11" ht="13.5" thickBot="1">
      <c r="B17" s="90">
        <f t="shared" si="1"/>
        <v>2019</v>
      </c>
      <c r="C17" s="91">
        <f t="shared" si="0"/>
        <v>7.28</v>
      </c>
      <c r="G17" s="99">
        <v>42370</v>
      </c>
      <c r="H17" s="107">
        <v>6.3813344124505731</v>
      </c>
      <c r="I17" s="108">
        <f t="shared" ref="I17:I57" si="2">YEAR(G17)</f>
        <v>2016</v>
      </c>
      <c r="K17" s="126">
        <v>39</v>
      </c>
    </row>
    <row r="18" spans="2:11">
      <c r="B18" s="90">
        <f t="shared" si="1"/>
        <v>2020</v>
      </c>
      <c r="C18" s="91">
        <f t="shared" si="0"/>
        <v>7.37</v>
      </c>
      <c r="G18" s="99">
        <v>42401</v>
      </c>
      <c r="H18" s="107">
        <v>6.338953798033053</v>
      </c>
      <c r="I18" s="108">
        <f t="shared" si="2"/>
        <v>2016</v>
      </c>
    </row>
    <row r="19" spans="2:11">
      <c r="B19" s="90">
        <f t="shared" si="1"/>
        <v>2021</v>
      </c>
      <c r="C19" s="91">
        <f t="shared" si="0"/>
        <v>7.47</v>
      </c>
      <c r="G19" s="99">
        <v>42430</v>
      </c>
      <c r="H19" s="107">
        <v>6.2224578028997266</v>
      </c>
      <c r="I19" s="108">
        <f t="shared" si="2"/>
        <v>2016</v>
      </c>
    </row>
    <row r="20" spans="2:11">
      <c r="B20" s="90">
        <f t="shared" si="1"/>
        <v>2022</v>
      </c>
      <c r="C20" s="91">
        <f t="shared" si="0"/>
        <v>7.69</v>
      </c>
      <c r="G20" s="99">
        <v>42461</v>
      </c>
      <c r="H20" s="107">
        <v>5.9038934715603775</v>
      </c>
      <c r="I20" s="108">
        <f t="shared" si="2"/>
        <v>2016</v>
      </c>
    </row>
    <row r="21" spans="2:11">
      <c r="B21" s="90">
        <f t="shared" si="1"/>
        <v>2023</v>
      </c>
      <c r="C21" s="91">
        <f t="shared" si="0"/>
        <v>8.16</v>
      </c>
      <c r="G21" s="99">
        <v>42491</v>
      </c>
      <c r="H21" s="107">
        <v>5.844682278211498</v>
      </c>
      <c r="I21" s="108">
        <f t="shared" si="2"/>
        <v>2016</v>
      </c>
    </row>
    <row r="22" spans="2:11">
      <c r="B22" s="90">
        <f t="shared" si="1"/>
        <v>2024</v>
      </c>
      <c r="C22" s="91">
        <f t="shared" si="0"/>
        <v>8.68</v>
      </c>
      <c r="G22" s="99">
        <v>42522</v>
      </c>
      <c r="H22" s="107">
        <v>5.840525327993511</v>
      </c>
      <c r="I22" s="108">
        <f t="shared" si="2"/>
        <v>2016</v>
      </c>
    </row>
    <row r="23" spans="2:11">
      <c r="B23" s="90">
        <f t="shared" si="1"/>
        <v>2025</v>
      </c>
      <c r="C23" s="91">
        <f t="shared" si="0"/>
        <v>8.4499999999999993</v>
      </c>
      <c r="G23" s="99">
        <v>42552</v>
      </c>
      <c r="H23" s="107">
        <v>5.9681741163946063</v>
      </c>
      <c r="I23" s="108">
        <f t="shared" si="2"/>
        <v>2016</v>
      </c>
    </row>
    <row r="24" spans="2:11">
      <c r="B24" s="90">
        <f t="shared" si="1"/>
        <v>2026</v>
      </c>
      <c r="C24" s="91">
        <f t="shared" si="0"/>
        <v>7.65</v>
      </c>
      <c r="G24" s="99">
        <v>42583</v>
      </c>
      <c r="H24" s="107">
        <v>6.0336714295853193</v>
      </c>
      <c r="I24" s="108">
        <f t="shared" si="2"/>
        <v>2016</v>
      </c>
    </row>
    <row r="25" spans="2:11">
      <c r="B25" s="90">
        <f>B24+1</f>
        <v>2027</v>
      </c>
      <c r="C25" s="91">
        <f t="shared" si="0"/>
        <v>7.11</v>
      </c>
      <c r="G25" s="99">
        <v>42614</v>
      </c>
      <c r="H25" s="107">
        <v>5.9667546699787088</v>
      </c>
      <c r="I25" s="108">
        <f t="shared" si="2"/>
        <v>2016</v>
      </c>
    </row>
    <row r="26" spans="2:11">
      <c r="B26" s="90">
        <f>B25+1</f>
        <v>2028</v>
      </c>
      <c r="C26" s="91">
        <f t="shared" si="0"/>
        <v>8.0500000000000007</v>
      </c>
      <c r="G26" s="99">
        <v>42644</v>
      </c>
      <c r="H26" s="107">
        <v>6.0205922447531179</v>
      </c>
      <c r="I26" s="108">
        <f t="shared" si="2"/>
        <v>2016</v>
      </c>
    </row>
    <row r="27" spans="2:11">
      <c r="B27" s="90">
        <f>B26+1</f>
        <v>2029</v>
      </c>
      <c r="C27" s="91">
        <f t="shared" si="0"/>
        <v>8.31</v>
      </c>
      <c r="G27" s="99">
        <v>42675</v>
      </c>
      <c r="H27" s="107">
        <v>6.2519620105444593</v>
      </c>
      <c r="I27" s="108">
        <f t="shared" si="2"/>
        <v>2016</v>
      </c>
    </row>
    <row r="28" spans="2:11">
      <c r="B28" s="90">
        <f>B27+1</f>
        <v>2030</v>
      </c>
      <c r="C28" s="91">
        <f t="shared" si="0"/>
        <v>8.4499999999999993</v>
      </c>
      <c r="G28" s="99">
        <v>42705</v>
      </c>
      <c r="H28" s="107">
        <v>6.5617054962993011</v>
      </c>
      <c r="I28" s="108">
        <f t="shared" si="2"/>
        <v>2016</v>
      </c>
    </row>
    <row r="29" spans="2:11" hidden="1">
      <c r="B29" s="90">
        <f>B28+1</f>
        <v>2031</v>
      </c>
      <c r="C29" s="91">
        <f t="shared" si="0"/>
        <v>8.61</v>
      </c>
      <c r="G29" s="99">
        <v>42736</v>
      </c>
      <c r="H29" s="107">
        <v>6.771682176822468</v>
      </c>
      <c r="I29" s="108">
        <f t="shared" si="2"/>
        <v>2017</v>
      </c>
    </row>
    <row r="30" spans="2:11" hidden="1">
      <c r="B30" s="90">
        <f t="shared" ref="B30:B34" si="3">B29+1</f>
        <v>2032</v>
      </c>
      <c r="C30" s="91">
        <f t="shared" si="0"/>
        <v>8.7799999999999994</v>
      </c>
      <c r="G30" s="99">
        <v>42767</v>
      </c>
      <c r="H30" s="107">
        <v>6.7293015624049479</v>
      </c>
      <c r="I30" s="108">
        <f t="shared" si="2"/>
        <v>2017</v>
      </c>
    </row>
    <row r="31" spans="2:11" hidden="1">
      <c r="B31" s="90">
        <f t="shared" si="3"/>
        <v>2033</v>
      </c>
      <c r="C31" s="91">
        <f t="shared" si="0"/>
        <v>8.94</v>
      </c>
      <c r="G31" s="99">
        <v>42795</v>
      </c>
      <c r="H31" s="107">
        <v>6.6026666643009229</v>
      </c>
      <c r="I31" s="108">
        <f t="shared" si="2"/>
        <v>2017</v>
      </c>
    </row>
    <row r="32" spans="2:11" hidden="1">
      <c r="B32" s="90">
        <f t="shared" si="3"/>
        <v>2034</v>
      </c>
      <c r="C32" s="91">
        <f t="shared" si="0"/>
        <v>9.11</v>
      </c>
      <c r="G32" s="99">
        <v>42826</v>
      </c>
      <c r="H32" s="107">
        <v>6.2841023329615737</v>
      </c>
      <c r="I32" s="108">
        <f t="shared" si="2"/>
        <v>2017</v>
      </c>
    </row>
    <row r="33" spans="2:9" hidden="1">
      <c r="B33" s="90">
        <f t="shared" si="3"/>
        <v>2035</v>
      </c>
      <c r="C33" s="91">
        <f t="shared" si="0"/>
        <v>9.2799999999999994</v>
      </c>
      <c r="G33" s="99">
        <v>42856</v>
      </c>
      <c r="H33" s="107">
        <v>6.2990065203285006</v>
      </c>
      <c r="I33" s="108">
        <f t="shared" si="2"/>
        <v>2017</v>
      </c>
    </row>
    <row r="34" spans="2:9" hidden="1">
      <c r="B34" s="90">
        <f t="shared" si="3"/>
        <v>2036</v>
      </c>
      <c r="C34" s="91">
        <f t="shared" si="0"/>
        <v>9.4499999999999993</v>
      </c>
      <c r="G34" s="99">
        <v>42887</v>
      </c>
      <c r="H34" s="107">
        <v>6.3092468123289063</v>
      </c>
      <c r="I34" s="108">
        <f t="shared" si="2"/>
        <v>2017</v>
      </c>
    </row>
    <row r="35" spans="2:9">
      <c r="G35" s="99">
        <v>42917</v>
      </c>
      <c r="H35" s="107">
        <v>6.3909663702727366</v>
      </c>
      <c r="I35" s="108">
        <f t="shared" si="2"/>
        <v>2017</v>
      </c>
    </row>
    <row r="36" spans="2:9">
      <c r="G36" s="99">
        <v>42948</v>
      </c>
      <c r="H36" s="107">
        <v>6.4394303264726753</v>
      </c>
      <c r="I36" s="108">
        <f t="shared" si="2"/>
        <v>2017</v>
      </c>
    </row>
    <row r="37" spans="2:9">
      <c r="G37" s="99">
        <v>42979</v>
      </c>
      <c r="H37" s="107">
        <v>6.4163136276994823</v>
      </c>
      <c r="I37" s="108">
        <f t="shared" si="2"/>
        <v>2017</v>
      </c>
    </row>
    <row r="38" spans="2:9">
      <c r="G38" s="99">
        <v>43009</v>
      </c>
      <c r="H38" s="107">
        <v>6.4610261898002639</v>
      </c>
      <c r="I38" s="108">
        <f t="shared" si="2"/>
        <v>2017</v>
      </c>
    </row>
    <row r="39" spans="2:9">
      <c r="G39" s="99">
        <v>43040</v>
      </c>
      <c r="H39" s="107">
        <v>6.7613404957923553</v>
      </c>
      <c r="I39" s="108">
        <f t="shared" si="2"/>
        <v>2017</v>
      </c>
    </row>
    <row r="40" spans="2:9">
      <c r="G40" s="99">
        <v>43070</v>
      </c>
      <c r="H40" s="107">
        <v>6.9586435476021498</v>
      </c>
      <c r="I40" s="108">
        <f t="shared" si="2"/>
        <v>2017</v>
      </c>
    </row>
    <row r="41" spans="2:9">
      <c r="G41" s="99">
        <v>43101</v>
      </c>
      <c r="H41" s="107">
        <v>7.1421576913717937</v>
      </c>
      <c r="I41" s="108">
        <f t="shared" si="2"/>
        <v>2018</v>
      </c>
    </row>
    <row r="42" spans="2:9">
      <c r="G42" s="99">
        <v>43132</v>
      </c>
      <c r="H42" s="107">
        <v>7.1333368457872863</v>
      </c>
      <c r="I42" s="108">
        <f t="shared" si="2"/>
        <v>2018</v>
      </c>
    </row>
    <row r="43" spans="2:9">
      <c r="G43" s="99">
        <v>43160</v>
      </c>
      <c r="H43" s="107">
        <v>7.005688057386191</v>
      </c>
      <c r="I43" s="108">
        <f t="shared" si="2"/>
        <v>2018</v>
      </c>
    </row>
    <row r="44" spans="2:9">
      <c r="G44" s="99">
        <v>43191</v>
      </c>
      <c r="H44" s="107">
        <v>6.7096320906417928</v>
      </c>
      <c r="I44" s="108">
        <f t="shared" si="2"/>
        <v>2018</v>
      </c>
    </row>
    <row r="45" spans="2:9">
      <c r="G45" s="99">
        <v>43221</v>
      </c>
      <c r="H45" s="107">
        <v>6.7533307624455041</v>
      </c>
      <c r="I45" s="108">
        <f t="shared" si="2"/>
        <v>2018</v>
      </c>
    </row>
    <row r="46" spans="2:9">
      <c r="G46" s="99">
        <v>43252</v>
      </c>
      <c r="H46" s="107">
        <v>6.7780696856940086</v>
      </c>
      <c r="I46" s="108">
        <f t="shared" si="2"/>
        <v>2018</v>
      </c>
    </row>
    <row r="47" spans="2:9">
      <c r="G47" s="99">
        <v>43282</v>
      </c>
      <c r="H47" s="107">
        <v>6.813758624150867</v>
      </c>
      <c r="I47" s="108">
        <f t="shared" si="2"/>
        <v>2018</v>
      </c>
    </row>
    <row r="48" spans="2:9">
      <c r="G48" s="99">
        <v>43313</v>
      </c>
      <c r="H48" s="107">
        <v>6.8452906123897401</v>
      </c>
      <c r="I48" s="108">
        <f t="shared" si="2"/>
        <v>2018</v>
      </c>
    </row>
    <row r="49" spans="7:9">
      <c r="G49" s="99">
        <v>43344</v>
      </c>
      <c r="H49" s="107">
        <v>6.8658725854202576</v>
      </c>
      <c r="I49" s="108">
        <f t="shared" si="2"/>
        <v>2018</v>
      </c>
    </row>
    <row r="50" spans="7:9">
      <c r="G50" s="99">
        <v>43374</v>
      </c>
      <c r="H50" s="107">
        <v>6.9013587458177028</v>
      </c>
      <c r="I50" s="108">
        <f t="shared" si="2"/>
        <v>2018</v>
      </c>
    </row>
    <row r="51" spans="7:9">
      <c r="G51" s="99">
        <v>43405</v>
      </c>
      <c r="H51" s="107">
        <v>7.2707189810402522</v>
      </c>
      <c r="I51" s="108">
        <f t="shared" si="2"/>
        <v>2018</v>
      </c>
    </row>
    <row r="52" spans="7:9">
      <c r="G52" s="99">
        <v>43435</v>
      </c>
      <c r="H52" s="107">
        <v>7.3556829879347063</v>
      </c>
      <c r="I52" s="108">
        <f t="shared" si="2"/>
        <v>2018</v>
      </c>
    </row>
    <row r="53" spans="7:9">
      <c r="G53" s="99">
        <v>43466</v>
      </c>
      <c r="H53" s="107">
        <v>7.5126332059211203</v>
      </c>
      <c r="I53" s="108">
        <f t="shared" si="2"/>
        <v>2019</v>
      </c>
    </row>
    <row r="54" spans="7:9">
      <c r="G54" s="99">
        <v>43497</v>
      </c>
      <c r="H54" s="107">
        <v>7.5374735181993309</v>
      </c>
      <c r="I54" s="108">
        <f t="shared" si="2"/>
        <v>2019</v>
      </c>
    </row>
    <row r="55" spans="7:9">
      <c r="G55" s="99">
        <v>43525</v>
      </c>
      <c r="H55" s="107">
        <v>7.4086080614417531</v>
      </c>
      <c r="I55" s="108">
        <f t="shared" si="2"/>
        <v>2019</v>
      </c>
    </row>
    <row r="56" spans="7:9">
      <c r="G56" s="99">
        <v>43556</v>
      </c>
      <c r="H56" s="107">
        <v>7.1351618483220118</v>
      </c>
      <c r="I56" s="108">
        <f t="shared" si="2"/>
        <v>2019</v>
      </c>
    </row>
    <row r="57" spans="7:9">
      <c r="G57" s="99">
        <v>43586</v>
      </c>
      <c r="H57" s="107">
        <v>7.1273548930345747</v>
      </c>
      <c r="I57" s="108">
        <f t="shared" si="2"/>
        <v>2019</v>
      </c>
    </row>
    <row r="58" spans="7:9">
      <c r="G58" s="99">
        <v>43617</v>
      </c>
      <c r="H58" s="107">
        <v>7.1165062668559269</v>
      </c>
      <c r="I58" s="108">
        <f t="shared" ref="I58:I104" si="4">YEAR(G58)</f>
        <v>2019</v>
      </c>
    </row>
    <row r="59" spans="7:9">
      <c r="G59" s="99">
        <v>43647</v>
      </c>
      <c r="H59" s="107">
        <v>7.1492549234512826</v>
      </c>
      <c r="I59" s="108">
        <f t="shared" si="4"/>
        <v>2019</v>
      </c>
    </row>
    <row r="60" spans="7:9">
      <c r="G60" s="99">
        <v>43678</v>
      </c>
      <c r="H60" s="107">
        <v>7.182206358106054</v>
      </c>
      <c r="I60" s="108">
        <f t="shared" si="4"/>
        <v>2019</v>
      </c>
    </row>
    <row r="61" spans="7:9">
      <c r="G61" s="99">
        <v>43709</v>
      </c>
      <c r="H61" s="107">
        <v>7.1572646567981346</v>
      </c>
      <c r="I61" s="108">
        <f t="shared" si="4"/>
        <v>2019</v>
      </c>
    </row>
    <row r="62" spans="7:9">
      <c r="G62" s="99">
        <v>43739</v>
      </c>
      <c r="H62" s="107">
        <v>7.1933591513738211</v>
      </c>
      <c r="I62" s="108">
        <f t="shared" si="4"/>
        <v>2019</v>
      </c>
    </row>
    <row r="63" spans="7:9">
      <c r="G63" s="99">
        <v>43770</v>
      </c>
      <c r="H63" s="107">
        <v>7.3858969187873873</v>
      </c>
      <c r="I63" s="108">
        <f t="shared" si="4"/>
        <v>2019</v>
      </c>
    </row>
    <row r="64" spans="7:9">
      <c r="G64" s="99">
        <v>43800</v>
      </c>
      <c r="H64" s="107">
        <v>7.4796817712663488</v>
      </c>
      <c r="I64" s="108">
        <f t="shared" si="4"/>
        <v>2019</v>
      </c>
    </row>
    <row r="65" spans="7:9">
      <c r="G65" s="99">
        <v>43831</v>
      </c>
      <c r="H65" s="107">
        <v>7.5991180482611789</v>
      </c>
      <c r="I65" s="108">
        <f t="shared" si="4"/>
        <v>2020</v>
      </c>
    </row>
    <row r="66" spans="7:9">
      <c r="G66" s="99">
        <v>43862</v>
      </c>
      <c r="H66" s="107">
        <v>7.6151375149548821</v>
      </c>
      <c r="I66" s="108">
        <f t="shared" si="4"/>
        <v>2020</v>
      </c>
    </row>
    <row r="67" spans="7:9">
      <c r="G67" s="99">
        <v>43891</v>
      </c>
      <c r="H67" s="107">
        <v>7.5355471266348983</v>
      </c>
      <c r="I67" s="108">
        <f t="shared" si="4"/>
        <v>2020</v>
      </c>
    </row>
    <row r="68" spans="7:9">
      <c r="G68" s="99">
        <v>43922</v>
      </c>
      <c r="H68" s="107">
        <v>7.2769037118523778</v>
      </c>
      <c r="I68" s="108">
        <f t="shared" si="4"/>
        <v>2020</v>
      </c>
    </row>
    <row r="69" spans="7:9">
      <c r="G69" s="99">
        <v>43952</v>
      </c>
      <c r="H69" s="107">
        <v>7.2633175818716422</v>
      </c>
      <c r="I69" s="108">
        <f t="shared" si="4"/>
        <v>2020</v>
      </c>
    </row>
    <row r="70" spans="7:9">
      <c r="G70" s="99">
        <v>43983</v>
      </c>
      <c r="H70" s="107">
        <v>7.3004259667443989</v>
      </c>
      <c r="I70" s="108">
        <f t="shared" si="4"/>
        <v>2020</v>
      </c>
    </row>
    <row r="71" spans="7:9">
      <c r="G71" s="99">
        <v>44013</v>
      </c>
      <c r="H71" s="107">
        <v>7.3613607735982969</v>
      </c>
      <c r="I71" s="108">
        <f t="shared" si="4"/>
        <v>2020</v>
      </c>
    </row>
    <row r="72" spans="7:9">
      <c r="G72" s="99">
        <v>44044</v>
      </c>
      <c r="H72" s="107">
        <v>7.3604482723309346</v>
      </c>
      <c r="I72" s="108">
        <f t="shared" si="4"/>
        <v>2020</v>
      </c>
    </row>
    <row r="73" spans="7:9">
      <c r="G73" s="99">
        <v>44075</v>
      </c>
      <c r="H73" s="107">
        <v>7.1605091057487575</v>
      </c>
      <c r="I73" s="108">
        <f t="shared" si="4"/>
        <v>2020</v>
      </c>
    </row>
    <row r="74" spans="7:9">
      <c r="G74" s="99">
        <v>44105</v>
      </c>
      <c r="H74" s="107">
        <v>7.1982258247997573</v>
      </c>
      <c r="I74" s="108">
        <f t="shared" si="4"/>
        <v>2020</v>
      </c>
    </row>
    <row r="75" spans="7:9">
      <c r="G75" s="99">
        <v>44136</v>
      </c>
      <c r="H75" s="107">
        <v>7.3765691280543448</v>
      </c>
      <c r="I75" s="108">
        <f t="shared" si="4"/>
        <v>2020</v>
      </c>
    </row>
    <row r="76" spans="7:9">
      <c r="G76" s="99">
        <v>44166</v>
      </c>
      <c r="H76" s="107">
        <v>7.434665042076448</v>
      </c>
      <c r="I76" s="108">
        <f t="shared" si="4"/>
        <v>2020</v>
      </c>
    </row>
    <row r="77" spans="7:9">
      <c r="G77" s="99">
        <v>44197</v>
      </c>
      <c r="H77" s="107">
        <v>7.6057083351921326</v>
      </c>
      <c r="I77" s="108">
        <f t="shared" si="4"/>
        <v>2021</v>
      </c>
    </row>
    <row r="78" spans="7:9">
      <c r="G78" s="99">
        <v>44228</v>
      </c>
      <c r="H78" s="107">
        <v>7.649711174084965</v>
      </c>
      <c r="I78" s="108">
        <f t="shared" si="4"/>
        <v>2021</v>
      </c>
    </row>
    <row r="79" spans="7:9">
      <c r="G79" s="99">
        <v>44256</v>
      </c>
      <c r="H79" s="107">
        <v>7.5984083250532297</v>
      </c>
      <c r="I79" s="108">
        <f t="shared" si="4"/>
        <v>2021</v>
      </c>
    </row>
    <row r="80" spans="7:9">
      <c r="G80" s="99">
        <v>44287</v>
      </c>
      <c r="H80" s="107">
        <v>7.3129982064280643</v>
      </c>
      <c r="I80" s="108">
        <f t="shared" si="4"/>
        <v>2021</v>
      </c>
    </row>
    <row r="81" spans="7:9">
      <c r="G81" s="99">
        <v>44317</v>
      </c>
      <c r="H81" s="107">
        <v>7.3378385187062758</v>
      </c>
      <c r="I81" s="108">
        <f t="shared" si="4"/>
        <v>2021</v>
      </c>
    </row>
    <row r="82" spans="7:9">
      <c r="G82" s="99">
        <v>44348</v>
      </c>
      <c r="H82" s="107">
        <v>7.3801177440940897</v>
      </c>
      <c r="I82" s="108">
        <f t="shared" si="4"/>
        <v>2021</v>
      </c>
    </row>
    <row r="83" spans="7:9">
      <c r="G83" s="99">
        <v>44378</v>
      </c>
      <c r="H83" s="107">
        <v>7.4199636327689351</v>
      </c>
      <c r="I83" s="108">
        <f t="shared" si="4"/>
        <v>2021</v>
      </c>
    </row>
    <row r="84" spans="7:9">
      <c r="G84" s="99">
        <v>44409</v>
      </c>
      <c r="H84" s="107">
        <v>7.4329414285714295</v>
      </c>
      <c r="I84" s="108">
        <f t="shared" si="4"/>
        <v>2021</v>
      </c>
    </row>
    <row r="85" spans="7:9">
      <c r="G85" s="99">
        <v>44440</v>
      </c>
      <c r="H85" s="107">
        <v>7.3586232697962082</v>
      </c>
      <c r="I85" s="108">
        <f t="shared" si="4"/>
        <v>2021</v>
      </c>
    </row>
    <row r="86" spans="7:9">
      <c r="G86" s="99">
        <v>44470</v>
      </c>
      <c r="H86" s="107">
        <v>7.3909663702727366</v>
      </c>
      <c r="I86" s="108">
        <f t="shared" si="4"/>
        <v>2021</v>
      </c>
    </row>
    <row r="87" spans="7:9">
      <c r="G87" s="99">
        <v>44501</v>
      </c>
      <c r="H87" s="107">
        <v>7.5240901662780084</v>
      </c>
      <c r="I87" s="108">
        <f t="shared" si="4"/>
        <v>2021</v>
      </c>
    </row>
    <row r="88" spans="7:9">
      <c r="G88" s="99">
        <v>44531</v>
      </c>
      <c r="H88" s="107">
        <v>7.5908041478252057</v>
      </c>
      <c r="I88" s="108">
        <f t="shared" si="4"/>
        <v>2021</v>
      </c>
    </row>
    <row r="89" spans="7:9">
      <c r="G89" s="99">
        <v>44562</v>
      </c>
      <c r="H89" s="107">
        <v>7.7748252367433848</v>
      </c>
      <c r="I89" s="108">
        <f t="shared" si="4"/>
        <v>2022</v>
      </c>
    </row>
    <row r="90" spans="7:9">
      <c r="G90" s="99">
        <v>44593</v>
      </c>
      <c r="H90" s="107">
        <v>7.8223766916759603</v>
      </c>
      <c r="I90" s="108">
        <f t="shared" si="4"/>
        <v>2022</v>
      </c>
    </row>
    <row r="91" spans="7:9">
      <c r="G91" s="99">
        <v>44621</v>
      </c>
      <c r="H91" s="107">
        <v>7.6784042694920416</v>
      </c>
      <c r="I91" s="108">
        <f t="shared" si="4"/>
        <v>2022</v>
      </c>
    </row>
    <row r="92" spans="7:9">
      <c r="G92" s="99">
        <v>44652</v>
      </c>
      <c r="H92" s="107">
        <v>7.4889081729696843</v>
      </c>
      <c r="I92" s="108">
        <f t="shared" si="4"/>
        <v>2022</v>
      </c>
    </row>
    <row r="93" spans="7:9">
      <c r="G93" s="99">
        <v>44682</v>
      </c>
      <c r="H93" s="107">
        <v>7.5177026574064687</v>
      </c>
      <c r="I93" s="108">
        <f t="shared" si="4"/>
        <v>2022</v>
      </c>
    </row>
    <row r="94" spans="7:9">
      <c r="G94" s="99">
        <v>44713</v>
      </c>
      <c r="H94" s="107">
        <v>7.5665721697252355</v>
      </c>
      <c r="I94" s="108">
        <f t="shared" si="4"/>
        <v>2022</v>
      </c>
    </row>
    <row r="95" spans="7:9">
      <c r="G95" s="99">
        <v>44743</v>
      </c>
      <c r="H95" s="107">
        <v>7.6324750390347766</v>
      </c>
      <c r="I95" s="108">
        <f t="shared" si="4"/>
        <v>2022</v>
      </c>
    </row>
    <row r="96" spans="7:9">
      <c r="G96" s="99">
        <v>44774</v>
      </c>
      <c r="H96" s="107">
        <v>7.6752612095711248</v>
      </c>
      <c r="I96" s="108">
        <f t="shared" si="4"/>
        <v>2022</v>
      </c>
    </row>
    <row r="97" spans="7:9">
      <c r="G97" s="99">
        <v>44805</v>
      </c>
      <c r="H97" s="107">
        <v>7.6106763976477749</v>
      </c>
      <c r="I97" s="108">
        <f t="shared" si="4"/>
        <v>2022</v>
      </c>
    </row>
    <row r="98" spans="7:9">
      <c r="G98" s="99">
        <v>44835</v>
      </c>
      <c r="H98" s="107">
        <v>7.6542736804217784</v>
      </c>
      <c r="I98" s="108">
        <f t="shared" si="4"/>
        <v>2022</v>
      </c>
    </row>
    <row r="99" spans="7:9">
      <c r="G99" s="99">
        <v>44866</v>
      </c>
      <c r="H99" s="107">
        <v>7.8820948301733758</v>
      </c>
      <c r="I99" s="108">
        <f t="shared" si="4"/>
        <v>2022</v>
      </c>
    </row>
    <row r="100" spans="7:9">
      <c r="G100" s="99">
        <v>44896</v>
      </c>
      <c r="H100" s="107">
        <v>7.9665518919192948</v>
      </c>
      <c r="I100" s="108">
        <f t="shared" si="4"/>
        <v>2022</v>
      </c>
    </row>
    <row r="101" spans="7:9">
      <c r="G101" s="99">
        <v>44927</v>
      </c>
      <c r="H101" s="107">
        <v>8.162232719253776</v>
      </c>
      <c r="I101" s="108">
        <f t="shared" si="4"/>
        <v>2023</v>
      </c>
    </row>
    <row r="102" spans="7:9">
      <c r="G102" s="99">
        <v>44958</v>
      </c>
      <c r="H102" s="107">
        <v>8.2088716729189901</v>
      </c>
      <c r="I102" s="108">
        <f t="shared" si="4"/>
        <v>2023</v>
      </c>
    </row>
    <row r="103" spans="7:9">
      <c r="G103" s="99">
        <v>44986</v>
      </c>
      <c r="H103" s="107">
        <v>8.108902089627902</v>
      </c>
      <c r="I103" s="108">
        <f t="shared" si="4"/>
        <v>2023</v>
      </c>
    </row>
    <row r="104" spans="7:9">
      <c r="G104" s="99">
        <v>45017</v>
      </c>
      <c r="H104" s="107">
        <v>7.9224476639967554</v>
      </c>
      <c r="I104" s="108">
        <f t="shared" si="4"/>
        <v>2023</v>
      </c>
    </row>
    <row r="105" spans="7:9">
      <c r="G105" s="99">
        <v>45047</v>
      </c>
      <c r="H105" s="107">
        <v>7.9772991290682347</v>
      </c>
      <c r="I105" s="108">
        <f t="shared" ref="I105:I168" si="5">YEAR(G105)</f>
        <v>2023</v>
      </c>
    </row>
    <row r="106" spans="7:9">
      <c r="G106" s="99">
        <v>45078</v>
      </c>
      <c r="H106" s="107">
        <v>8.0235325266146198</v>
      </c>
      <c r="I106" s="108">
        <f t="shared" si="5"/>
        <v>2023</v>
      </c>
    </row>
    <row r="107" spans="7:9">
      <c r="G107" s="99">
        <v>45108</v>
      </c>
      <c r="H107" s="107">
        <v>8.0676367545371601</v>
      </c>
      <c r="I107" s="108">
        <f t="shared" si="5"/>
        <v>2023</v>
      </c>
    </row>
    <row r="108" spans="7:9">
      <c r="G108" s="99">
        <v>45139</v>
      </c>
      <c r="H108" s="107">
        <v>8.1112340373111635</v>
      </c>
      <c r="I108" s="108">
        <f t="shared" si="5"/>
        <v>2023</v>
      </c>
    </row>
    <row r="109" spans="7:9">
      <c r="G109" s="99">
        <v>45170</v>
      </c>
      <c r="H109" s="107">
        <v>8.1272535040048659</v>
      </c>
      <c r="I109" s="108">
        <f t="shared" si="5"/>
        <v>2023</v>
      </c>
    </row>
    <row r="110" spans="7:9">
      <c r="G110" s="99">
        <v>45200</v>
      </c>
      <c r="H110" s="107">
        <v>8.1838285825813646</v>
      </c>
      <c r="I110" s="108">
        <f t="shared" si="5"/>
        <v>2023</v>
      </c>
    </row>
    <row r="111" spans="7:9">
      <c r="G111" s="99">
        <v>45231</v>
      </c>
      <c r="H111" s="107">
        <v>8.44673033661158</v>
      </c>
      <c r="I111" s="108">
        <f t="shared" si="5"/>
        <v>2023</v>
      </c>
    </row>
    <row r="112" spans="7:9">
      <c r="G112" s="99">
        <v>45261</v>
      </c>
      <c r="H112" s="107">
        <v>8.5240901662780093</v>
      </c>
      <c r="I112" s="108">
        <f t="shared" si="5"/>
        <v>2023</v>
      </c>
    </row>
    <row r="113" spans="7:9">
      <c r="G113" s="99">
        <v>45292</v>
      </c>
      <c r="H113" s="107">
        <v>8.7333571235932279</v>
      </c>
      <c r="I113" s="108">
        <f t="shared" si="5"/>
        <v>2024</v>
      </c>
    </row>
    <row r="114" spans="7:9">
      <c r="G114" s="99">
        <v>45323</v>
      </c>
      <c r="H114" s="107">
        <v>8.7866877532191037</v>
      </c>
      <c r="I114" s="108">
        <f t="shared" si="5"/>
        <v>2024</v>
      </c>
    </row>
    <row r="115" spans="7:9">
      <c r="G115" s="99">
        <v>45352</v>
      </c>
      <c r="H115" s="107">
        <v>8.6725237057690361</v>
      </c>
      <c r="I115" s="108">
        <f t="shared" si="5"/>
        <v>2024</v>
      </c>
    </row>
    <row r="116" spans="7:9">
      <c r="G116" s="99">
        <v>45383</v>
      </c>
      <c r="H116" s="107">
        <v>8.462242858156749</v>
      </c>
      <c r="I116" s="108">
        <f t="shared" si="5"/>
        <v>2024</v>
      </c>
    </row>
    <row r="117" spans="7:9">
      <c r="G117" s="99">
        <v>45413</v>
      </c>
      <c r="H117" s="107">
        <v>8.5122276498022913</v>
      </c>
      <c r="I117" s="108">
        <f t="shared" si="5"/>
        <v>2024</v>
      </c>
    </row>
    <row r="118" spans="7:9">
      <c r="G118" s="99">
        <v>45444</v>
      </c>
      <c r="H118" s="107">
        <v>8.5620096633884213</v>
      </c>
      <c r="I118" s="108">
        <f t="shared" si="5"/>
        <v>2024</v>
      </c>
    </row>
    <row r="119" spans="7:9">
      <c r="G119" s="99">
        <v>45474</v>
      </c>
      <c r="H119" s="107">
        <v>8.6419042187975261</v>
      </c>
      <c r="I119" s="108">
        <f t="shared" si="5"/>
        <v>2024</v>
      </c>
    </row>
    <row r="120" spans="7:9">
      <c r="G120" s="99">
        <v>45505</v>
      </c>
      <c r="H120" s="107">
        <v>8.6775931572543854</v>
      </c>
      <c r="I120" s="108">
        <f t="shared" si="5"/>
        <v>2024</v>
      </c>
    </row>
    <row r="121" spans="7:9">
      <c r="G121" s="99">
        <v>45536</v>
      </c>
      <c r="H121" s="107">
        <v>8.6539695133326582</v>
      </c>
      <c r="I121" s="108">
        <f t="shared" si="5"/>
        <v>2024</v>
      </c>
    </row>
    <row r="122" spans="7:9">
      <c r="G122" s="99">
        <v>45566</v>
      </c>
      <c r="H122" s="107">
        <v>8.6965529058095914</v>
      </c>
      <c r="I122" s="108">
        <f t="shared" si="5"/>
        <v>2024</v>
      </c>
    </row>
    <row r="123" spans="7:9">
      <c r="G123" s="99">
        <v>45597</v>
      </c>
      <c r="H123" s="107">
        <v>8.8526920115583501</v>
      </c>
      <c r="I123" s="108">
        <f t="shared" si="5"/>
        <v>2024</v>
      </c>
    </row>
    <row r="124" spans="7:9">
      <c r="G124" s="99">
        <v>45627</v>
      </c>
      <c r="H124" s="107">
        <v>8.962800497820135</v>
      </c>
      <c r="I124" s="108">
        <f t="shared" si="5"/>
        <v>2024</v>
      </c>
    </row>
    <row r="125" spans="7:9">
      <c r="G125" s="99">
        <v>45658</v>
      </c>
      <c r="H125" s="107">
        <v>9.1175201571529971</v>
      </c>
      <c r="I125" s="108">
        <f t="shared" si="5"/>
        <v>2025</v>
      </c>
    </row>
    <row r="126" spans="7:9">
      <c r="G126" s="99">
        <v>45689</v>
      </c>
      <c r="H126" s="107">
        <v>9.1708507867788711</v>
      </c>
      <c r="I126" s="108">
        <f t="shared" si="5"/>
        <v>2025</v>
      </c>
    </row>
    <row r="127" spans="7:9">
      <c r="G127" s="99">
        <v>45717</v>
      </c>
      <c r="H127" s="107">
        <v>8.6655278627192551</v>
      </c>
      <c r="I127" s="108">
        <f t="shared" si="5"/>
        <v>2025</v>
      </c>
    </row>
    <row r="128" spans="7:9">
      <c r="G128" s="99">
        <v>45748</v>
      </c>
      <c r="H128" s="107">
        <v>8.162131330224069</v>
      </c>
      <c r="I128" s="108">
        <f t="shared" si="5"/>
        <v>2025</v>
      </c>
    </row>
    <row r="129" spans="7:9">
      <c r="G129" s="99">
        <v>45778</v>
      </c>
      <c r="H129" s="107">
        <v>8.1001826330731017</v>
      </c>
      <c r="I129" s="108">
        <f t="shared" si="5"/>
        <v>2025</v>
      </c>
    </row>
    <row r="130" spans="7:9">
      <c r="G130" s="99">
        <v>45809</v>
      </c>
      <c r="H130" s="107">
        <v>8.1401299107776541</v>
      </c>
      <c r="I130" s="108">
        <f t="shared" si="5"/>
        <v>2025</v>
      </c>
    </row>
    <row r="131" spans="7:9">
      <c r="G131" s="99">
        <v>45839</v>
      </c>
      <c r="H131" s="107">
        <v>8.1821049690763452</v>
      </c>
      <c r="I131" s="108">
        <f t="shared" si="5"/>
        <v>2025</v>
      </c>
    </row>
    <row r="132" spans="7:9">
      <c r="G132" s="99">
        <v>45870</v>
      </c>
      <c r="H132" s="107">
        <v>8.2247897505829872</v>
      </c>
      <c r="I132" s="108">
        <f t="shared" si="5"/>
        <v>2025</v>
      </c>
    </row>
    <row r="133" spans="7:9">
      <c r="G133" s="99">
        <v>45901</v>
      </c>
      <c r="H133" s="107">
        <v>8.1980230467403441</v>
      </c>
      <c r="I133" s="108">
        <f t="shared" si="5"/>
        <v>2025</v>
      </c>
    </row>
    <row r="134" spans="7:9">
      <c r="G134" s="99">
        <v>45931</v>
      </c>
      <c r="H134" s="107">
        <v>8.2445606113758494</v>
      </c>
      <c r="I134" s="108">
        <f t="shared" si="5"/>
        <v>2025</v>
      </c>
    </row>
    <row r="135" spans="7:9">
      <c r="G135" s="99">
        <v>45962</v>
      </c>
      <c r="H135" s="107">
        <v>8.5668763368143566</v>
      </c>
      <c r="I135" s="108">
        <f t="shared" si="5"/>
        <v>2025</v>
      </c>
    </row>
    <row r="136" spans="7:9">
      <c r="G136" s="99">
        <v>45992</v>
      </c>
      <c r="H136" s="107">
        <v>8.6242625276285096</v>
      </c>
      <c r="I136" s="108">
        <f t="shared" si="5"/>
        <v>2025</v>
      </c>
    </row>
    <row r="137" spans="7:9">
      <c r="G137" s="99">
        <v>46023</v>
      </c>
      <c r="H137" s="107">
        <v>8.8077766713981553</v>
      </c>
      <c r="I137" s="108">
        <f t="shared" si="5"/>
        <v>2026</v>
      </c>
    </row>
    <row r="138" spans="7:9">
      <c r="G138" s="99">
        <v>46054</v>
      </c>
      <c r="H138" s="107">
        <v>8.8673934208658629</v>
      </c>
      <c r="I138" s="108">
        <f t="shared" si="5"/>
        <v>2026</v>
      </c>
    </row>
    <row r="139" spans="7:9">
      <c r="G139" s="99">
        <v>46082</v>
      </c>
      <c r="H139" s="107">
        <v>7.9319782327892128</v>
      </c>
      <c r="I139" s="108">
        <f t="shared" si="5"/>
        <v>2026</v>
      </c>
    </row>
    <row r="140" spans="7:9">
      <c r="G140" s="99">
        <v>46113</v>
      </c>
      <c r="H140" s="107">
        <v>7.3383454638548118</v>
      </c>
      <c r="I140" s="108">
        <f t="shared" si="5"/>
        <v>2026</v>
      </c>
    </row>
    <row r="141" spans="7:9">
      <c r="G141" s="99">
        <v>46143</v>
      </c>
      <c r="H141" s="107">
        <v>7.2769037118523778</v>
      </c>
      <c r="I141" s="108">
        <f t="shared" si="5"/>
        <v>2026</v>
      </c>
    </row>
    <row r="142" spans="7:9">
      <c r="G142" s="99">
        <v>46174</v>
      </c>
      <c r="H142" s="107">
        <v>7.3222246081314006</v>
      </c>
      <c r="I142" s="108">
        <f t="shared" si="5"/>
        <v>2026</v>
      </c>
    </row>
    <row r="143" spans="7:9">
      <c r="G143" s="99">
        <v>46204</v>
      </c>
      <c r="H143" s="107">
        <v>7.3677482824698375</v>
      </c>
      <c r="I143" s="108">
        <f t="shared" si="5"/>
        <v>2026</v>
      </c>
    </row>
    <row r="144" spans="7:9">
      <c r="G144" s="99">
        <v>46235</v>
      </c>
      <c r="H144" s="107">
        <v>7.4102302859170646</v>
      </c>
      <c r="I144" s="108">
        <f t="shared" si="5"/>
        <v>2026</v>
      </c>
    </row>
    <row r="145" spans="7:9">
      <c r="G145" s="99">
        <v>46266</v>
      </c>
      <c r="H145" s="107">
        <v>7.3408801895974856</v>
      </c>
      <c r="I145" s="108">
        <f t="shared" si="5"/>
        <v>2026</v>
      </c>
    </row>
    <row r="146" spans="7:9">
      <c r="G146" s="99">
        <v>46296</v>
      </c>
      <c r="H146" s="107">
        <v>7.2632161928419343</v>
      </c>
      <c r="I146" s="108">
        <f t="shared" si="5"/>
        <v>2026</v>
      </c>
    </row>
    <row r="147" spans="7:9">
      <c r="G147" s="99">
        <v>46327</v>
      </c>
      <c r="H147" s="107">
        <v>7.5170943232282266</v>
      </c>
      <c r="I147" s="108">
        <f t="shared" si="5"/>
        <v>2026</v>
      </c>
    </row>
    <row r="148" spans="7:9">
      <c r="G148" s="99">
        <v>46357</v>
      </c>
      <c r="H148" s="107">
        <v>7.3589274368853292</v>
      </c>
      <c r="I148" s="108">
        <f t="shared" si="5"/>
        <v>2026</v>
      </c>
    </row>
    <row r="149" spans="7:9">
      <c r="G149" s="99">
        <v>46388</v>
      </c>
      <c r="H149" s="107">
        <v>7.0732131511710437</v>
      </c>
      <c r="I149" s="108">
        <f t="shared" si="5"/>
        <v>2027</v>
      </c>
    </row>
    <row r="150" spans="7:9">
      <c r="G150" s="99">
        <v>46419</v>
      </c>
      <c r="H150" s="107">
        <v>7.1237048879651219</v>
      </c>
      <c r="I150" s="108">
        <f t="shared" si="5"/>
        <v>2027</v>
      </c>
    </row>
    <row r="151" spans="7:9">
      <c r="G151" s="99">
        <v>46447</v>
      </c>
      <c r="H151" s="107">
        <v>7.1636521656696752</v>
      </c>
      <c r="I151" s="108">
        <f t="shared" si="5"/>
        <v>2027</v>
      </c>
    </row>
    <row r="152" spans="7:9">
      <c r="G152" s="99">
        <v>46478</v>
      </c>
      <c r="H152" s="107">
        <v>6.9113962597586944</v>
      </c>
      <c r="I152" s="108">
        <f t="shared" si="5"/>
        <v>2027</v>
      </c>
    </row>
    <row r="153" spans="7:9">
      <c r="G153" s="99">
        <v>46508</v>
      </c>
      <c r="H153" s="107">
        <v>6.8463045026868095</v>
      </c>
      <c r="I153" s="108">
        <f t="shared" si="5"/>
        <v>2027</v>
      </c>
    </row>
    <row r="154" spans="7:9">
      <c r="G154" s="99">
        <v>46539</v>
      </c>
      <c r="H154" s="107">
        <v>6.8477239491027078</v>
      </c>
      <c r="I154" s="108">
        <f t="shared" si="5"/>
        <v>2027</v>
      </c>
    </row>
    <row r="155" spans="7:9">
      <c r="G155" s="99">
        <v>46569</v>
      </c>
      <c r="H155" s="107">
        <v>6.8463045026868095</v>
      </c>
      <c r="I155" s="108">
        <f t="shared" si="5"/>
        <v>2027</v>
      </c>
    </row>
    <row r="156" spans="7:9">
      <c r="G156" s="99">
        <v>46600</v>
      </c>
      <c r="H156" s="107">
        <v>6.8540100689445405</v>
      </c>
      <c r="I156" s="108">
        <f t="shared" si="5"/>
        <v>2027</v>
      </c>
    </row>
    <row r="157" spans="7:9">
      <c r="G157" s="99">
        <v>46631</v>
      </c>
      <c r="H157" s="107">
        <v>6.8724628723512122</v>
      </c>
      <c r="I157" s="108">
        <f t="shared" si="5"/>
        <v>2027</v>
      </c>
    </row>
    <row r="158" spans="7:9">
      <c r="G158" s="99">
        <v>46661</v>
      </c>
      <c r="H158" s="107">
        <v>6.9008518006691677</v>
      </c>
      <c r="I158" s="108">
        <f t="shared" si="5"/>
        <v>2027</v>
      </c>
    </row>
    <row r="159" spans="7:9">
      <c r="G159" s="99">
        <v>46692</v>
      </c>
      <c r="H159" s="107">
        <v>7.8938559576193859</v>
      </c>
      <c r="I159" s="108">
        <f t="shared" si="5"/>
        <v>2027</v>
      </c>
    </row>
    <row r="160" spans="7:9">
      <c r="G160" s="99">
        <v>46722</v>
      </c>
      <c r="H160" s="107">
        <v>7.9512421484335398</v>
      </c>
      <c r="I160" s="108">
        <f t="shared" si="5"/>
        <v>2027</v>
      </c>
    </row>
    <row r="161" spans="7:9">
      <c r="G161" s="99">
        <v>46753</v>
      </c>
      <c r="H161" s="107">
        <v>8.1430701926391578</v>
      </c>
      <c r="I161" s="108">
        <f t="shared" si="5"/>
        <v>2028</v>
      </c>
    </row>
    <row r="162" spans="7:9">
      <c r="G162" s="99">
        <v>46784</v>
      </c>
      <c r="H162" s="107">
        <v>8.1565549335901864</v>
      </c>
      <c r="I162" s="108">
        <f t="shared" si="5"/>
        <v>2028</v>
      </c>
    </row>
    <row r="163" spans="7:9">
      <c r="G163" s="99">
        <v>46813</v>
      </c>
      <c r="H163" s="107">
        <v>8.0593228541011861</v>
      </c>
      <c r="I163" s="108">
        <f t="shared" si="5"/>
        <v>2028</v>
      </c>
    </row>
    <row r="164" spans="7:9">
      <c r="G164" s="99">
        <v>46844</v>
      </c>
      <c r="H164" s="107">
        <v>7.8853392791239987</v>
      </c>
      <c r="I164" s="108">
        <f t="shared" si="5"/>
        <v>2028</v>
      </c>
    </row>
    <row r="165" spans="7:9">
      <c r="G165" s="99">
        <v>46874</v>
      </c>
      <c r="H165" s="107">
        <v>7.8451892233600322</v>
      </c>
      <c r="I165" s="108">
        <f t="shared" si="5"/>
        <v>2028</v>
      </c>
    </row>
    <row r="166" spans="7:9">
      <c r="G166" s="99">
        <v>46905</v>
      </c>
      <c r="H166" s="107">
        <v>7.8892934512825716</v>
      </c>
      <c r="I166" s="108">
        <f t="shared" si="5"/>
        <v>2028</v>
      </c>
    </row>
    <row r="167" spans="7:9">
      <c r="G167" s="99">
        <v>46935</v>
      </c>
      <c r="H167" s="107">
        <v>7.9594546598398059</v>
      </c>
      <c r="I167" s="108">
        <f t="shared" si="5"/>
        <v>2028</v>
      </c>
    </row>
    <row r="168" spans="7:9">
      <c r="G168" s="99">
        <v>46966</v>
      </c>
      <c r="H168" s="107">
        <v>7.9962588776234407</v>
      </c>
      <c r="I168" s="108">
        <f t="shared" si="5"/>
        <v>2028</v>
      </c>
    </row>
    <row r="169" spans="7:9">
      <c r="G169" s="99">
        <v>46997</v>
      </c>
      <c r="H169" s="107">
        <v>8.0179561299807371</v>
      </c>
      <c r="I169" s="108">
        <f t="shared" ref="I169:I232" si="6">YEAR(G169)</f>
        <v>2028</v>
      </c>
    </row>
    <row r="170" spans="7:9">
      <c r="G170" s="99">
        <v>47027</v>
      </c>
      <c r="H170" s="107">
        <v>8.0521242329919911</v>
      </c>
      <c r="I170" s="108">
        <f t="shared" si="6"/>
        <v>2028</v>
      </c>
    </row>
    <row r="171" spans="7:9">
      <c r="G171" s="99">
        <v>47058</v>
      </c>
      <c r="H171" s="107">
        <v>8.2884620612389739</v>
      </c>
      <c r="I171" s="108">
        <f t="shared" si="6"/>
        <v>2028</v>
      </c>
    </row>
    <row r="172" spans="7:9">
      <c r="G172" s="99">
        <v>47088</v>
      </c>
      <c r="H172" s="107">
        <v>8.36156355165771</v>
      </c>
      <c r="I172" s="108">
        <f t="shared" si="6"/>
        <v>2028</v>
      </c>
    </row>
    <row r="173" spans="7:9">
      <c r="G173" s="99">
        <v>47119</v>
      </c>
      <c r="H173" s="107">
        <v>8.4757275991077758</v>
      </c>
      <c r="I173" s="108">
        <f t="shared" si="6"/>
        <v>2029</v>
      </c>
    </row>
    <row r="174" spans="7:9">
      <c r="G174" s="99">
        <v>47150</v>
      </c>
      <c r="H174" s="107">
        <v>8.5241915553077163</v>
      </c>
      <c r="I174" s="108">
        <f t="shared" si="6"/>
        <v>2029</v>
      </c>
    </row>
    <row r="175" spans="7:9">
      <c r="G175" s="99">
        <v>47178</v>
      </c>
      <c r="H175" s="107">
        <v>8.4720775940383248</v>
      </c>
      <c r="I175" s="108">
        <f t="shared" si="6"/>
        <v>2029</v>
      </c>
    </row>
    <row r="176" spans="7:9">
      <c r="G176" s="99">
        <v>47209</v>
      </c>
      <c r="H176" s="107">
        <v>8.1766299614721696</v>
      </c>
      <c r="I176" s="108">
        <f t="shared" si="6"/>
        <v>2029</v>
      </c>
    </row>
    <row r="177" spans="7:9">
      <c r="G177" s="99">
        <v>47239</v>
      </c>
      <c r="H177" s="107">
        <v>8.0216061350501882</v>
      </c>
      <c r="I177" s="108">
        <f t="shared" si="6"/>
        <v>2029</v>
      </c>
    </row>
    <row r="178" spans="7:9">
      <c r="G178" s="99">
        <v>47270</v>
      </c>
      <c r="H178" s="107">
        <v>8.0675353655074531</v>
      </c>
      <c r="I178" s="108">
        <f t="shared" si="6"/>
        <v>2029</v>
      </c>
    </row>
    <row r="179" spans="7:9">
      <c r="G179" s="99">
        <v>47300</v>
      </c>
      <c r="H179" s="107">
        <v>8.1166076558856322</v>
      </c>
      <c r="I179" s="108">
        <f t="shared" si="6"/>
        <v>2029</v>
      </c>
    </row>
    <row r="180" spans="7:9">
      <c r="G180" s="99">
        <v>47331</v>
      </c>
      <c r="H180" s="107">
        <v>8.1577716019466706</v>
      </c>
      <c r="I180" s="108">
        <f t="shared" si="6"/>
        <v>2029</v>
      </c>
    </row>
    <row r="181" spans="7:9">
      <c r="G181" s="99">
        <v>47362</v>
      </c>
      <c r="H181" s="107">
        <v>8.2205314113352941</v>
      </c>
      <c r="I181" s="108">
        <f t="shared" si="6"/>
        <v>2029</v>
      </c>
    </row>
    <row r="182" spans="7:9">
      <c r="G182" s="99">
        <v>47392</v>
      </c>
      <c r="H182" s="107">
        <v>8.2636217489607642</v>
      </c>
      <c r="I182" s="108">
        <f t="shared" si="6"/>
        <v>2029</v>
      </c>
    </row>
    <row r="183" spans="7:9">
      <c r="G183" s="99">
        <v>47423</v>
      </c>
      <c r="H183" s="107">
        <v>8.6076347267565652</v>
      </c>
      <c r="I183" s="108">
        <f t="shared" si="6"/>
        <v>2029</v>
      </c>
    </row>
    <row r="184" spans="7:9">
      <c r="G184" s="99">
        <v>47453</v>
      </c>
      <c r="H184" s="107">
        <v>8.6583292416100566</v>
      </c>
      <c r="I184" s="108">
        <f t="shared" si="6"/>
        <v>2029</v>
      </c>
    </row>
    <row r="185" spans="7:9">
      <c r="G185" s="99">
        <v>47484</v>
      </c>
      <c r="H185" s="107">
        <v>8.779996077258442</v>
      </c>
      <c r="I185" s="108">
        <f t="shared" si="6"/>
        <v>2030</v>
      </c>
    </row>
    <row r="186" spans="7:9">
      <c r="G186" s="99">
        <v>47515</v>
      </c>
      <c r="H186" s="107">
        <v>8.7894252570211897</v>
      </c>
      <c r="I186" s="108">
        <f t="shared" si="6"/>
        <v>2030</v>
      </c>
    </row>
    <row r="187" spans="7:9">
      <c r="G187" s="99">
        <v>47543</v>
      </c>
      <c r="H187" s="107">
        <v>8.6579236854912303</v>
      </c>
      <c r="I187" s="108">
        <f t="shared" si="6"/>
        <v>2030</v>
      </c>
    </row>
    <row r="188" spans="7:9">
      <c r="G188" s="99">
        <v>47574</v>
      </c>
      <c r="H188" s="107">
        <v>8.1370882398864453</v>
      </c>
      <c r="I188" s="108">
        <f t="shared" si="6"/>
        <v>2030</v>
      </c>
    </row>
    <row r="189" spans="7:9">
      <c r="G189" s="99">
        <v>47604</v>
      </c>
      <c r="H189" s="107">
        <v>8.0636825823785863</v>
      </c>
      <c r="I189" s="108">
        <f t="shared" si="6"/>
        <v>2030</v>
      </c>
    </row>
    <row r="190" spans="7:9">
      <c r="G190" s="99">
        <v>47635</v>
      </c>
      <c r="H190" s="107">
        <v>8.1099159799249723</v>
      </c>
      <c r="I190" s="108">
        <f t="shared" si="6"/>
        <v>2030</v>
      </c>
    </row>
    <row r="191" spans="7:9">
      <c r="G191" s="99">
        <v>47665</v>
      </c>
      <c r="H191" s="107">
        <v>8.1947785977897194</v>
      </c>
      <c r="I191" s="108">
        <f t="shared" si="6"/>
        <v>2030</v>
      </c>
    </row>
    <row r="192" spans="7:9">
      <c r="G192" s="99">
        <v>47696</v>
      </c>
      <c r="H192" s="107">
        <v>8.238984214741965</v>
      </c>
      <c r="I192" s="108">
        <f t="shared" si="6"/>
        <v>2030</v>
      </c>
    </row>
    <row r="193" spans="7:9">
      <c r="G193" s="99">
        <v>47727</v>
      </c>
      <c r="H193" s="107">
        <v>8.2655481405251958</v>
      </c>
      <c r="I193" s="108">
        <f t="shared" si="6"/>
        <v>2030</v>
      </c>
    </row>
    <row r="194" spans="7:9">
      <c r="G194" s="99">
        <v>47757</v>
      </c>
      <c r="H194" s="107">
        <v>8.3135051515765994</v>
      </c>
      <c r="I194" s="108">
        <f t="shared" si="6"/>
        <v>2030</v>
      </c>
    </row>
    <row r="195" spans="7:9">
      <c r="G195" s="99">
        <v>47788</v>
      </c>
      <c r="H195" s="107">
        <v>8.9076448656595364</v>
      </c>
      <c r="I195" s="108">
        <f t="shared" si="6"/>
        <v>2030</v>
      </c>
    </row>
    <row r="196" spans="7:9">
      <c r="G196" s="99">
        <v>47818</v>
      </c>
      <c r="H196" s="107">
        <v>8.967667171246072</v>
      </c>
      <c r="I196" s="108">
        <f t="shared" si="6"/>
        <v>2030</v>
      </c>
    </row>
    <row r="197" spans="7:9">
      <c r="G197" s="99">
        <v>47849</v>
      </c>
      <c r="H197" s="107">
        <v>8.9467810311264326</v>
      </c>
      <c r="I197" s="108">
        <f t="shared" si="6"/>
        <v>2031</v>
      </c>
    </row>
    <row r="198" spans="7:9">
      <c r="G198" s="99">
        <v>47880</v>
      </c>
      <c r="H198" s="107">
        <v>8.9563115999188891</v>
      </c>
      <c r="I198" s="108">
        <f t="shared" si="6"/>
        <v>2031</v>
      </c>
    </row>
    <row r="199" spans="7:9">
      <c r="G199" s="99">
        <v>47908</v>
      </c>
      <c r="H199" s="107">
        <v>8.8223766916759612</v>
      </c>
      <c r="I199" s="108">
        <f t="shared" si="6"/>
        <v>2031</v>
      </c>
    </row>
    <row r="200" spans="7:9">
      <c r="G200" s="99">
        <v>47939</v>
      </c>
      <c r="H200" s="107">
        <v>8.2916051211598916</v>
      </c>
      <c r="I200" s="108">
        <f t="shared" si="6"/>
        <v>2031</v>
      </c>
    </row>
    <row r="201" spans="7:9">
      <c r="G201" s="99">
        <v>47969</v>
      </c>
      <c r="H201" s="107">
        <v>8.216780017236136</v>
      </c>
      <c r="I201" s="108">
        <f t="shared" si="6"/>
        <v>2031</v>
      </c>
    </row>
    <row r="202" spans="7:9">
      <c r="G202" s="99">
        <v>48000</v>
      </c>
      <c r="H202" s="107">
        <v>8.2639259160498835</v>
      </c>
      <c r="I202" s="108">
        <f t="shared" si="6"/>
        <v>2031</v>
      </c>
    </row>
    <row r="203" spans="7:9">
      <c r="G203" s="99">
        <v>48030</v>
      </c>
      <c r="H203" s="107">
        <v>8.350410758389943</v>
      </c>
      <c r="I203" s="108">
        <f t="shared" si="6"/>
        <v>2031</v>
      </c>
    </row>
    <row r="204" spans="7:9">
      <c r="G204" s="99">
        <v>48061</v>
      </c>
      <c r="H204" s="107">
        <v>8.3954274875798429</v>
      </c>
      <c r="I204" s="108">
        <f t="shared" si="6"/>
        <v>2031</v>
      </c>
    </row>
    <row r="205" spans="7:9">
      <c r="G205" s="99">
        <v>48092</v>
      </c>
      <c r="H205" s="107">
        <v>8.4224983585116089</v>
      </c>
      <c r="I205" s="108">
        <f t="shared" si="6"/>
        <v>2031</v>
      </c>
    </row>
    <row r="206" spans="7:9">
      <c r="G206" s="99">
        <v>48122</v>
      </c>
      <c r="H206" s="107">
        <v>8.4714692598600845</v>
      </c>
      <c r="I206" s="108">
        <f t="shared" si="6"/>
        <v>2031</v>
      </c>
    </row>
    <row r="207" spans="7:9">
      <c r="G207" s="99">
        <v>48153</v>
      </c>
      <c r="H207" s="107">
        <v>9.0767617672107885</v>
      </c>
      <c r="I207" s="108">
        <f t="shared" si="6"/>
        <v>2031</v>
      </c>
    </row>
    <row r="208" spans="7:9">
      <c r="G208" s="99">
        <v>48183</v>
      </c>
      <c r="H208" s="107">
        <v>9.1380007411538067</v>
      </c>
      <c r="I208" s="108">
        <f t="shared" si="6"/>
        <v>2031</v>
      </c>
    </row>
    <row r="209" spans="7:9">
      <c r="G209" s="99">
        <v>48214</v>
      </c>
      <c r="H209" s="107">
        <v>9.116709044915341</v>
      </c>
      <c r="I209" s="108">
        <f t="shared" si="6"/>
        <v>2032</v>
      </c>
    </row>
    <row r="210" spans="7:9">
      <c r="G210" s="99">
        <v>48245</v>
      </c>
      <c r="H210" s="107">
        <v>9.1264423917672115</v>
      </c>
      <c r="I210" s="108">
        <f t="shared" si="6"/>
        <v>2032</v>
      </c>
    </row>
    <row r="211" spans="7:9">
      <c r="G211" s="99">
        <v>48274</v>
      </c>
      <c r="H211" s="107">
        <v>8.989871368751901</v>
      </c>
      <c r="I211" s="108">
        <f t="shared" si="6"/>
        <v>2032</v>
      </c>
    </row>
    <row r="212" spans="7:9">
      <c r="G212" s="99">
        <v>48305</v>
      </c>
      <c r="H212" s="107">
        <v>8.4490622842948397</v>
      </c>
      <c r="I212" s="108">
        <f t="shared" si="6"/>
        <v>2032</v>
      </c>
    </row>
    <row r="213" spans="7:9">
      <c r="G213" s="99">
        <v>48335</v>
      </c>
      <c r="H213" s="107">
        <v>8.3728177339551859</v>
      </c>
      <c r="I213" s="108">
        <f t="shared" si="6"/>
        <v>2032</v>
      </c>
    </row>
    <row r="214" spans="7:9">
      <c r="G214" s="99">
        <v>48366</v>
      </c>
      <c r="H214" s="107">
        <v>8.4207747450065913</v>
      </c>
      <c r="I214" s="108">
        <f t="shared" si="6"/>
        <v>2032</v>
      </c>
    </row>
    <row r="215" spans="7:9">
      <c r="G215" s="99">
        <v>48396</v>
      </c>
      <c r="H215" s="107">
        <v>8.5089832008516684</v>
      </c>
      <c r="I215" s="108">
        <f t="shared" si="6"/>
        <v>2032</v>
      </c>
    </row>
    <row r="216" spans="7:9">
      <c r="G216" s="99">
        <v>48427</v>
      </c>
      <c r="H216" s="107">
        <v>8.5549124313089333</v>
      </c>
      <c r="I216" s="108">
        <f t="shared" si="6"/>
        <v>2032</v>
      </c>
    </row>
    <row r="217" spans="7:9">
      <c r="G217" s="99">
        <v>48458</v>
      </c>
      <c r="H217" s="107">
        <v>8.5824902473892326</v>
      </c>
      <c r="I217" s="108">
        <f t="shared" si="6"/>
        <v>2032</v>
      </c>
    </row>
    <row r="218" spans="7:9">
      <c r="G218" s="99">
        <v>48488</v>
      </c>
      <c r="H218" s="107">
        <v>8.6322722609753626</v>
      </c>
      <c r="I218" s="108">
        <f t="shared" si="6"/>
        <v>2032</v>
      </c>
    </row>
    <row r="219" spans="7:9">
      <c r="G219" s="99">
        <v>48519</v>
      </c>
      <c r="H219" s="107">
        <v>9.2492245067423706</v>
      </c>
      <c r="I219" s="108">
        <f t="shared" si="6"/>
        <v>2032</v>
      </c>
    </row>
    <row r="220" spans="7:9">
      <c r="G220" s="99">
        <v>48549</v>
      </c>
      <c r="H220" s="107">
        <v>9.3114773709824608</v>
      </c>
      <c r="I220" s="108">
        <f t="shared" si="6"/>
        <v>2032</v>
      </c>
    </row>
    <row r="221" spans="7:9">
      <c r="G221" s="99">
        <v>48580</v>
      </c>
      <c r="H221" s="107">
        <v>9.2897801186251652</v>
      </c>
      <c r="I221" s="108">
        <f t="shared" si="6"/>
        <v>2033</v>
      </c>
    </row>
    <row r="222" spans="7:9">
      <c r="G222" s="99">
        <v>48611</v>
      </c>
      <c r="H222" s="107">
        <v>9.2997162435364498</v>
      </c>
      <c r="I222" s="108">
        <f t="shared" si="6"/>
        <v>2033</v>
      </c>
    </row>
    <row r="223" spans="7:9">
      <c r="G223" s="99">
        <v>48639</v>
      </c>
      <c r="H223" s="107">
        <v>9.1606104947784655</v>
      </c>
      <c r="I223" s="108">
        <f t="shared" si="6"/>
        <v>2033</v>
      </c>
    </row>
    <row r="224" spans="7:9">
      <c r="G224" s="99">
        <v>48670</v>
      </c>
      <c r="H224" s="107">
        <v>8.6095611183209968</v>
      </c>
      <c r="I224" s="108">
        <f t="shared" si="6"/>
        <v>2033</v>
      </c>
    </row>
    <row r="225" spans="7:9">
      <c r="G225" s="99">
        <v>48700</v>
      </c>
      <c r="H225" s="107">
        <v>8.5318971215654464</v>
      </c>
      <c r="I225" s="108">
        <f t="shared" si="6"/>
        <v>2033</v>
      </c>
    </row>
    <row r="226" spans="7:9">
      <c r="G226" s="99">
        <v>48731</v>
      </c>
      <c r="H226" s="107">
        <v>8.5807666338842132</v>
      </c>
      <c r="I226" s="108">
        <f t="shared" si="6"/>
        <v>2033</v>
      </c>
    </row>
    <row r="227" spans="7:9">
      <c r="G227" s="99">
        <v>48761</v>
      </c>
      <c r="H227" s="107">
        <v>8.6705973142046027</v>
      </c>
      <c r="I227" s="108">
        <f t="shared" si="6"/>
        <v>2033</v>
      </c>
    </row>
    <row r="228" spans="7:9">
      <c r="G228" s="99">
        <v>48792</v>
      </c>
      <c r="H228" s="107">
        <v>8.7173376568995238</v>
      </c>
      <c r="I228" s="108">
        <f t="shared" si="6"/>
        <v>2033</v>
      </c>
    </row>
    <row r="229" spans="7:9">
      <c r="G229" s="99">
        <v>48823</v>
      </c>
      <c r="H229" s="107">
        <v>8.7454224181283582</v>
      </c>
      <c r="I229" s="108">
        <f t="shared" si="6"/>
        <v>2033</v>
      </c>
    </row>
    <row r="230" spans="7:9">
      <c r="G230" s="99">
        <v>48853</v>
      </c>
      <c r="H230" s="107">
        <v>8.7962183220115584</v>
      </c>
      <c r="I230" s="108">
        <f t="shared" si="6"/>
        <v>2033</v>
      </c>
    </row>
    <row r="231" spans="7:9">
      <c r="G231" s="99">
        <v>48884</v>
      </c>
      <c r="H231" s="107">
        <v>9.4248303061948704</v>
      </c>
      <c r="I231" s="108">
        <f t="shared" si="6"/>
        <v>2033</v>
      </c>
    </row>
    <row r="232" spans="7:9">
      <c r="G232" s="99">
        <v>48914</v>
      </c>
      <c r="H232" s="107">
        <v>9.488299838791443</v>
      </c>
      <c r="I232" s="108">
        <f t="shared" si="6"/>
        <v>2033</v>
      </c>
    </row>
    <row r="233" spans="7:9">
      <c r="G233" s="99">
        <v>48945</v>
      </c>
      <c r="H233" s="107">
        <v>9.4661970303153211</v>
      </c>
      <c r="I233" s="108">
        <f t="shared" ref="I233:I268" si="7">YEAR(G233)</f>
        <v>2034</v>
      </c>
    </row>
    <row r="234" spans="7:9">
      <c r="G234" s="99">
        <v>48976</v>
      </c>
      <c r="H234" s="107">
        <v>9.4763359332860198</v>
      </c>
      <c r="I234" s="108">
        <f t="shared" si="7"/>
        <v>2034</v>
      </c>
    </row>
    <row r="235" spans="7:9">
      <c r="G235" s="99">
        <v>49004</v>
      </c>
      <c r="H235" s="107">
        <v>9.3345940697556529</v>
      </c>
      <c r="I235" s="108">
        <f t="shared" si="7"/>
        <v>2034</v>
      </c>
    </row>
    <row r="236" spans="7:9">
      <c r="G236" s="99">
        <v>49035</v>
      </c>
      <c r="H236" s="107">
        <v>8.7731016232383663</v>
      </c>
      <c r="I236" s="108">
        <f t="shared" si="7"/>
        <v>2034</v>
      </c>
    </row>
    <row r="237" spans="7:9">
      <c r="G237" s="99">
        <v>49065</v>
      </c>
      <c r="H237" s="107">
        <v>8.6939167910372088</v>
      </c>
      <c r="I237" s="108">
        <f t="shared" si="7"/>
        <v>2034</v>
      </c>
    </row>
    <row r="238" spans="7:9">
      <c r="G238" s="99">
        <v>49096</v>
      </c>
      <c r="H238" s="107">
        <v>8.7436988046233406</v>
      </c>
      <c r="I238" s="108">
        <f t="shared" si="7"/>
        <v>2034</v>
      </c>
    </row>
    <row r="239" spans="7:9">
      <c r="G239" s="99">
        <v>49126</v>
      </c>
      <c r="H239" s="107">
        <v>8.8352530984487476</v>
      </c>
      <c r="I239" s="108">
        <f t="shared" si="7"/>
        <v>2034</v>
      </c>
    </row>
    <row r="240" spans="7:9">
      <c r="G240" s="99">
        <v>49157</v>
      </c>
      <c r="H240" s="107">
        <v>8.8829059424110319</v>
      </c>
      <c r="I240" s="108">
        <f t="shared" si="7"/>
        <v>2034</v>
      </c>
    </row>
    <row r="241" spans="7:9">
      <c r="G241" s="99">
        <v>49188</v>
      </c>
      <c r="H241" s="107">
        <v>8.9114976487884014</v>
      </c>
      <c r="I241" s="108">
        <f t="shared" si="7"/>
        <v>2034</v>
      </c>
    </row>
    <row r="242" spans="7:9">
      <c r="G242" s="99">
        <v>49218</v>
      </c>
      <c r="H242" s="107">
        <v>8.9633074429686719</v>
      </c>
      <c r="I242" s="108">
        <f t="shared" si="7"/>
        <v>2034</v>
      </c>
    </row>
    <row r="243" spans="7:9">
      <c r="G243" s="99">
        <v>49249</v>
      </c>
      <c r="H243" s="107">
        <v>9.6037819436277001</v>
      </c>
      <c r="I243" s="108">
        <f t="shared" si="7"/>
        <v>2034</v>
      </c>
    </row>
    <row r="244" spans="7:9">
      <c r="G244" s="99">
        <v>49279</v>
      </c>
      <c r="H244" s="107">
        <v>9.668569533610464</v>
      </c>
      <c r="I244" s="108">
        <f t="shared" si="7"/>
        <v>2034</v>
      </c>
    </row>
    <row r="245" spans="7:9">
      <c r="G245" s="99">
        <v>49310</v>
      </c>
      <c r="H245" s="107">
        <v>9.6365306002230557</v>
      </c>
      <c r="I245" s="108">
        <f t="shared" si="7"/>
        <v>2035</v>
      </c>
    </row>
    <row r="246" spans="7:9">
      <c r="G246" s="99">
        <v>49341</v>
      </c>
      <c r="H246" s="107">
        <v>9.6467708922234632</v>
      </c>
      <c r="I246" s="108">
        <f t="shared" si="7"/>
        <v>2035</v>
      </c>
    </row>
    <row r="247" spans="7:9">
      <c r="G247" s="99">
        <v>49369</v>
      </c>
      <c r="H247" s="107">
        <v>9.5025956919801278</v>
      </c>
      <c r="I247" s="108">
        <f t="shared" si="7"/>
        <v>2035</v>
      </c>
    </row>
    <row r="248" spans="7:9">
      <c r="G248" s="99">
        <v>49400</v>
      </c>
      <c r="H248" s="107">
        <v>8.9308629534624355</v>
      </c>
      <c r="I248" s="108">
        <f t="shared" si="7"/>
        <v>2035</v>
      </c>
    </row>
    <row r="249" spans="7:9">
      <c r="G249" s="99">
        <v>49430</v>
      </c>
      <c r="H249" s="107">
        <v>8.8502586748453833</v>
      </c>
      <c r="I249" s="108">
        <f t="shared" si="7"/>
        <v>2035</v>
      </c>
    </row>
    <row r="250" spans="7:9">
      <c r="G250" s="99">
        <v>49461</v>
      </c>
      <c r="H250" s="107">
        <v>8.9009531896988747</v>
      </c>
      <c r="I250" s="108">
        <f t="shared" si="7"/>
        <v>2035</v>
      </c>
    </row>
    <row r="251" spans="7:9">
      <c r="G251" s="99">
        <v>49491</v>
      </c>
      <c r="H251" s="107">
        <v>8.9942310970293011</v>
      </c>
      <c r="I251" s="108">
        <f t="shared" si="7"/>
        <v>2035</v>
      </c>
    </row>
    <row r="252" spans="7:9">
      <c r="G252" s="99">
        <v>49522</v>
      </c>
      <c r="H252" s="107">
        <v>9.0426950532292416</v>
      </c>
      <c r="I252" s="108">
        <f t="shared" si="7"/>
        <v>2035</v>
      </c>
    </row>
    <row r="253" spans="7:9">
      <c r="G253" s="99">
        <v>49553</v>
      </c>
      <c r="H253" s="107">
        <v>9.0718950937848533</v>
      </c>
      <c r="I253" s="108">
        <f t="shared" si="7"/>
        <v>2035</v>
      </c>
    </row>
    <row r="254" spans="7:9">
      <c r="G254" s="99">
        <v>49583</v>
      </c>
      <c r="H254" s="107">
        <v>9.1245160002027799</v>
      </c>
      <c r="I254" s="108">
        <f t="shared" si="7"/>
        <v>2035</v>
      </c>
    </row>
    <row r="255" spans="7:9">
      <c r="G255" s="99">
        <v>49614</v>
      </c>
      <c r="H255" s="107">
        <v>9.7766502392781121</v>
      </c>
      <c r="I255" s="108">
        <f t="shared" si="7"/>
        <v>2035</v>
      </c>
    </row>
    <row r="256" spans="7:9">
      <c r="G256" s="99">
        <v>49644</v>
      </c>
      <c r="H256" s="107">
        <v>9.8424517195579444</v>
      </c>
      <c r="I256" s="108">
        <f t="shared" si="7"/>
        <v>2035</v>
      </c>
    </row>
    <row r="257" spans="7:9">
      <c r="G257" s="99">
        <v>49675</v>
      </c>
      <c r="H257" s="107">
        <v>9.8195377988441646</v>
      </c>
      <c r="I257" s="108">
        <f t="shared" si="7"/>
        <v>2036</v>
      </c>
    </row>
    <row r="258" spans="7:9">
      <c r="G258" s="99">
        <v>49706</v>
      </c>
      <c r="H258" s="107">
        <v>9.829980868903986</v>
      </c>
      <c r="I258" s="108">
        <f t="shared" si="7"/>
        <v>2036</v>
      </c>
    </row>
    <row r="259" spans="7:9">
      <c r="G259" s="99">
        <v>49735</v>
      </c>
      <c r="H259" s="107">
        <v>9.6829667758288558</v>
      </c>
      <c r="I259" s="108">
        <f t="shared" si="7"/>
        <v>2036</v>
      </c>
    </row>
    <row r="260" spans="7:9">
      <c r="G260" s="99">
        <v>49766</v>
      </c>
      <c r="H260" s="107">
        <v>9.1004868001622228</v>
      </c>
      <c r="I260" s="108">
        <f t="shared" si="7"/>
        <v>2036</v>
      </c>
    </row>
    <row r="261" spans="7:9">
      <c r="G261" s="99">
        <v>49796</v>
      </c>
      <c r="H261" s="107">
        <v>9.0183616860995635</v>
      </c>
      <c r="I261" s="108">
        <f t="shared" si="7"/>
        <v>2036</v>
      </c>
    </row>
    <row r="262" spans="7:9">
      <c r="G262" s="99">
        <v>49827</v>
      </c>
      <c r="H262" s="107">
        <v>9.0700700912501269</v>
      </c>
      <c r="I262" s="108">
        <f t="shared" si="7"/>
        <v>2036</v>
      </c>
    </row>
    <row r="263" spans="7:9">
      <c r="G263" s="99">
        <v>49857</v>
      </c>
      <c r="H263" s="107">
        <v>9.1649702230558656</v>
      </c>
      <c r="I263" s="108">
        <f t="shared" si="7"/>
        <v>2036</v>
      </c>
    </row>
    <row r="264" spans="7:9">
      <c r="G264" s="99">
        <v>49888</v>
      </c>
      <c r="H264" s="107">
        <v>9.2144480695528745</v>
      </c>
      <c r="I264" s="108">
        <f t="shared" si="7"/>
        <v>2036</v>
      </c>
    </row>
    <row r="265" spans="7:9">
      <c r="G265" s="99">
        <v>49919</v>
      </c>
      <c r="H265" s="107">
        <v>9.2441550552570231</v>
      </c>
      <c r="I265" s="108">
        <f t="shared" si="7"/>
        <v>2036</v>
      </c>
    </row>
    <row r="266" spans="7:9">
      <c r="G266" s="99">
        <v>49949</v>
      </c>
      <c r="H266" s="107">
        <v>9.2977898519720164</v>
      </c>
      <c r="I266" s="108">
        <f t="shared" si="7"/>
        <v>2036</v>
      </c>
    </row>
    <row r="267" spans="7:9">
      <c r="G267" s="99">
        <v>49980</v>
      </c>
      <c r="H267" s="107">
        <v>9.9622935526716017</v>
      </c>
      <c r="I267" s="108">
        <f t="shared" si="7"/>
        <v>2036</v>
      </c>
    </row>
    <row r="268" spans="7:9">
      <c r="G268" s="99">
        <v>50010</v>
      </c>
      <c r="H268" s="107">
        <v>10.029413090337627</v>
      </c>
      <c r="I268" s="108">
        <f t="shared" si="7"/>
        <v>2036</v>
      </c>
    </row>
    <row r="269" spans="7:9">
      <c r="G269" s="138"/>
      <c r="H269" s="107"/>
      <c r="I269" s="108"/>
    </row>
    <row r="270" spans="7:9">
      <c r="G270" s="138"/>
      <c r="H270" s="107"/>
      <c r="I270" s="108"/>
    </row>
    <row r="271" spans="7:9">
      <c r="G271" s="138"/>
      <c r="H271" s="107"/>
      <c r="I271" s="108"/>
    </row>
    <row r="272" spans="7:9">
      <c r="G272" s="138"/>
      <c r="H272" s="107"/>
      <c r="I272" s="108"/>
    </row>
    <row r="273" spans="7:9">
      <c r="G273" s="138"/>
      <c r="H273" s="107"/>
      <c r="I273" s="108"/>
    </row>
    <row r="274" spans="7:9">
      <c r="G274" s="138"/>
      <c r="H274" s="107"/>
      <c r="I274" s="108"/>
    </row>
    <row r="275" spans="7:9">
      <c r="G275" s="138"/>
      <c r="H275" s="107"/>
      <c r="I275" s="108"/>
    </row>
    <row r="276" spans="7:9">
      <c r="G276" s="138"/>
      <c r="H276" s="107"/>
      <c r="I276" s="108"/>
    </row>
    <row r="277" spans="7:9">
      <c r="G277" s="138"/>
      <c r="H277" s="107"/>
      <c r="I277" s="108"/>
    </row>
    <row r="278" spans="7:9">
      <c r="G278" s="138"/>
      <c r="H278" s="107"/>
      <c r="I278" s="108"/>
    </row>
    <row r="279" spans="7:9">
      <c r="G279" s="138"/>
      <c r="H279" s="107"/>
      <c r="I279" s="108"/>
    </row>
    <row r="280" spans="7:9">
      <c r="G280" s="138"/>
      <c r="H280" s="107"/>
      <c r="I280" s="108"/>
    </row>
    <row r="281" spans="7:9">
      <c r="G281" s="138"/>
      <c r="H281" s="107"/>
      <c r="I281" s="108"/>
    </row>
    <row r="282" spans="7:9">
      <c r="G282" s="138"/>
      <c r="H282" s="107"/>
      <c r="I282" s="108"/>
    </row>
    <row r="283" spans="7:9">
      <c r="G283" s="138"/>
      <c r="H283" s="107"/>
      <c r="I283" s="108"/>
    </row>
    <row r="284" spans="7:9">
      <c r="G284" s="138"/>
      <c r="H284" s="107"/>
      <c r="I284" s="108"/>
    </row>
    <row r="285" spans="7:9">
      <c r="G285" s="138"/>
      <c r="H285" s="107"/>
      <c r="I285" s="108"/>
    </row>
    <row r="286" spans="7:9">
      <c r="G286" s="138"/>
      <c r="H286" s="107"/>
      <c r="I286" s="108"/>
    </row>
    <row r="287" spans="7:9">
      <c r="G287" s="138"/>
      <c r="H287" s="107"/>
      <c r="I287" s="108"/>
    </row>
    <row r="288" spans="7:9">
      <c r="G288" s="138"/>
      <c r="H288" s="107"/>
      <c r="I288" s="108"/>
    </row>
    <row r="289" spans="7:9">
      <c r="G289" s="138"/>
      <c r="H289" s="107"/>
      <c r="I289" s="108"/>
    </row>
    <row r="290" spans="7:9">
      <c r="G290" s="138"/>
      <c r="H290" s="107"/>
      <c r="I290" s="108"/>
    </row>
    <row r="291" spans="7:9">
      <c r="G291" s="138"/>
      <c r="H291" s="107"/>
      <c r="I291" s="108"/>
    </row>
    <row r="292" spans="7:9">
      <c r="G292" s="138"/>
      <c r="H292" s="107"/>
      <c r="I292" s="108"/>
    </row>
    <row r="293" spans="7:9">
      <c r="G293" s="138"/>
      <c r="H293" s="107"/>
      <c r="I293" s="108"/>
    </row>
    <row r="294" spans="7:9">
      <c r="G294" s="138"/>
      <c r="H294" s="107"/>
      <c r="I294" s="108"/>
    </row>
    <row r="295" spans="7:9">
      <c r="G295" s="138"/>
      <c r="H295" s="107"/>
      <c r="I295" s="108"/>
    </row>
    <row r="296" spans="7:9">
      <c r="G296" s="138"/>
      <c r="H296" s="107"/>
      <c r="I296" s="108"/>
    </row>
    <row r="297" spans="7:9">
      <c r="G297" s="138"/>
      <c r="H297" s="107"/>
      <c r="I297" s="108"/>
    </row>
    <row r="298" spans="7:9">
      <c r="G298" s="138"/>
      <c r="H298" s="107"/>
      <c r="I298" s="108"/>
    </row>
    <row r="299" spans="7:9">
      <c r="G299" s="138"/>
      <c r="H299" s="107"/>
      <c r="I299" s="108"/>
    </row>
    <row r="300" spans="7:9">
      <c r="G300" s="138"/>
      <c r="H300" s="107"/>
      <c r="I300" s="108"/>
    </row>
    <row r="301" spans="7:9">
      <c r="G301" s="138"/>
      <c r="H301" s="107"/>
      <c r="I301" s="108"/>
    </row>
    <row r="302" spans="7:9">
      <c r="G302" s="138"/>
      <c r="H302" s="107"/>
      <c r="I302" s="108"/>
    </row>
    <row r="303" spans="7:9">
      <c r="G303" s="138"/>
      <c r="H303" s="107"/>
      <c r="I303" s="108"/>
    </row>
    <row r="304" spans="7:9">
      <c r="G304" s="138"/>
      <c r="H304" s="107"/>
      <c r="I304" s="108"/>
    </row>
    <row r="305" spans="7:9">
      <c r="G305" s="138"/>
      <c r="H305" s="107"/>
      <c r="I305" s="108"/>
    </row>
    <row r="306" spans="7:9">
      <c r="G306" s="138"/>
      <c r="H306" s="107"/>
      <c r="I306" s="108"/>
    </row>
    <row r="307" spans="7:9">
      <c r="G307" s="138"/>
      <c r="H307" s="107"/>
      <c r="I307" s="108"/>
    </row>
    <row r="308" spans="7:9">
      <c r="G308" s="138"/>
      <c r="H308" s="107"/>
      <c r="I308" s="108"/>
    </row>
    <row r="309" spans="7:9">
      <c r="G309" s="138"/>
      <c r="H309" s="107"/>
      <c r="I309" s="108"/>
    </row>
    <row r="310" spans="7:9">
      <c r="G310" s="138"/>
      <c r="H310" s="107"/>
      <c r="I310" s="108"/>
    </row>
    <row r="311" spans="7:9">
      <c r="G311" s="138"/>
      <c r="H311" s="107"/>
      <c r="I311" s="108"/>
    </row>
    <row r="312" spans="7:9">
      <c r="G312" s="138"/>
      <c r="H312" s="107"/>
      <c r="I312" s="108"/>
    </row>
    <row r="313" spans="7:9">
      <c r="G313" s="138"/>
      <c r="H313" s="107"/>
      <c r="I313" s="108"/>
    </row>
    <row r="314" spans="7:9">
      <c r="G314" s="138"/>
      <c r="H314" s="107"/>
      <c r="I314" s="108"/>
    </row>
    <row r="315" spans="7:9">
      <c r="G315" s="138"/>
      <c r="H315" s="107"/>
      <c r="I315" s="108"/>
    </row>
    <row r="316" spans="7:9">
      <c r="G316" s="138"/>
      <c r="H316" s="107"/>
      <c r="I316" s="108"/>
    </row>
    <row r="317" spans="7:9">
      <c r="G317" s="138"/>
      <c r="H317" s="107"/>
      <c r="I317" s="108"/>
    </row>
    <row r="318" spans="7:9">
      <c r="G318" s="138"/>
      <c r="H318" s="107"/>
      <c r="I318" s="108"/>
    </row>
    <row r="319" spans="7:9">
      <c r="G319" s="138"/>
      <c r="H319" s="107"/>
      <c r="I319" s="108"/>
    </row>
    <row r="320" spans="7:9">
      <c r="G320" s="138"/>
      <c r="H320" s="107"/>
      <c r="I320" s="108"/>
    </row>
    <row r="321" spans="7:9">
      <c r="G321" s="138"/>
      <c r="H321" s="107"/>
      <c r="I321" s="108"/>
    </row>
    <row r="322" spans="7:9">
      <c r="G322" s="138"/>
      <c r="H322" s="107"/>
      <c r="I322" s="108"/>
    </row>
  </sheetData>
  <phoneticPr fontId="6" type="noConversion"/>
  <printOptions horizontalCentered="1"/>
  <pageMargins left="0.8" right="0.3" top="0.4" bottom="0.4" header="0.5" footer="0.2"/>
  <pageSetup orientation="portrait" r:id="rId1"/>
  <headerFooter alignWithMargins="0">
    <oddFooter>&amp;L&amp;8NPC Group - &amp;F   ( &amp;A )&amp;C &amp;R &amp;8&amp;D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Appendix B</vt:lpstr>
      <vt:lpstr>Table 1</vt:lpstr>
      <vt:lpstr>Table 2 &amp; 3</vt:lpstr>
      <vt:lpstr>Table 4</vt:lpstr>
      <vt:lpstr>Table 5</vt:lpstr>
      <vt:lpstr>'Appendix B'!Print_Area</vt:lpstr>
      <vt:lpstr>'Table 1'!Print_Area</vt:lpstr>
      <vt:lpstr>'Table 2 &amp; 3'!Print_Area</vt:lpstr>
      <vt:lpstr>'Table 4'!Print_Area</vt:lpstr>
      <vt:lpstr>'Table 5'!Print_Area</vt:lpstr>
      <vt:lpstr>'Table 2 &amp; 3'!Print_Titles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SBINTZ</cp:lastModifiedBy>
  <cp:lastPrinted>2011-05-24T16:24:18Z</cp:lastPrinted>
  <dcterms:created xsi:type="dcterms:W3CDTF">2001-03-19T15:45:46Z</dcterms:created>
  <dcterms:modified xsi:type="dcterms:W3CDTF">2012-05-15T23:15:18Z</dcterms:modified>
</cp:coreProperties>
</file>