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hisWorkbook" defaultThemeVersion="124226"/>
  <bookViews>
    <workbookView xWindow="15" yWindow="0" windowWidth="12885" windowHeight="9195"/>
  </bookViews>
  <sheets>
    <sheet name="Total" sheetId="5" r:id="rId1"/>
    <sheet name="Incremental" sheetId="6" r:id="rId2"/>
    <sheet name="Energy" sheetId="3" r:id="rId3"/>
    <sheet name="Capacity" sheetId="2" r:id="rId4"/>
  </sheets>
  <definedNames>
    <definedName name="Discount_Rate">Total!$J$33</definedName>
    <definedName name="_xlnm.Print_Area" localSheetId="3">Capacity!$A$1:$J$37</definedName>
    <definedName name="_xlnm.Print_Area" localSheetId="2">Energy!$A$1:$H$38</definedName>
    <definedName name="_xlnm.Print_Area" localSheetId="1">Incremental!$A$1:$H$39</definedName>
    <definedName name="_xlnm.Print_Area" localSheetId="0">Total!$A$1:$H$39</definedName>
  </definedNames>
  <calcPr calcId="124519" calcOnSave="0"/>
</workbook>
</file>

<file path=xl/calcChain.xml><?xml version="1.0" encoding="utf-8"?>
<calcChain xmlns="http://schemas.openxmlformats.org/spreadsheetml/2006/main">
  <c r="C8" i="2"/>
  <c r="F8" i="6" l="1"/>
  <c r="F7"/>
  <c r="E8" l="1"/>
  <c r="E7"/>
  <c r="F8" i="5"/>
  <c r="F7"/>
  <c r="K30" i="6" l="1"/>
  <c r="B32" i="5" l="1"/>
  <c r="B37" i="3"/>
  <c r="B38"/>
  <c r="B36"/>
  <c r="B37" i="6"/>
  <c r="B38"/>
  <c r="B39"/>
  <c r="B36"/>
  <c r="E8" i="5" l="1"/>
  <c r="D8"/>
  <c r="E7"/>
  <c r="D7"/>
  <c r="D8" i="6"/>
  <c r="J33" l="1"/>
  <c r="I33" i="3"/>
  <c r="K33" i="2"/>
  <c r="B32" l="1"/>
  <c r="B32" i="3"/>
  <c r="B32" i="6" l="1"/>
  <c r="D8" i="2" l="1"/>
  <c r="G8" s="1"/>
  <c r="F8"/>
  <c r="C8" i="6"/>
  <c r="D7"/>
  <c r="C8" i="3"/>
  <c r="C7"/>
  <c r="B10"/>
  <c r="B10" i="2"/>
  <c r="B10" i="6"/>
  <c r="B11" i="5"/>
  <c r="B3" i="2"/>
  <c r="B1"/>
  <c r="B3" i="3"/>
  <c r="B1"/>
  <c r="B3" i="6"/>
  <c r="B1"/>
  <c r="B4" i="2"/>
  <c r="B4" i="3"/>
  <c r="B4" i="6"/>
  <c r="G10" i="2" l="1"/>
  <c r="B11" i="6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3" s="1"/>
  <c r="B12" i="5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3" s="1"/>
  <c r="B11" i="2"/>
  <c r="B12" s="1"/>
  <c r="B11" i="3"/>
  <c r="G12" i="2" l="1"/>
  <c r="G11"/>
  <c r="B30" i="5"/>
  <c r="B34" s="1"/>
  <c r="B12" i="3"/>
  <c r="B13" i="2"/>
  <c r="G13" l="1"/>
  <c r="B13" i="3"/>
  <c r="B14" i="2"/>
  <c r="G14" l="1"/>
  <c r="B14" i="3"/>
  <c r="B15" i="2"/>
  <c r="G15" l="1"/>
  <c r="B15" i="3"/>
  <c r="B16" i="2"/>
  <c r="G16" l="1"/>
  <c r="B16" i="3"/>
  <c r="B17" i="2"/>
  <c r="G17" l="1"/>
  <c r="B17" i="3"/>
  <c r="B18" i="2"/>
  <c r="B18" i="3" l="1"/>
  <c r="B19" s="1"/>
  <c r="G18" i="2"/>
  <c r="B19"/>
  <c r="G19" l="1"/>
  <c r="B20" i="3"/>
  <c r="B20" i="2"/>
  <c r="G20" l="1"/>
  <c r="B21" i="3"/>
  <c r="B21" i="2"/>
  <c r="G21" l="1"/>
  <c r="B22" i="3"/>
  <c r="B22" i="2"/>
  <c r="G22" l="1"/>
  <c r="B23" i="3"/>
  <c r="B23" i="2"/>
  <c r="G23" l="1"/>
  <c r="B24" i="3"/>
  <c r="B24" i="2"/>
  <c r="G24" l="1"/>
  <c r="B25" i="3"/>
  <c r="B25" i="2"/>
  <c r="G25" l="1"/>
  <c r="B26" i="3"/>
  <c r="B26" i="2"/>
  <c r="B27" i="3" l="1"/>
  <c r="B28" s="1"/>
  <c r="G26" i="2"/>
  <c r="B27"/>
  <c r="G27" l="1"/>
  <c r="B29" i="3"/>
  <c r="B28" i="2"/>
  <c r="G28" l="1"/>
  <c r="B33" i="3"/>
  <c r="B30"/>
  <c r="B34" s="1"/>
  <c r="B29" i="2"/>
  <c r="D33" i="3" l="1"/>
  <c r="G29" i="2"/>
  <c r="B33"/>
  <c r="B30"/>
  <c r="C7" i="6" l="1"/>
  <c r="D10" i="5" l="1"/>
  <c r="D11" l="1"/>
  <c r="D12" l="1"/>
  <c r="D13" l="1"/>
  <c r="D22" l="1"/>
  <c r="D19"/>
  <c r="D17"/>
  <c r="D20"/>
  <c r="D25"/>
  <c r="D21"/>
  <c r="D26"/>
  <c r="D24"/>
  <c r="D29"/>
  <c r="D16"/>
  <c r="D28"/>
  <c r="D23"/>
  <c r="D18"/>
  <c r="D15"/>
  <c r="D27"/>
  <c r="D33" i="2"/>
  <c r="C26" i="5"/>
  <c r="C27"/>
  <c r="C21"/>
  <c r="C23"/>
  <c r="C25"/>
  <c r="C29"/>
  <c r="C24"/>
  <c r="C22"/>
  <c r="C28"/>
  <c r="C20"/>
  <c r="D14" l="1"/>
  <c r="C29" i="6"/>
  <c r="C27"/>
  <c r="C28"/>
  <c r="C24"/>
  <c r="G33" i="2"/>
  <c r="C23" i="6"/>
  <c r="C26"/>
  <c r="C21"/>
  <c r="C25"/>
  <c r="C20"/>
  <c r="C22"/>
  <c r="D33" i="5" l="1"/>
  <c r="C15" l="1"/>
  <c r="C16"/>
  <c r="C10"/>
  <c r="C18" l="1"/>
  <c r="C18" i="6" s="1"/>
  <c r="C14" i="5"/>
  <c r="C12"/>
  <c r="C11"/>
  <c r="C17"/>
  <c r="C19"/>
  <c r="C13"/>
  <c r="C16" i="6"/>
  <c r="C15"/>
  <c r="C33" i="3" l="1"/>
  <c r="C13" i="6"/>
  <c r="C19"/>
  <c r="C17"/>
  <c r="C11"/>
  <c r="C12"/>
  <c r="C14"/>
  <c r="C10"/>
  <c r="C33" i="5"/>
  <c r="C33" i="6" l="1"/>
  <c r="E33" i="3" l="1"/>
  <c r="F10" i="2" l="1"/>
  <c r="E10" i="5" l="1"/>
  <c r="D10" i="6" s="1"/>
  <c r="F11" i="2" l="1"/>
  <c r="E11" i="5" s="1"/>
  <c r="D11" i="6" s="1"/>
  <c r="I10" i="2"/>
  <c r="I11" l="1"/>
  <c r="F12"/>
  <c r="E12" i="5" s="1"/>
  <c r="D12" i="6" s="1"/>
  <c r="I10"/>
  <c r="I11"/>
  <c r="I12" i="2" l="1"/>
  <c r="F13"/>
  <c r="I12" i="6"/>
  <c r="F14" i="2" l="1"/>
  <c r="E14" i="5" s="1"/>
  <c r="D14" i="6" s="1"/>
  <c r="E13" i="5"/>
  <c r="D13" i="6" s="1"/>
  <c r="I14" i="2" l="1"/>
  <c r="I14" i="6"/>
  <c r="I13" i="2"/>
  <c r="F15"/>
  <c r="F16" l="1"/>
  <c r="E16" i="5" s="1"/>
  <c r="D16" i="6" s="1"/>
  <c r="E15" i="5"/>
  <c r="D15" i="6" s="1"/>
  <c r="I13"/>
  <c r="I16" i="2" l="1"/>
  <c r="F17"/>
  <c r="I16" i="6"/>
  <c r="I15" i="2"/>
  <c r="I15" i="6" l="1"/>
  <c r="E17" i="5"/>
  <c r="D17" i="6" s="1"/>
  <c r="I17" i="2" l="1"/>
  <c r="I17" i="6" l="1"/>
  <c r="F29" i="2" l="1"/>
  <c r="F20" l="1"/>
  <c r="E20" i="5" s="1"/>
  <c r="D20" i="6" s="1"/>
  <c r="F27" i="2"/>
  <c r="E27" i="5" s="1"/>
  <c r="D27" i="6" s="1"/>
  <c r="F24" i="2"/>
  <c r="E24" i="5" s="1"/>
  <c r="D24" i="6" s="1"/>
  <c r="F22" i="2"/>
  <c r="E22" i="5" s="1"/>
  <c r="D22" i="6" s="1"/>
  <c r="F18" i="2"/>
  <c r="E18" i="5" s="1"/>
  <c r="D18" i="6" s="1"/>
  <c r="F19" i="2"/>
  <c r="E19" i="5" s="1"/>
  <c r="D19" i="6" s="1"/>
  <c r="F26" i="2"/>
  <c r="E26" i="5" s="1"/>
  <c r="D26" i="6" s="1"/>
  <c r="F28" i="2"/>
  <c r="E28" i="5" s="1"/>
  <c r="D28" i="6" s="1"/>
  <c r="F21" i="2"/>
  <c r="E21" i="5" s="1"/>
  <c r="D21" i="6" s="1"/>
  <c r="F25" i="2"/>
  <c r="E25" i="5" s="1"/>
  <c r="D25" i="6" s="1"/>
  <c r="F23" i="2"/>
  <c r="E23" i="5" s="1"/>
  <c r="D23" i="6" s="1"/>
  <c r="I20" i="2"/>
  <c r="E29" i="5"/>
  <c r="D29" i="6" s="1"/>
  <c r="C33" i="2"/>
  <c r="I24"/>
  <c r="I22"/>
  <c r="F33"/>
  <c r="I33" s="1"/>
  <c r="I26"/>
  <c r="I23" l="1"/>
  <c r="I27"/>
  <c r="I21"/>
  <c r="I25"/>
  <c r="I28"/>
  <c r="I19"/>
  <c r="I18"/>
  <c r="E33" i="5"/>
  <c r="I23" i="6"/>
  <c r="I25"/>
  <c r="I28"/>
  <c r="I22"/>
  <c r="I29" i="2"/>
  <c r="I27" i="6"/>
  <c r="I21"/>
  <c r="I26"/>
  <c r="I19"/>
  <c r="I18"/>
  <c r="I24"/>
  <c r="I20"/>
  <c r="D33" l="1"/>
  <c r="I29"/>
  <c r="F12" i="5" l="1"/>
  <c r="E12" i="6" s="1"/>
  <c r="F13" i="5"/>
  <c r="E13" i="6" s="1"/>
  <c r="F11" i="5" l="1"/>
  <c r="E11" i="6" s="1"/>
  <c r="F15" i="5" l="1"/>
  <c r="E15" i="6" s="1"/>
  <c r="F18" i="5"/>
  <c r="E18" i="6" s="1"/>
  <c r="F19" i="5"/>
  <c r="E19" i="6" s="1"/>
  <c r="F16" i="5"/>
  <c r="E16" i="6" s="1"/>
  <c r="F17" i="5"/>
  <c r="E17" i="6" s="1"/>
  <c r="F14" i="5"/>
  <c r="E14" i="6" s="1"/>
  <c r="F10" i="5" l="1"/>
  <c r="E10" i="6" s="1"/>
  <c r="F23" i="5" l="1"/>
  <c r="E23" i="6" s="1"/>
  <c r="F21" i="5" l="1"/>
  <c r="E21" i="6" s="1"/>
  <c r="F22" i="5"/>
  <c r="E22" i="6" s="1"/>
  <c r="F26" i="5" l="1"/>
  <c r="E26" i="6" s="1"/>
  <c r="F28" i="5"/>
  <c r="E28" i="6" s="1"/>
  <c r="F29" i="5"/>
  <c r="E29" i="6" s="1"/>
  <c r="F24" i="5"/>
  <c r="E24" i="6" s="1"/>
  <c r="F25" i="5"/>
  <c r="E25" i="6" s="1"/>
  <c r="F27" i="5"/>
  <c r="E27" i="6" s="1"/>
  <c r="F33" i="3" l="1"/>
  <c r="F34"/>
  <c r="F20" i="5"/>
  <c r="E20" i="6" s="1"/>
  <c r="F33" i="5" l="1"/>
  <c r="E33" i="6" s="1"/>
  <c r="F34" i="5"/>
  <c r="G11" l="1"/>
  <c r="F11" i="6" s="1"/>
  <c r="G11" l="1"/>
  <c r="G13" i="5"/>
  <c r="G12"/>
  <c r="G12" i="6" l="1"/>
  <c r="J12" s="1"/>
  <c r="F12"/>
  <c r="G13"/>
  <c r="K13" s="1"/>
  <c r="F13"/>
  <c r="K12"/>
  <c r="J11"/>
  <c r="K11"/>
  <c r="J13" l="1"/>
  <c r="G14" i="5"/>
  <c r="F14" i="6" s="1"/>
  <c r="G14" l="1"/>
  <c r="G19" i="5"/>
  <c r="G17"/>
  <c r="G15"/>
  <c r="G16"/>
  <c r="G18"/>
  <c r="G16" i="6" l="1"/>
  <c r="J16" s="1"/>
  <c r="F16"/>
  <c r="G17"/>
  <c r="J17" s="1"/>
  <c r="F17"/>
  <c r="G18"/>
  <c r="J18" s="1"/>
  <c r="F18"/>
  <c r="G15"/>
  <c r="J15" s="1"/>
  <c r="F15"/>
  <c r="G19"/>
  <c r="J19" s="1"/>
  <c r="F19"/>
  <c r="K18"/>
  <c r="K16"/>
  <c r="K17"/>
  <c r="K14"/>
  <c r="J14"/>
  <c r="K19" l="1"/>
  <c r="K15"/>
  <c r="G10" i="5"/>
  <c r="F10" i="6" s="1"/>
  <c r="G10" l="1"/>
  <c r="J10" l="1"/>
  <c r="K10"/>
  <c r="G23" i="5" l="1"/>
  <c r="G22"/>
  <c r="G21"/>
  <c r="G21" i="6" l="1"/>
  <c r="J21" s="1"/>
  <c r="F21"/>
  <c r="G23"/>
  <c r="F23"/>
  <c r="G22"/>
  <c r="K22" s="1"/>
  <c r="F22"/>
  <c r="J23"/>
  <c r="K23"/>
  <c r="K21" l="1"/>
  <c r="J22"/>
  <c r="G24" i="5"/>
  <c r="G29"/>
  <c r="G27"/>
  <c r="G25"/>
  <c r="G26"/>
  <c r="G28"/>
  <c r="G26" i="6" l="1"/>
  <c r="F26"/>
  <c r="G27"/>
  <c r="F27"/>
  <c r="G24"/>
  <c r="F24"/>
  <c r="G28"/>
  <c r="F28"/>
  <c r="G25"/>
  <c r="F25"/>
  <c r="G29"/>
  <c r="J29" s="1"/>
  <c r="F29"/>
  <c r="K26"/>
  <c r="J26"/>
  <c r="K27"/>
  <c r="J27"/>
  <c r="K24"/>
  <c r="J24"/>
  <c r="J28"/>
  <c r="K28"/>
  <c r="K25"/>
  <c r="J25"/>
  <c r="K29"/>
  <c r="G20" i="5" l="1"/>
  <c r="G20" i="6" l="1"/>
  <c r="J20" s="1"/>
  <c r="F20"/>
  <c r="G33" i="5"/>
  <c r="G34" i="3"/>
  <c r="G33"/>
  <c r="K20" i="6" l="1"/>
  <c r="F33"/>
  <c r="G33"/>
  <c r="K33" s="1"/>
  <c r="G34" i="5"/>
</calcChain>
</file>

<file path=xl/sharedStrings.xml><?xml version="1.0" encoding="utf-8"?>
<sst xmlns="http://schemas.openxmlformats.org/spreadsheetml/2006/main" count="42" uniqueCount="34">
  <si>
    <t>Year</t>
  </si>
  <si>
    <t>Discount Rate</t>
  </si>
  <si>
    <t>Utah Quarterly Compliance Filing</t>
  </si>
  <si>
    <t>$/kW-Year</t>
  </si>
  <si>
    <t xml:space="preserve">(1)   Capacity costs are allocated assuming an 85% capacity factor. </t>
  </si>
  <si>
    <t>Appendix C</t>
  </si>
  <si>
    <t>(2)   Discount Rate - Company Official Discount Rate</t>
  </si>
  <si>
    <t>Total</t>
  </si>
  <si>
    <t>Change</t>
  </si>
  <si>
    <t>Difference</t>
  </si>
  <si>
    <t>GRID Calculated Energy Avoided Cost Prices $/MWH (1)</t>
  </si>
  <si>
    <t>As Filed</t>
  </si>
  <si>
    <t>(3)   Discount Rate - Company Official Discount Rate</t>
  </si>
  <si>
    <t>Check Totals</t>
  </si>
  <si>
    <t>Error</t>
  </si>
  <si>
    <t>$/MWH  (1)</t>
  </si>
  <si>
    <t>$/MWH</t>
  </si>
  <si>
    <t>Capacity Avoided Cost Prices</t>
  </si>
  <si>
    <t>Official Forward</t>
  </si>
  <si>
    <t>Price Curve (2)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</si>
  <si>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</si>
  <si>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</si>
  <si>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</si>
  <si>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>2011 Q1</t>
  </si>
  <si>
    <t>(2)   Official Forward Price Curve Dated March 31, 2011</t>
  </si>
  <si>
    <t>Updates</t>
  </si>
  <si>
    <t>Step Study between 2011.Q1 and 2011.Q2 Compliance Filing</t>
  </si>
  <si>
    <t>2011 IRP</t>
  </si>
  <si>
    <t>2011 Q2</t>
  </si>
  <si>
    <t>Extend Existing</t>
  </si>
  <si>
    <t>All Other</t>
  </si>
  <si>
    <t>Changes</t>
  </si>
  <si>
    <t>Interruptible</t>
  </si>
  <si>
    <t xml:space="preserve">(1)   Step studies impacts are estimates.  </t>
  </si>
</sst>
</file>

<file path=xl/styles.xml><?xml version="1.0" encoding="utf-8"?>
<styleSheet xmlns="http://schemas.openxmlformats.org/spreadsheetml/2006/main">
  <numFmts count="8">
    <numFmt numFmtId="7" formatCode="&quot;$&quot;#,##0.00_);\(&quot;$&quot;#,##0.00\)"/>
    <numFmt numFmtId="164" formatCode="0.0%"/>
    <numFmt numFmtId="165" formatCode="_(* #,##0.00_);_(* \(#,##0.00\);_(* &quot;-&quot;_);_(@_)"/>
    <numFmt numFmtId="166" formatCode="_(* #,##0_);[Red]_(* \(#,##0\);_(* &quot;-&quot;_);_(@_)"/>
    <numFmt numFmtId="167" formatCode="_(&quot;$&quot;* #,##0.00_);[Red]_(&quot;$&quot;* \(#,##0.00\);_(&quot;$&quot;* &quot;-&quot;?_);_(@_)"/>
    <numFmt numFmtId="168" formatCode="_(* #,##0.00_);[Red]_(* \(#,##0.00\);_(* &quot;-&quot;_);_(@_)"/>
    <numFmt numFmtId="169" formatCode="_(&quot;$&quot;\ #,##0.00_);[Red]_(&quot;$&quot;\ \(#,##0.00\);_(\ &quot;-&quot;?_);_(@_)"/>
    <numFmt numFmtId="170" formatCode="_(* #,##0.000_);[Red]_(* \(#,##0.000\);_(* &quot;-&quot;_);_(@_)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6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37">
    <xf numFmtId="166" fontId="0" fillId="0" borderId="0" xfId="0"/>
    <xf numFmtId="166" fontId="4" fillId="0" borderId="0" xfId="0" applyFont="1"/>
    <xf numFmtId="166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6" fontId="4" fillId="0" borderId="0" xfId="0" applyFont="1" applyFill="1"/>
    <xf numFmtId="7" fontId="4" fillId="0" borderId="2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1" fontId="1" fillId="0" borderId="0" xfId="2" applyNumberFormat="1" applyFill="1" applyAlignment="1" applyProtection="1">
      <alignment horizontal="center"/>
      <protection locked="0"/>
    </xf>
    <xf numFmtId="166" fontId="3" fillId="0" borderId="0" xfId="0" applyFont="1" applyAlignment="1">
      <alignment horizontal="centerContinuous"/>
    </xf>
    <xf numFmtId="166" fontId="3" fillId="0" borderId="3" xfId="0" applyFont="1" applyBorder="1"/>
    <xf numFmtId="166" fontId="3" fillId="0" borderId="4" xfId="0" applyFont="1" applyBorder="1" applyAlignment="1">
      <alignment horizontal="center"/>
    </xf>
    <xf numFmtId="166" fontId="3" fillId="0" borderId="5" xfId="0" applyFont="1" applyBorder="1" applyAlignment="1">
      <alignment horizontal="center"/>
    </xf>
    <xf numFmtId="10" fontId="4" fillId="0" borderId="0" xfId="0" applyNumberFormat="1" applyFont="1"/>
    <xf numFmtId="166" fontId="4" fillId="0" borderId="0" xfId="0" quotePrefix="1" applyFont="1"/>
    <xf numFmtId="166" fontId="4" fillId="0" borderId="0" xfId="0" applyFont="1" applyAlignment="1">
      <alignment horizontal="centerContinuous"/>
    </xf>
    <xf numFmtId="166" fontId="3" fillId="0" borderId="3" xfId="0" applyFont="1" applyBorder="1" applyAlignment="1">
      <alignment horizontal="centerContinuous"/>
    </xf>
    <xf numFmtId="166" fontId="3" fillId="0" borderId="5" xfId="0" applyFont="1" applyBorder="1" applyAlignment="1">
      <alignment horizontal="centerContinuous"/>
    </xf>
    <xf numFmtId="7" fontId="4" fillId="0" borderId="0" xfId="0" applyNumberFormat="1" applyFont="1"/>
    <xf numFmtId="166" fontId="4" fillId="0" borderId="0" xfId="0" applyFont="1" applyAlignment="1">
      <alignment horizontal="center"/>
    </xf>
    <xf numFmtId="166" fontId="3" fillId="0" borderId="2" xfId="0" applyFont="1" applyBorder="1" applyAlignment="1">
      <alignment horizontal="center"/>
    </xf>
    <xf numFmtId="166" fontId="3" fillId="0" borderId="6" xfId="0" applyFont="1" applyBorder="1" applyAlignment="1">
      <alignment horizontal="center"/>
    </xf>
    <xf numFmtId="167" fontId="4" fillId="0" borderId="0" xfId="0" applyNumberFormat="1" applyFont="1"/>
    <xf numFmtId="165" fontId="4" fillId="0" borderId="0" xfId="0" applyNumberFormat="1" applyFont="1"/>
    <xf numFmtId="164" fontId="4" fillId="0" borderId="0" xfId="3" applyNumberFormat="1" applyFont="1"/>
    <xf numFmtId="168" fontId="4" fillId="0" borderId="0" xfId="0" applyNumberFormat="1" applyFont="1"/>
    <xf numFmtId="166" fontId="4" fillId="0" borderId="7" xfId="0" applyFont="1" applyBorder="1" applyAlignment="1">
      <alignment horizontal="centerContinuous"/>
    </xf>
    <xf numFmtId="166" fontId="4" fillId="0" borderId="4" xfId="0" applyFont="1" applyBorder="1" applyAlignment="1">
      <alignment horizontal="centerContinuous"/>
    </xf>
    <xf numFmtId="166" fontId="4" fillId="0" borderId="8" xfId="0" applyFont="1" applyBorder="1" applyAlignment="1">
      <alignment horizontal="centerContinuous"/>
    </xf>
    <xf numFmtId="166" fontId="3" fillId="0" borderId="5" xfId="0" applyFont="1" applyFill="1" applyBorder="1" applyAlignment="1">
      <alignment horizontal="center"/>
    </xf>
    <xf numFmtId="166" fontId="3" fillId="0" borderId="1" xfId="0" applyFont="1" applyFill="1" applyBorder="1" applyAlignment="1">
      <alignment horizontal="center"/>
    </xf>
    <xf numFmtId="166" fontId="3" fillId="0" borderId="2" xfId="0" applyFont="1" applyBorder="1" applyAlignment="1">
      <alignment horizontal="centerContinuous"/>
    </xf>
    <xf numFmtId="166" fontId="4" fillId="0" borderId="0" xfId="0" applyFont="1" applyFill="1" applyAlignment="1">
      <alignment horizontal="center"/>
    </xf>
    <xf numFmtId="166" fontId="4" fillId="0" borderId="0" xfId="0" applyFont="1" applyFill="1" applyAlignment="1"/>
    <xf numFmtId="169" fontId="4" fillId="0" borderId="0" xfId="0" applyNumberFormat="1" applyFont="1" applyFill="1" applyBorder="1" applyAlignment="1">
      <alignment horizontal="center"/>
    </xf>
    <xf numFmtId="170" fontId="4" fillId="0" borderId="0" xfId="0" applyNumberFormat="1" applyFont="1"/>
    <xf numFmtId="169" fontId="4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 horizontal="center"/>
    </xf>
  </cellXfs>
  <cellStyles count="4">
    <cellStyle name="Input" xfId="1" builtinId="20" customBuiltin="1"/>
    <cellStyle name="Normal" xfId="0" builtinId="0" customBuiltin="1"/>
    <cellStyle name="Normal_T-INF-10-15-04-TEMPLATE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2"/>
    <pageSetUpPr fitToPage="1"/>
  </sheetPr>
  <dimension ref="B1:O39"/>
  <sheetViews>
    <sheetView tabSelected="1" zoomScale="70" zoomScaleNormal="70" workbookViewId="0">
      <pane xSplit="2" ySplit="6" topLeftCell="C7" activePane="bottomRight" state="frozen"/>
      <selection activeCell="G11" sqref="G11"/>
      <selection pane="topRight" activeCell="G11" sqref="G11"/>
      <selection pane="bottomLeft" activeCell="G11" sqref="G11"/>
      <selection pane="bottomRight" activeCell="B36" sqref="B36"/>
    </sheetView>
  </sheetViews>
  <sheetFormatPr defaultRowHeight="15"/>
  <cols>
    <col min="1" max="1" width="1.85546875" style="1" customWidth="1"/>
    <col min="2" max="2" width="14.42578125" style="1" customWidth="1"/>
    <col min="3" max="7" width="20.85546875" style="1" customWidth="1"/>
    <col min="8" max="8" width="2.28515625" style="1" customWidth="1"/>
    <col min="9" max="9" width="9.140625" style="1"/>
    <col min="10" max="10" width="0" style="1" hidden="1" customWidth="1"/>
    <col min="11" max="13" width="9.140625" style="1"/>
    <col min="14" max="14" width="10.28515625" style="1" customWidth="1"/>
    <col min="15" max="16384" width="9.140625" style="1"/>
  </cols>
  <sheetData>
    <row r="1" spans="2:15" ht="15.75">
      <c r="B1" s="8" t="s">
        <v>5</v>
      </c>
      <c r="C1" s="8"/>
      <c r="D1" s="8"/>
      <c r="E1" s="8"/>
      <c r="F1" s="8"/>
      <c r="G1" s="8"/>
    </row>
    <row r="2" spans="2:15" ht="8.25" customHeight="1">
      <c r="B2" s="8"/>
      <c r="C2" s="8"/>
      <c r="D2" s="8"/>
      <c r="E2" s="8"/>
      <c r="F2" s="8"/>
      <c r="G2" s="8"/>
    </row>
    <row r="3" spans="2:15" ht="15.75">
      <c r="B3" s="8" t="s">
        <v>2</v>
      </c>
      <c r="C3" s="8"/>
      <c r="D3" s="8"/>
      <c r="E3" s="8"/>
      <c r="F3" s="8"/>
      <c r="G3" s="8"/>
    </row>
    <row r="4" spans="2:15" ht="15.75">
      <c r="B4" s="8" t="s">
        <v>26</v>
      </c>
      <c r="C4" s="8"/>
      <c r="D4" s="8"/>
      <c r="E4" s="8"/>
      <c r="F4" s="8"/>
      <c r="G4" s="8"/>
    </row>
    <row r="5" spans="2:15" ht="15.75">
      <c r="B5" s="8" t="s">
        <v>21</v>
      </c>
      <c r="C5" s="8"/>
      <c r="D5" s="8"/>
      <c r="E5" s="8"/>
      <c r="F5" s="8"/>
      <c r="G5" s="8"/>
    </row>
    <row r="6" spans="2:15" ht="15.75">
      <c r="B6" s="8"/>
      <c r="C6" s="8"/>
      <c r="D6" s="8"/>
      <c r="E6" s="8"/>
      <c r="F6" s="8"/>
      <c r="G6" s="8"/>
    </row>
    <row r="7" spans="2:15" ht="15.75">
      <c r="B7" s="9"/>
      <c r="C7" s="11" t="s">
        <v>23</v>
      </c>
      <c r="D7" s="11" t="str">
        <f>Energy!D7</f>
        <v>Official Forward</v>
      </c>
      <c r="E7" s="11" t="str">
        <f>Energy!E7</f>
        <v>2011 IRP</v>
      </c>
      <c r="F7" s="11" t="str">
        <f>Energy!F7</f>
        <v>Extend Existing</v>
      </c>
      <c r="G7" s="11" t="s">
        <v>28</v>
      </c>
    </row>
    <row r="8" spans="2:15" ht="15.75">
      <c r="B8" s="10" t="s">
        <v>0</v>
      </c>
      <c r="C8" s="2" t="s">
        <v>11</v>
      </c>
      <c r="D8" s="2" t="str">
        <f>Energy!D8</f>
        <v>Price Curve (2)</v>
      </c>
      <c r="E8" s="2" t="str">
        <f>Energy!E8</f>
        <v>Updates</v>
      </c>
      <c r="F8" s="2" t="str">
        <f>Energy!F8</f>
        <v>Interruptible</v>
      </c>
      <c r="G8" s="2" t="s">
        <v>11</v>
      </c>
    </row>
    <row r="9" spans="2:15" ht="4.5" customHeight="1"/>
    <row r="10" spans="2:15" ht="15.75">
      <c r="B10" s="3">
        <v>2011</v>
      </c>
      <c r="C10" s="6">
        <f>ROUND(Capacity!$G10+Energy!C10,2)</f>
        <v>30.7</v>
      </c>
      <c r="D10" s="6">
        <f>ROUND(Capacity!$G10+Energy!D10,2)</f>
        <v>27.71</v>
      </c>
      <c r="E10" s="6">
        <f>ROUND(Capacity!$F10+Energy!E10,2)</f>
        <v>27.94</v>
      </c>
      <c r="F10" s="6">
        <f>ROUND(Capacity!$F10+Energy!F10,2)</f>
        <v>28.06</v>
      </c>
      <c r="G10" s="6">
        <f>ROUND(Capacity!$F10+Energy!G10,2)</f>
        <v>28.38</v>
      </c>
    </row>
    <row r="11" spans="2:15" ht="15.75">
      <c r="B11" s="3">
        <f t="shared" ref="B11:B30" si="0">B10+1</f>
        <v>2012</v>
      </c>
      <c r="C11" s="6">
        <f>ROUND(Capacity!$G11+Energy!C11,2)</f>
        <v>37.57</v>
      </c>
      <c r="D11" s="6">
        <f>ROUND(Capacity!$G11+Energy!D11,2)</f>
        <v>35.82</v>
      </c>
      <c r="E11" s="6">
        <f>ROUND(Capacity!$F11+Energy!E11,2)</f>
        <v>34.07</v>
      </c>
      <c r="F11" s="6">
        <f>ROUND(Capacity!$F11+Energy!F11,2)</f>
        <v>34.369999999999997</v>
      </c>
      <c r="G11" s="6">
        <f>ROUND(Capacity!$F11+Energy!G11,2)</f>
        <v>35.049999999999997</v>
      </c>
    </row>
    <row r="12" spans="2:15" ht="15.75">
      <c r="B12" s="3">
        <f t="shared" si="0"/>
        <v>2013</v>
      </c>
      <c r="C12" s="6">
        <f>ROUND(Capacity!$G12+Energy!C12,2)</f>
        <v>40.18</v>
      </c>
      <c r="D12" s="6">
        <f>ROUND(Capacity!$G12+Energy!D12,2)</f>
        <v>38.83</v>
      </c>
      <c r="E12" s="6">
        <f>ROUND(Capacity!$F12+Energy!E12,2)</f>
        <v>38.049999999999997</v>
      </c>
      <c r="F12" s="6">
        <f>ROUND(Capacity!$F12+Energy!F12,2)</f>
        <v>38.4</v>
      </c>
      <c r="G12" s="6">
        <f>ROUND(Capacity!$F12+Energy!G12,2)</f>
        <v>38.53</v>
      </c>
    </row>
    <row r="13" spans="2:15" ht="15.75">
      <c r="B13" s="3">
        <f t="shared" si="0"/>
        <v>2014</v>
      </c>
      <c r="C13" s="6">
        <f>ROUND(Capacity!$G13+Energy!C13,2)</f>
        <v>42.33</v>
      </c>
      <c r="D13" s="6">
        <f>ROUND(Capacity!$G13+Energy!D13,2)</f>
        <v>41.93</v>
      </c>
      <c r="E13" s="6">
        <f>ROUND(Capacity!$F13+Energy!E13,2)</f>
        <v>41.76</v>
      </c>
      <c r="F13" s="6">
        <f>ROUND(Capacity!$F13+Energy!F13,2)</f>
        <v>41.59</v>
      </c>
      <c r="G13" s="6">
        <f>ROUND(Capacity!$F13+Energy!G13,2)</f>
        <v>41.53</v>
      </c>
      <c r="O13" s="7"/>
    </row>
    <row r="14" spans="2:15" ht="15.75">
      <c r="B14" s="3">
        <f t="shared" si="0"/>
        <v>2015</v>
      </c>
      <c r="C14" s="6">
        <f>ROUND(Capacity!$G14+Energy!C14,2)</f>
        <v>44.93</v>
      </c>
      <c r="D14" s="6">
        <f>ROUND(Capacity!$G14+Energy!D14,2)</f>
        <v>45.57</v>
      </c>
      <c r="E14" s="6">
        <f>ROUND(Capacity!$F14+Energy!E14,2)</f>
        <v>45.45</v>
      </c>
      <c r="F14" s="6">
        <f>ROUND(Capacity!$F14+Energy!F14,2)</f>
        <v>45.75</v>
      </c>
      <c r="G14" s="6">
        <f>ROUND(Capacity!$F14+Energy!G14,2)</f>
        <v>45.85</v>
      </c>
    </row>
    <row r="15" spans="2:15" ht="15.75">
      <c r="B15" s="3">
        <f t="shared" si="0"/>
        <v>2016</v>
      </c>
      <c r="C15" s="6">
        <f>ROUND(Capacity!$G15+Energy!C15,2)</f>
        <v>47.77</v>
      </c>
      <c r="D15" s="6">
        <f>ROUND(Capacity!$G15+Energy!D15,2)</f>
        <v>49.66</v>
      </c>
      <c r="E15" s="6">
        <f>ROUND(Capacity!$F15+Energy!E15,2)</f>
        <v>51.9</v>
      </c>
      <c r="F15" s="6">
        <f>ROUND(Capacity!$F15+Energy!F15,2)</f>
        <v>52.73</v>
      </c>
      <c r="G15" s="6">
        <f>ROUND(Capacity!$F15+Energy!G15,2)</f>
        <v>52.91</v>
      </c>
    </row>
    <row r="16" spans="2:15" ht="15.75">
      <c r="B16" s="3">
        <f t="shared" si="0"/>
        <v>2017</v>
      </c>
      <c r="C16" s="6">
        <f>ROUND(Capacity!$G16+Energy!C16,2)</f>
        <v>55.82</v>
      </c>
      <c r="D16" s="6">
        <f>ROUND(Capacity!$G16+Energy!D16,2)</f>
        <v>56.4</v>
      </c>
      <c r="E16" s="6">
        <f>ROUND(Capacity!$F16+Energy!E16,2)</f>
        <v>61.88</v>
      </c>
      <c r="F16" s="6">
        <f>ROUND(Capacity!$F16+Energy!F16,2)</f>
        <v>63.35</v>
      </c>
      <c r="G16" s="6">
        <f>ROUND(Capacity!$F16+Energy!G16,2)</f>
        <v>63.33</v>
      </c>
    </row>
    <row r="17" spans="2:10" ht="15.75">
      <c r="B17" s="3">
        <f t="shared" si="0"/>
        <v>2018</v>
      </c>
      <c r="C17" s="6">
        <f>ROUND(Capacity!$G17+Energy!C17,2)</f>
        <v>62.2</v>
      </c>
      <c r="D17" s="6">
        <f>ROUND(Capacity!$G17+Energy!D17,2)</f>
        <v>60.93</v>
      </c>
      <c r="E17" s="6">
        <f>ROUND(Capacity!$F17+Energy!E17,2)</f>
        <v>64.37</v>
      </c>
      <c r="F17" s="6">
        <f>ROUND(Capacity!$F17+Energy!F17,2)</f>
        <v>66.680000000000007</v>
      </c>
      <c r="G17" s="6">
        <f>ROUND(Capacity!$F17+Energy!G17,2)</f>
        <v>66.44</v>
      </c>
    </row>
    <row r="18" spans="2:10" ht="15.75">
      <c r="B18" s="3">
        <f t="shared" si="0"/>
        <v>2019</v>
      </c>
      <c r="C18" s="6">
        <f>ROUND(Capacity!$G18+Energy!C18,2)</f>
        <v>66.709999999999994</v>
      </c>
      <c r="D18" s="6">
        <f>ROUND(Capacity!$G18+Energy!D18,2)</f>
        <v>66.260000000000005</v>
      </c>
      <c r="E18" s="6">
        <f>ROUND(Capacity!$F18+Energy!E18,2)</f>
        <v>67.650000000000006</v>
      </c>
      <c r="F18" s="6">
        <f>ROUND(Capacity!$F18+Energy!F18,2)</f>
        <v>69.52</v>
      </c>
      <c r="G18" s="6">
        <f>ROUND(Capacity!$F18+Energy!G18,2)</f>
        <v>69.2</v>
      </c>
    </row>
    <row r="19" spans="2:10" ht="15.75">
      <c r="B19" s="3">
        <f t="shared" si="0"/>
        <v>2020</v>
      </c>
      <c r="C19" s="6">
        <f>ROUND(Capacity!$G19+Energy!C19,2)</f>
        <v>67.5</v>
      </c>
      <c r="D19" s="6">
        <f>ROUND(Capacity!$G19+Energy!D19,2)</f>
        <v>66.930000000000007</v>
      </c>
      <c r="E19" s="6">
        <f>ROUND(Capacity!$F19+Energy!E19,2)</f>
        <v>68.41</v>
      </c>
      <c r="F19" s="6">
        <f>ROUND(Capacity!$F19+Energy!F19,2)</f>
        <v>70.02</v>
      </c>
      <c r="G19" s="6">
        <f>ROUND(Capacity!$F19+Energy!G19,2)</f>
        <v>70.05</v>
      </c>
    </row>
    <row r="20" spans="2:10" ht="15.75">
      <c r="B20" s="3">
        <f t="shared" si="0"/>
        <v>2021</v>
      </c>
      <c r="C20" s="6">
        <f>ROUND(Capacity!$G20+Energy!C20,2)</f>
        <v>68.42</v>
      </c>
      <c r="D20" s="6">
        <f>ROUND(Capacity!$G20+Energy!D20,2)</f>
        <v>67.989999999999995</v>
      </c>
      <c r="E20" s="6">
        <f>ROUND(Capacity!$F20+Energy!E20,2)</f>
        <v>69.290000000000006</v>
      </c>
      <c r="F20" s="6">
        <f>ROUND(Capacity!$F20+Energy!F20,2)</f>
        <v>71.56</v>
      </c>
      <c r="G20" s="6">
        <f>ROUND(Capacity!$F20+Energy!G20,2)</f>
        <v>71.72</v>
      </c>
    </row>
    <row r="21" spans="2:10" ht="15.75">
      <c r="B21" s="3">
        <f t="shared" si="0"/>
        <v>2022</v>
      </c>
      <c r="C21" s="6">
        <f>ROUND(Capacity!$G21+Energy!C21,2)</f>
        <v>69.94</v>
      </c>
      <c r="D21" s="6">
        <f>ROUND(Capacity!$G21+Energy!D21,2)</f>
        <v>69.56</v>
      </c>
      <c r="E21" s="6">
        <f>ROUND(Capacity!$F21+Energy!E21,2)</f>
        <v>70.87</v>
      </c>
      <c r="F21" s="6">
        <f>ROUND(Capacity!$F21+Energy!F21,2)</f>
        <v>73.27</v>
      </c>
      <c r="G21" s="6">
        <f>ROUND(Capacity!$F21+Energy!G21,2)</f>
        <v>73.7</v>
      </c>
    </row>
    <row r="22" spans="2:10" ht="15.75">
      <c r="B22" s="3">
        <f t="shared" si="0"/>
        <v>2023</v>
      </c>
      <c r="C22" s="6">
        <f>ROUND(Capacity!$G22+Energy!C22,2)</f>
        <v>73.72</v>
      </c>
      <c r="D22" s="6">
        <f>ROUND(Capacity!$G22+Energy!D22,2)</f>
        <v>73.989999999999995</v>
      </c>
      <c r="E22" s="6">
        <f>ROUND(Capacity!$F22+Energy!E22,2)</f>
        <v>74.73</v>
      </c>
      <c r="F22" s="6">
        <f>ROUND(Capacity!$F22+Energy!F22,2)</f>
        <v>77.11</v>
      </c>
      <c r="G22" s="6">
        <f>ROUND(Capacity!$F22+Energy!G22,2)</f>
        <v>77.17</v>
      </c>
    </row>
    <row r="23" spans="2:10" ht="15.75">
      <c r="B23" s="3">
        <f t="shared" si="0"/>
        <v>2024</v>
      </c>
      <c r="C23" s="6">
        <f>ROUND(Capacity!$G23+Energy!C23,2)</f>
        <v>77.849999999999994</v>
      </c>
      <c r="D23" s="6">
        <f>ROUND(Capacity!$G23+Energy!D23,2)</f>
        <v>77.62</v>
      </c>
      <c r="E23" s="6">
        <f>ROUND(Capacity!$F23+Energy!E23,2)</f>
        <v>78.7</v>
      </c>
      <c r="F23" s="6">
        <f>ROUND(Capacity!$F23+Energy!F23,2)</f>
        <v>81.37</v>
      </c>
      <c r="G23" s="6">
        <f>ROUND(Capacity!$F23+Energy!G23,2)</f>
        <v>80.099999999999994</v>
      </c>
    </row>
    <row r="24" spans="2:10" ht="15.75">
      <c r="B24" s="3">
        <f t="shared" si="0"/>
        <v>2025</v>
      </c>
      <c r="C24" s="6">
        <f>ROUND(Capacity!$G24+Energy!C24,2)</f>
        <v>76.400000000000006</v>
      </c>
      <c r="D24" s="6">
        <f>ROUND(Capacity!$G24+Energy!D24,2)</f>
        <v>76.09</v>
      </c>
      <c r="E24" s="6">
        <f>ROUND(Capacity!$F24+Energy!E24,2)</f>
        <v>78.69</v>
      </c>
      <c r="F24" s="6">
        <f>ROUND(Capacity!$F24+Energy!F24,2)</f>
        <v>80.56</v>
      </c>
      <c r="G24" s="6">
        <f>ROUND(Capacity!$F24+Energy!G24,2)</f>
        <v>80.290000000000006</v>
      </c>
    </row>
    <row r="25" spans="2:10" ht="15.75">
      <c r="B25" s="3">
        <f t="shared" si="0"/>
        <v>2026</v>
      </c>
      <c r="C25" s="6">
        <f>ROUND(Capacity!$G25+Energy!C25,2)</f>
        <v>71.319999999999993</v>
      </c>
      <c r="D25" s="6">
        <f>ROUND(Capacity!$G25+Energy!D25,2)</f>
        <v>71.010000000000005</v>
      </c>
      <c r="E25" s="6">
        <f>ROUND(Capacity!$F25+Energy!E25,2)</f>
        <v>72.23</v>
      </c>
      <c r="F25" s="6">
        <f>ROUND(Capacity!$F25+Energy!F25,2)</f>
        <v>74.56</v>
      </c>
      <c r="G25" s="6">
        <f>ROUND(Capacity!$F25+Energy!G25,2)</f>
        <v>75.95</v>
      </c>
    </row>
    <row r="26" spans="2:10" ht="15.75">
      <c r="B26" s="3">
        <f t="shared" si="0"/>
        <v>2027</v>
      </c>
      <c r="C26" s="6">
        <f>ROUND(Capacity!$G26+Energy!C26,2)</f>
        <v>70.239999999999995</v>
      </c>
      <c r="D26" s="6">
        <f>ROUND(Capacity!$G26+Energy!D26,2)</f>
        <v>70.03</v>
      </c>
      <c r="E26" s="6">
        <f>ROUND(Capacity!$F26+Energy!E26,2)</f>
        <v>69.8</v>
      </c>
      <c r="F26" s="6">
        <f>ROUND(Capacity!$F26+Energy!F26,2)</f>
        <v>72.36</v>
      </c>
      <c r="G26" s="6">
        <f>ROUND(Capacity!$F26+Energy!G26,2)</f>
        <v>72.69</v>
      </c>
    </row>
    <row r="27" spans="2:10" ht="15.75">
      <c r="B27" s="3">
        <f t="shared" si="0"/>
        <v>2028</v>
      </c>
      <c r="C27" s="6">
        <f>ROUND(Capacity!$G27+Energy!C27,2)</f>
        <v>74.2</v>
      </c>
      <c r="D27" s="6">
        <f>ROUND(Capacity!$G27+Energy!D27,2)</f>
        <v>73.38</v>
      </c>
      <c r="E27" s="6">
        <f>ROUND(Capacity!$F27+Energy!E27,2)</f>
        <v>75.64</v>
      </c>
      <c r="F27" s="6">
        <f>ROUND(Capacity!$F27+Energy!F27,2)</f>
        <v>77.930000000000007</v>
      </c>
      <c r="G27" s="6">
        <f>ROUND(Capacity!$F27+Energy!G27,2)</f>
        <v>79.849999999999994</v>
      </c>
    </row>
    <row r="28" spans="2:10" ht="15.75">
      <c r="B28" s="3">
        <f t="shared" si="0"/>
        <v>2029</v>
      </c>
      <c r="C28" s="6">
        <f>ROUND(Capacity!$G28+Energy!C28,2)</f>
        <v>75.790000000000006</v>
      </c>
      <c r="D28" s="6">
        <f>ROUND(Capacity!$G28+Energy!D28,2)</f>
        <v>74.89</v>
      </c>
      <c r="E28" s="6">
        <f>ROUND(Capacity!$F28+Energy!E28,2)</f>
        <v>77.53</v>
      </c>
      <c r="F28" s="6">
        <f>ROUND(Capacity!$F28+Energy!F28,2)</f>
        <v>79.97</v>
      </c>
      <c r="G28" s="6">
        <f>ROUND(Capacity!$F28+Energy!G28,2)</f>
        <v>82.06</v>
      </c>
    </row>
    <row r="29" spans="2:10" ht="15.75">
      <c r="B29" s="3">
        <f t="shared" si="0"/>
        <v>2030</v>
      </c>
      <c r="C29" s="6">
        <f>ROUND(Capacity!$G29+Energy!C29,2)</f>
        <v>77.58</v>
      </c>
      <c r="D29" s="6">
        <f>ROUND(Capacity!$G29+Energy!D29,2)</f>
        <v>76.67</v>
      </c>
      <c r="E29" s="6">
        <f>ROUND(Capacity!$F29+Energy!E29,2)</f>
        <v>79.55</v>
      </c>
      <c r="F29" s="6">
        <f>ROUND(Capacity!$F29+Energy!F29,2)</f>
        <v>82.48</v>
      </c>
      <c r="G29" s="6">
        <f>ROUND(Capacity!$F29+Energy!G29,2)</f>
        <v>83.74</v>
      </c>
    </row>
    <row r="30" spans="2:10" ht="15.75" hidden="1">
      <c r="B30" s="3">
        <f t="shared" si="0"/>
        <v>2031</v>
      </c>
      <c r="C30" s="6"/>
      <c r="D30" s="6"/>
      <c r="E30" s="6"/>
      <c r="F30" s="6"/>
      <c r="G30" s="6"/>
    </row>
    <row r="32" spans="2:10">
      <c r="B32" s="4" t="str">
        <f>"Nominal Levelized Payment at "&amp;TEXT(Discount_Rate,"0.00%")&amp;" Discount Rate (3)"</f>
        <v>Nominal Levelized Payment at 7.15% Discount Rate (3)</v>
      </c>
      <c r="J32" s="18" t="s">
        <v>1</v>
      </c>
    </row>
    <row r="33" spans="2:10">
      <c r="B33" s="13" t="str">
        <f>B10&amp;" - "&amp;B29</f>
        <v>2011 - 2030</v>
      </c>
      <c r="C33" s="5">
        <f t="shared" ref="C33:E33" si="1">-PMT(Discount_Rate,COUNT(C10:C29),NPV(Discount_Rate,C10:C29))</f>
        <v>55.899623805486286</v>
      </c>
      <c r="D33" s="5">
        <f t="shared" si="1"/>
        <v>55.303349806089003</v>
      </c>
      <c r="E33" s="5">
        <f t="shared" si="1"/>
        <v>56.39246859574331</v>
      </c>
      <c r="F33" s="5">
        <f t="shared" ref="F33" si="2">-PMT(Discount_Rate,COUNT(F10:F29),NPV(Discount_Rate,F10:F29))</f>
        <v>57.70198441899413</v>
      </c>
      <c r="G33" s="5">
        <f t="shared" ref="G33" si="3">-PMT(Discount_Rate,COUNT(G10:G29),NPV(Discount_Rate,G10:G29))</f>
        <v>57.94430025351641</v>
      </c>
      <c r="I33" s="17"/>
      <c r="J33" s="12">
        <v>7.1499999999999994E-2</v>
      </c>
    </row>
    <row r="34" spans="2:10" hidden="1">
      <c r="B34" s="13" t="str">
        <f>B11&amp;" - "&amp;B30</f>
        <v>2012 - 2031</v>
      </c>
      <c r="C34" s="6"/>
      <c r="D34" s="6"/>
      <c r="E34" s="6"/>
      <c r="F34" s="5">
        <f>-PMT(Discount_Rate,COUNT(F11:F30),NPV(Discount_Rate,F11:F30))</f>
        <v>60.602277569855701</v>
      </c>
      <c r="G34" s="5">
        <f>-PMT(Discount_Rate,COUNT(G11:G30),NPV(Discount_Rate,G11:G30))</f>
        <v>60.836992467481153</v>
      </c>
      <c r="I34" s="17"/>
    </row>
    <row r="35" spans="2:10">
      <c r="D35" s="22"/>
      <c r="E35" s="22"/>
      <c r="F35" s="22"/>
      <c r="G35" s="22"/>
      <c r="J35" s="18"/>
    </row>
    <row r="36" spans="2:10">
      <c r="B36" s="13" t="s">
        <v>33</v>
      </c>
    </row>
    <row r="37" spans="2:10">
      <c r="B37" s="1" t="s">
        <v>24</v>
      </c>
    </row>
    <row r="38" spans="2:10">
      <c r="B38" s="1" t="s">
        <v>12</v>
      </c>
    </row>
    <row r="39" spans="2:10">
      <c r="B39" s="1" t="s">
        <v>20</v>
      </c>
      <c r="J39" s="12"/>
    </row>
  </sheetData>
  <phoneticPr fontId="2" type="noConversion"/>
  <printOptions horizontalCentered="1"/>
  <pageMargins left="0.25" right="0.25" top="0.75" bottom="0.75" header="0.3" footer="0.2"/>
  <pageSetup scale="91" orientation="landscape" r:id="rId1"/>
  <headerFooter alignWithMargins="0">
    <oddFooter>&amp;L&amp;8NPC Group&amp;C&amp;8Page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42"/>
    <pageSetUpPr fitToPage="1"/>
  </sheetPr>
  <dimension ref="B1:K39"/>
  <sheetViews>
    <sheetView zoomScale="70" zoomScaleNormal="70" workbookViewId="0">
      <pane xSplit="2" ySplit="9" topLeftCell="C10" activePane="bottomRight" state="frozen"/>
      <selection activeCell="G11" sqref="G11"/>
      <selection pane="topRight" activeCell="G11" sqref="G11"/>
      <selection pane="bottomLeft" activeCell="G11" sqref="G11"/>
      <selection pane="bottomRight" activeCell="B36" sqref="B36"/>
    </sheetView>
  </sheetViews>
  <sheetFormatPr defaultRowHeight="15"/>
  <cols>
    <col min="1" max="1" width="1.85546875" style="1" customWidth="1"/>
    <col min="2" max="2" width="13.85546875" style="1" customWidth="1"/>
    <col min="3" max="7" width="20.85546875" style="1" customWidth="1"/>
    <col min="8" max="8" width="2.28515625" style="1" customWidth="1"/>
    <col min="9" max="9" width="10.140625" style="1" hidden="1" customWidth="1"/>
    <col min="10" max="10" width="10.5703125" style="1" hidden="1" customWidth="1"/>
    <col min="11" max="11" width="9.28515625" style="1" hidden="1" customWidth="1"/>
    <col min="12" max="16384" width="9.140625" style="1"/>
  </cols>
  <sheetData>
    <row r="1" spans="2:11" ht="15.75">
      <c r="B1" s="8" t="str">
        <f>Total!B1</f>
        <v>Appendix C</v>
      </c>
      <c r="C1" s="8"/>
      <c r="D1" s="8"/>
      <c r="E1" s="8"/>
      <c r="F1" s="8"/>
      <c r="G1" s="8"/>
    </row>
    <row r="2" spans="2:11" ht="8.25" customHeight="1">
      <c r="B2" s="8"/>
      <c r="C2" s="8"/>
      <c r="D2" s="8"/>
      <c r="E2" s="8"/>
      <c r="F2" s="8"/>
      <c r="G2" s="8"/>
    </row>
    <row r="3" spans="2:11" ht="15.75">
      <c r="B3" s="8" t="str">
        <f>Total!B3</f>
        <v>Utah Quarterly Compliance Filing</v>
      </c>
      <c r="C3" s="8"/>
      <c r="D3" s="8"/>
      <c r="E3" s="8"/>
      <c r="F3" s="8"/>
      <c r="G3" s="8"/>
    </row>
    <row r="4" spans="2:11" ht="15.75">
      <c r="B4" s="8" t="str">
        <f>Total!B4</f>
        <v>Step Study between 2011.Q1 and 2011.Q2 Compliance Filing</v>
      </c>
      <c r="C4" s="8"/>
      <c r="D4" s="8"/>
      <c r="E4" s="8"/>
      <c r="F4" s="8"/>
      <c r="G4" s="8"/>
    </row>
    <row r="5" spans="2:11" ht="15.75">
      <c r="B5" s="8" t="s">
        <v>22</v>
      </c>
      <c r="C5" s="8"/>
      <c r="D5" s="8"/>
      <c r="E5" s="8"/>
      <c r="F5" s="8"/>
      <c r="G5" s="8"/>
    </row>
    <row r="6" spans="2:11" ht="15.75">
      <c r="B6" s="8"/>
      <c r="C6" s="8"/>
      <c r="D6" s="8"/>
      <c r="E6" s="8"/>
      <c r="F6" s="8"/>
      <c r="G6" s="8"/>
    </row>
    <row r="7" spans="2:11" ht="15.75">
      <c r="B7" s="9"/>
      <c r="C7" s="28" t="str">
        <f>Energy!D7</f>
        <v>Official Forward</v>
      </c>
      <c r="D7" s="28" t="str">
        <f>Energy!E7</f>
        <v>2011 IRP</v>
      </c>
      <c r="E7" s="28" t="str">
        <f>Energy!F7</f>
        <v>Extend Existing</v>
      </c>
      <c r="F7" s="28" t="str">
        <f>Energy!G7</f>
        <v>All Other</v>
      </c>
      <c r="G7" s="28" t="s">
        <v>7</v>
      </c>
      <c r="I7" s="15" t="s">
        <v>13</v>
      </c>
      <c r="J7" s="25"/>
    </row>
    <row r="8" spans="2:11" ht="15.75">
      <c r="B8" s="10" t="s">
        <v>0</v>
      </c>
      <c r="C8" s="29" t="str">
        <f>Energy!D8</f>
        <v>Price Curve (2)</v>
      </c>
      <c r="D8" s="29" t="str">
        <f>Energy!E8</f>
        <v>Updates</v>
      </c>
      <c r="E8" s="29" t="str">
        <f>Energy!F8</f>
        <v>Interruptible</v>
      </c>
      <c r="F8" s="29" t="str">
        <f>Energy!G8</f>
        <v>Changes</v>
      </c>
      <c r="G8" s="29" t="s">
        <v>8</v>
      </c>
      <c r="I8" s="26" t="s">
        <v>8</v>
      </c>
      <c r="J8" s="27" t="s">
        <v>14</v>
      </c>
    </row>
    <row r="9" spans="2:11" ht="4.5" customHeight="1">
      <c r="C9" s="4"/>
      <c r="D9" s="4"/>
      <c r="E9" s="4"/>
      <c r="F9" s="4"/>
      <c r="G9" s="4"/>
    </row>
    <row r="10" spans="2:11" ht="15.75">
      <c r="B10" s="3">
        <f>Total!B10</f>
        <v>2011</v>
      </c>
      <c r="C10" s="35">
        <f>ROUND(Total!D10-Total!C10,2)</f>
        <v>-2.99</v>
      </c>
      <c r="D10" s="35">
        <f>ROUND(Total!E10-Total!D10,2)</f>
        <v>0.23</v>
      </c>
      <c r="E10" s="35">
        <f>ROUND(Total!F10-Total!E10,2)</f>
        <v>0.12</v>
      </c>
      <c r="F10" s="35">
        <f>ROUND(Total!G10-Total!F10,2)</f>
        <v>0.32</v>
      </c>
      <c r="G10" s="35">
        <f>ROUND(Total!G10-Total!C10,2)</f>
        <v>-2.3199999999999998</v>
      </c>
      <c r="I10" s="24" t="e">
        <f>Total!#REF!-Total!C10</f>
        <v>#REF!</v>
      </c>
      <c r="J10" s="24" t="e">
        <f t="shared" ref="J10" si="0">ROUND(G10-I10,4)</f>
        <v>#REF!</v>
      </c>
      <c r="K10" s="34">
        <f t="shared" ref="K10:K30" si="1">ROUND(SUM(C10:D10)-G10,3)</f>
        <v>-0.44</v>
      </c>
    </row>
    <row r="11" spans="2:11" ht="15.75">
      <c r="B11" s="3">
        <f t="shared" ref="B11:B29" si="2">B10+1</f>
        <v>2012</v>
      </c>
      <c r="C11" s="35">
        <f>ROUND(Total!D11-Total!C11,2)</f>
        <v>-1.75</v>
      </c>
      <c r="D11" s="35">
        <f>ROUND(Total!E11-Total!D11,2)</f>
        <v>-1.75</v>
      </c>
      <c r="E11" s="35">
        <f>ROUND(Total!F11-Total!E11,2)</f>
        <v>0.3</v>
      </c>
      <c r="F11" s="35">
        <f>ROUND(Total!G11-Total!F11,2)</f>
        <v>0.68</v>
      </c>
      <c r="G11" s="35">
        <f>ROUND(Total!G11-Total!C11,2)</f>
        <v>-2.52</v>
      </c>
      <c r="I11" s="24" t="e">
        <f>Total!#REF!-Total!C11</f>
        <v>#REF!</v>
      </c>
      <c r="J11" s="24" t="e">
        <f t="shared" ref="J11:J29" si="3">ROUND(G11-I11,4)</f>
        <v>#REF!</v>
      </c>
      <c r="K11" s="34">
        <f t="shared" si="1"/>
        <v>-0.98</v>
      </c>
    </row>
    <row r="12" spans="2:11" ht="15.75">
      <c r="B12" s="3">
        <f t="shared" si="2"/>
        <v>2013</v>
      </c>
      <c r="C12" s="35">
        <f>ROUND(Total!D12-Total!C12,2)</f>
        <v>-1.35</v>
      </c>
      <c r="D12" s="35">
        <f>ROUND(Total!E12-Total!D12,2)</f>
        <v>-0.78</v>
      </c>
      <c r="E12" s="35">
        <f>ROUND(Total!F12-Total!E12,2)</f>
        <v>0.35</v>
      </c>
      <c r="F12" s="35">
        <f>ROUND(Total!G12-Total!F12,2)</f>
        <v>0.13</v>
      </c>
      <c r="G12" s="35">
        <f>ROUND(Total!G12-Total!C12,2)</f>
        <v>-1.65</v>
      </c>
      <c r="I12" s="24" t="e">
        <f>Total!#REF!-Total!C12</f>
        <v>#REF!</v>
      </c>
      <c r="J12" s="24" t="e">
        <f t="shared" si="3"/>
        <v>#REF!</v>
      </c>
      <c r="K12" s="34">
        <f t="shared" si="1"/>
        <v>-0.48</v>
      </c>
    </row>
    <row r="13" spans="2:11" ht="15.75">
      <c r="B13" s="3">
        <f t="shared" si="2"/>
        <v>2014</v>
      </c>
      <c r="C13" s="35">
        <f>ROUND(Total!D13-Total!C13,2)</f>
        <v>-0.4</v>
      </c>
      <c r="D13" s="35">
        <f>ROUND(Total!E13-Total!D13,2)</f>
        <v>-0.17</v>
      </c>
      <c r="E13" s="35">
        <f>ROUND(Total!F13-Total!E13,2)</f>
        <v>-0.17</v>
      </c>
      <c r="F13" s="35">
        <f>ROUND(Total!G13-Total!F13,2)</f>
        <v>-0.06</v>
      </c>
      <c r="G13" s="35">
        <f>ROUND(Total!G13-Total!C13,2)</f>
        <v>-0.8</v>
      </c>
      <c r="I13" s="24" t="e">
        <f>Total!#REF!-Total!C13</f>
        <v>#REF!</v>
      </c>
      <c r="J13" s="24" t="e">
        <f t="shared" si="3"/>
        <v>#REF!</v>
      </c>
      <c r="K13" s="34">
        <f t="shared" si="1"/>
        <v>0.23</v>
      </c>
    </row>
    <row r="14" spans="2:11" ht="15.75">
      <c r="B14" s="3">
        <f t="shared" si="2"/>
        <v>2015</v>
      </c>
      <c r="C14" s="35">
        <f>ROUND(Total!D14-Total!C14,2)</f>
        <v>0.64</v>
      </c>
      <c r="D14" s="35">
        <f>ROUND(Total!E14-Total!D14,2)</f>
        <v>-0.12</v>
      </c>
      <c r="E14" s="35">
        <f>ROUND(Total!F14-Total!E14,2)</f>
        <v>0.3</v>
      </c>
      <c r="F14" s="35">
        <f>ROUND(Total!G14-Total!F14,2)</f>
        <v>0.1</v>
      </c>
      <c r="G14" s="35">
        <f>ROUND(Total!G14-Total!C14,2)</f>
        <v>0.92</v>
      </c>
      <c r="I14" s="24" t="e">
        <f>Total!#REF!-Total!C14</f>
        <v>#REF!</v>
      </c>
      <c r="J14" s="24" t="e">
        <f t="shared" si="3"/>
        <v>#REF!</v>
      </c>
      <c r="K14" s="34">
        <f t="shared" si="1"/>
        <v>-0.4</v>
      </c>
    </row>
    <row r="15" spans="2:11" ht="15.75">
      <c r="B15" s="3">
        <f t="shared" si="2"/>
        <v>2016</v>
      </c>
      <c r="C15" s="35">
        <f>ROUND(Total!D15-Total!C15,2)</f>
        <v>1.89</v>
      </c>
      <c r="D15" s="35">
        <f>ROUND(Total!E15-Total!D15,2)</f>
        <v>2.2400000000000002</v>
      </c>
      <c r="E15" s="35">
        <f>ROUND(Total!F15-Total!E15,2)</f>
        <v>0.83</v>
      </c>
      <c r="F15" s="35">
        <f>ROUND(Total!G15-Total!F15,2)</f>
        <v>0.18</v>
      </c>
      <c r="G15" s="35">
        <f>ROUND(Total!G15-Total!C15,2)</f>
        <v>5.14</v>
      </c>
      <c r="I15" s="24" t="e">
        <f>Total!#REF!-Total!C15</f>
        <v>#REF!</v>
      </c>
      <c r="J15" s="24" t="e">
        <f t="shared" si="3"/>
        <v>#REF!</v>
      </c>
      <c r="K15" s="34">
        <f t="shared" si="1"/>
        <v>-1.01</v>
      </c>
    </row>
    <row r="16" spans="2:11" ht="15.75">
      <c r="B16" s="3">
        <f t="shared" si="2"/>
        <v>2017</v>
      </c>
      <c r="C16" s="35">
        <f>ROUND(Total!D16-Total!C16,2)</f>
        <v>0.57999999999999996</v>
      </c>
      <c r="D16" s="35">
        <f>ROUND(Total!E16-Total!D16,2)</f>
        <v>5.48</v>
      </c>
      <c r="E16" s="35">
        <f>ROUND(Total!F16-Total!E16,2)</f>
        <v>1.47</v>
      </c>
      <c r="F16" s="35">
        <f>ROUND(Total!G16-Total!F16,2)</f>
        <v>-0.02</v>
      </c>
      <c r="G16" s="35">
        <f>ROUND(Total!G16-Total!C16,2)</f>
        <v>7.51</v>
      </c>
      <c r="I16" s="24" t="e">
        <f>Total!#REF!-Total!C16</f>
        <v>#REF!</v>
      </c>
      <c r="J16" s="24" t="e">
        <f t="shared" si="3"/>
        <v>#REF!</v>
      </c>
      <c r="K16" s="34">
        <f t="shared" si="1"/>
        <v>-1.45</v>
      </c>
    </row>
    <row r="17" spans="2:11" ht="15.75">
      <c r="B17" s="3">
        <f t="shared" si="2"/>
        <v>2018</v>
      </c>
      <c r="C17" s="35">
        <f>ROUND(Total!D17-Total!C17,2)</f>
        <v>-1.27</v>
      </c>
      <c r="D17" s="35">
        <f>ROUND(Total!E17-Total!D17,2)</f>
        <v>3.44</v>
      </c>
      <c r="E17" s="35">
        <f>ROUND(Total!F17-Total!E17,2)</f>
        <v>2.31</v>
      </c>
      <c r="F17" s="35">
        <f>ROUND(Total!G17-Total!F17,2)</f>
        <v>-0.24</v>
      </c>
      <c r="G17" s="35">
        <f>ROUND(Total!G17-Total!C17,2)</f>
        <v>4.24</v>
      </c>
      <c r="I17" s="24" t="e">
        <f>Total!#REF!-Total!C17</f>
        <v>#REF!</v>
      </c>
      <c r="J17" s="24" t="e">
        <f t="shared" si="3"/>
        <v>#REF!</v>
      </c>
      <c r="K17" s="34">
        <f t="shared" si="1"/>
        <v>-2.0699999999999998</v>
      </c>
    </row>
    <row r="18" spans="2:11" ht="15.75">
      <c r="B18" s="3">
        <f t="shared" si="2"/>
        <v>2019</v>
      </c>
      <c r="C18" s="35">
        <f>ROUND(Total!D18-Total!C18,2)</f>
        <v>-0.45</v>
      </c>
      <c r="D18" s="35">
        <f>ROUND(Total!E18-Total!D18,2)</f>
        <v>1.39</v>
      </c>
      <c r="E18" s="35">
        <f>ROUND(Total!F18-Total!E18,2)</f>
        <v>1.87</v>
      </c>
      <c r="F18" s="35">
        <f>ROUND(Total!G18-Total!F18,2)</f>
        <v>-0.32</v>
      </c>
      <c r="G18" s="35">
        <f>ROUND(Total!G18-Total!C18,2)</f>
        <v>2.4900000000000002</v>
      </c>
      <c r="I18" s="24" t="e">
        <f>Total!#REF!-Total!C18</f>
        <v>#REF!</v>
      </c>
      <c r="J18" s="24" t="e">
        <f t="shared" ref="J18" si="4">ROUND(G18-I18,4)</f>
        <v>#REF!</v>
      </c>
      <c r="K18" s="34">
        <f t="shared" si="1"/>
        <v>-1.55</v>
      </c>
    </row>
    <row r="19" spans="2:11" ht="15.75">
      <c r="B19" s="3">
        <f t="shared" si="2"/>
        <v>2020</v>
      </c>
      <c r="C19" s="35">
        <f>ROUND(Total!D19-Total!C19,2)</f>
        <v>-0.56999999999999995</v>
      </c>
      <c r="D19" s="35">
        <f>ROUND(Total!E19-Total!D19,2)</f>
        <v>1.48</v>
      </c>
      <c r="E19" s="35">
        <f>ROUND(Total!F19-Total!E19,2)</f>
        <v>1.61</v>
      </c>
      <c r="F19" s="35">
        <f>ROUND(Total!G19-Total!F19,2)</f>
        <v>0.03</v>
      </c>
      <c r="G19" s="35">
        <f>ROUND(Total!G19-Total!C19,2)</f>
        <v>2.5499999999999998</v>
      </c>
      <c r="I19" s="24" t="e">
        <f>Total!#REF!-Total!C19</f>
        <v>#REF!</v>
      </c>
      <c r="J19" s="24" t="e">
        <f t="shared" si="3"/>
        <v>#REF!</v>
      </c>
      <c r="K19" s="34">
        <f t="shared" si="1"/>
        <v>-1.64</v>
      </c>
    </row>
    <row r="20" spans="2:11" ht="15.75">
      <c r="B20" s="3">
        <f t="shared" si="2"/>
        <v>2021</v>
      </c>
      <c r="C20" s="35">
        <f>ROUND(Total!D20-Total!C20,2)</f>
        <v>-0.43</v>
      </c>
      <c r="D20" s="35">
        <f>ROUND(Total!E20-Total!D20,2)</f>
        <v>1.3</v>
      </c>
      <c r="E20" s="35">
        <f>ROUND(Total!F20-Total!E20,2)</f>
        <v>2.27</v>
      </c>
      <c r="F20" s="35">
        <f>ROUND(Total!G20-Total!F20,2)</f>
        <v>0.16</v>
      </c>
      <c r="G20" s="35">
        <f>ROUND(Total!G20-Total!C20,2)</f>
        <v>3.3</v>
      </c>
      <c r="I20" s="24" t="e">
        <f>Total!#REF!-Total!C20</f>
        <v>#REF!</v>
      </c>
      <c r="J20" s="24" t="e">
        <f t="shared" si="3"/>
        <v>#REF!</v>
      </c>
      <c r="K20" s="34">
        <f t="shared" si="1"/>
        <v>-2.4300000000000002</v>
      </c>
    </row>
    <row r="21" spans="2:11" ht="15.75">
      <c r="B21" s="3">
        <f t="shared" si="2"/>
        <v>2022</v>
      </c>
      <c r="C21" s="35">
        <f>ROUND(Total!D21-Total!C21,2)</f>
        <v>-0.38</v>
      </c>
      <c r="D21" s="35">
        <f>ROUND(Total!E21-Total!D21,2)</f>
        <v>1.31</v>
      </c>
      <c r="E21" s="35">
        <f>ROUND(Total!F21-Total!E21,2)</f>
        <v>2.4</v>
      </c>
      <c r="F21" s="35">
        <f>ROUND(Total!G21-Total!F21,2)</f>
        <v>0.43</v>
      </c>
      <c r="G21" s="35">
        <f>ROUND(Total!G21-Total!C21,2)</f>
        <v>3.76</v>
      </c>
      <c r="I21" s="24" t="e">
        <f>Total!#REF!-Total!C21</f>
        <v>#REF!</v>
      </c>
      <c r="J21" s="24" t="e">
        <f t="shared" si="3"/>
        <v>#REF!</v>
      </c>
      <c r="K21" s="34">
        <f t="shared" si="1"/>
        <v>-2.83</v>
      </c>
    </row>
    <row r="22" spans="2:11" ht="15.75">
      <c r="B22" s="3">
        <f t="shared" si="2"/>
        <v>2023</v>
      </c>
      <c r="C22" s="35">
        <f>ROUND(Total!D22-Total!C22,2)</f>
        <v>0.27</v>
      </c>
      <c r="D22" s="35">
        <f>ROUND(Total!E22-Total!D22,2)</f>
        <v>0.74</v>
      </c>
      <c r="E22" s="35">
        <f>ROUND(Total!F22-Total!E22,2)</f>
        <v>2.38</v>
      </c>
      <c r="F22" s="35">
        <f>ROUND(Total!G22-Total!F22,2)</f>
        <v>0.06</v>
      </c>
      <c r="G22" s="35">
        <f>ROUND(Total!G22-Total!C22,2)</f>
        <v>3.45</v>
      </c>
      <c r="I22" s="24" t="e">
        <f>Total!#REF!-Total!C22</f>
        <v>#REF!</v>
      </c>
      <c r="J22" s="24" t="e">
        <f t="shared" si="3"/>
        <v>#REF!</v>
      </c>
      <c r="K22" s="34">
        <f t="shared" si="1"/>
        <v>-2.44</v>
      </c>
    </row>
    <row r="23" spans="2:11" ht="15.75">
      <c r="B23" s="3">
        <f t="shared" si="2"/>
        <v>2024</v>
      </c>
      <c r="C23" s="35">
        <f>ROUND(Total!D23-Total!C23,2)</f>
        <v>-0.23</v>
      </c>
      <c r="D23" s="35">
        <f>ROUND(Total!E23-Total!D23,2)</f>
        <v>1.08</v>
      </c>
      <c r="E23" s="35">
        <f>ROUND(Total!F23-Total!E23,2)</f>
        <v>2.67</v>
      </c>
      <c r="F23" s="35">
        <f>ROUND(Total!G23-Total!F23,2)</f>
        <v>-1.27</v>
      </c>
      <c r="G23" s="35">
        <f>ROUND(Total!G23-Total!C23,2)</f>
        <v>2.25</v>
      </c>
      <c r="I23" s="24" t="e">
        <f>Total!#REF!-Total!C23</f>
        <v>#REF!</v>
      </c>
      <c r="J23" s="24" t="e">
        <f t="shared" si="3"/>
        <v>#REF!</v>
      </c>
      <c r="K23" s="34">
        <f t="shared" si="1"/>
        <v>-1.4</v>
      </c>
    </row>
    <row r="24" spans="2:11" ht="15.75">
      <c r="B24" s="3">
        <f t="shared" si="2"/>
        <v>2025</v>
      </c>
      <c r="C24" s="35">
        <f>ROUND(Total!D24-Total!C24,2)</f>
        <v>-0.31</v>
      </c>
      <c r="D24" s="35">
        <f>ROUND(Total!E24-Total!D24,2)</f>
        <v>2.6</v>
      </c>
      <c r="E24" s="35">
        <f>ROUND(Total!F24-Total!E24,2)</f>
        <v>1.87</v>
      </c>
      <c r="F24" s="35">
        <f>ROUND(Total!G24-Total!F24,2)</f>
        <v>-0.27</v>
      </c>
      <c r="G24" s="35">
        <f>ROUND(Total!G24-Total!C24,2)</f>
        <v>3.89</v>
      </c>
      <c r="I24" s="24" t="e">
        <f>Total!#REF!-Total!C24</f>
        <v>#REF!</v>
      </c>
      <c r="J24" s="24" t="e">
        <f t="shared" si="3"/>
        <v>#REF!</v>
      </c>
      <c r="K24" s="34">
        <f t="shared" si="1"/>
        <v>-1.6</v>
      </c>
    </row>
    <row r="25" spans="2:11" ht="15.75">
      <c r="B25" s="3">
        <f t="shared" si="2"/>
        <v>2026</v>
      </c>
      <c r="C25" s="35">
        <f>ROUND(Total!D25-Total!C25,2)</f>
        <v>-0.31</v>
      </c>
      <c r="D25" s="35">
        <f>ROUND(Total!E25-Total!D25,2)</f>
        <v>1.22</v>
      </c>
      <c r="E25" s="35">
        <f>ROUND(Total!F25-Total!E25,2)</f>
        <v>2.33</v>
      </c>
      <c r="F25" s="35">
        <f>ROUND(Total!G25-Total!F25,2)</f>
        <v>1.39</v>
      </c>
      <c r="G25" s="35">
        <f>ROUND(Total!G25-Total!C25,2)</f>
        <v>4.63</v>
      </c>
      <c r="I25" s="24" t="e">
        <f>Total!#REF!-Total!C25</f>
        <v>#REF!</v>
      </c>
      <c r="J25" s="24" t="e">
        <f t="shared" si="3"/>
        <v>#REF!</v>
      </c>
      <c r="K25" s="34">
        <f t="shared" si="1"/>
        <v>-3.72</v>
      </c>
    </row>
    <row r="26" spans="2:11" ht="15.75">
      <c r="B26" s="3">
        <f t="shared" si="2"/>
        <v>2027</v>
      </c>
      <c r="C26" s="35">
        <f>ROUND(Total!D26-Total!C26,2)</f>
        <v>-0.21</v>
      </c>
      <c r="D26" s="35">
        <f>ROUND(Total!E26-Total!D26,2)</f>
        <v>-0.23</v>
      </c>
      <c r="E26" s="35">
        <f>ROUND(Total!F26-Total!E26,2)</f>
        <v>2.56</v>
      </c>
      <c r="F26" s="35">
        <f>ROUND(Total!G26-Total!F26,2)</f>
        <v>0.33</v>
      </c>
      <c r="G26" s="35">
        <f>ROUND(Total!G26-Total!C26,2)</f>
        <v>2.4500000000000002</v>
      </c>
      <c r="I26" s="24" t="e">
        <f>Total!#REF!-Total!C26</f>
        <v>#REF!</v>
      </c>
      <c r="J26" s="24" t="e">
        <f t="shared" si="3"/>
        <v>#REF!</v>
      </c>
      <c r="K26" s="34">
        <f t="shared" si="1"/>
        <v>-2.89</v>
      </c>
    </row>
    <row r="27" spans="2:11" ht="15.75">
      <c r="B27" s="3">
        <f t="shared" si="2"/>
        <v>2028</v>
      </c>
      <c r="C27" s="35">
        <f>ROUND(Total!D27-Total!C27,2)</f>
        <v>-0.82</v>
      </c>
      <c r="D27" s="35">
        <f>ROUND(Total!E27-Total!D27,2)</f>
        <v>2.2599999999999998</v>
      </c>
      <c r="E27" s="35">
        <f>ROUND(Total!F27-Total!E27,2)</f>
        <v>2.29</v>
      </c>
      <c r="F27" s="35">
        <f>ROUND(Total!G27-Total!F27,2)</f>
        <v>1.92</v>
      </c>
      <c r="G27" s="35">
        <f>ROUND(Total!G27-Total!C27,2)</f>
        <v>5.65</v>
      </c>
      <c r="I27" s="24" t="e">
        <f>Total!#REF!-Total!C27</f>
        <v>#REF!</v>
      </c>
      <c r="J27" s="24" t="e">
        <f t="shared" si="3"/>
        <v>#REF!</v>
      </c>
      <c r="K27" s="34">
        <f t="shared" si="1"/>
        <v>-4.21</v>
      </c>
    </row>
    <row r="28" spans="2:11" ht="15.75">
      <c r="B28" s="3">
        <f t="shared" si="2"/>
        <v>2029</v>
      </c>
      <c r="C28" s="35">
        <f>ROUND(Total!D28-Total!C28,2)</f>
        <v>-0.9</v>
      </c>
      <c r="D28" s="35">
        <f>ROUND(Total!E28-Total!D28,2)</f>
        <v>2.64</v>
      </c>
      <c r="E28" s="35">
        <f>ROUND(Total!F28-Total!E28,2)</f>
        <v>2.44</v>
      </c>
      <c r="F28" s="35">
        <f>ROUND(Total!G28-Total!F28,2)</f>
        <v>2.09</v>
      </c>
      <c r="G28" s="35">
        <f>ROUND(Total!G28-Total!C28,2)</f>
        <v>6.27</v>
      </c>
      <c r="I28" s="24" t="e">
        <f>Total!#REF!-Total!C28</f>
        <v>#REF!</v>
      </c>
      <c r="J28" s="24" t="e">
        <f t="shared" si="3"/>
        <v>#REF!</v>
      </c>
      <c r="K28" s="34">
        <f t="shared" si="1"/>
        <v>-4.53</v>
      </c>
    </row>
    <row r="29" spans="2:11" ht="15.75">
      <c r="B29" s="3">
        <f t="shared" si="2"/>
        <v>2030</v>
      </c>
      <c r="C29" s="35">
        <f>ROUND(Total!D29-Total!C29,2)</f>
        <v>-0.91</v>
      </c>
      <c r="D29" s="35">
        <f>ROUND(Total!E29-Total!D29,2)</f>
        <v>2.88</v>
      </c>
      <c r="E29" s="35">
        <f>ROUND(Total!F29-Total!E29,2)</f>
        <v>2.93</v>
      </c>
      <c r="F29" s="35">
        <f>ROUND(Total!G29-Total!F29,2)</f>
        <v>1.26</v>
      </c>
      <c r="G29" s="35">
        <f>ROUND(Total!G29-Total!C29,2)</f>
        <v>6.16</v>
      </c>
      <c r="I29" s="24" t="e">
        <f>Total!#REF!-Total!C29</f>
        <v>#REF!</v>
      </c>
      <c r="J29" s="24" t="e">
        <f t="shared" si="3"/>
        <v>#REF!</v>
      </c>
      <c r="K29" s="34">
        <f t="shared" si="1"/>
        <v>-4.1900000000000004</v>
      </c>
    </row>
    <row r="30" spans="2:11" ht="15.75" hidden="1">
      <c r="B30" s="3"/>
      <c r="C30" s="36"/>
      <c r="D30" s="36"/>
      <c r="E30" s="36"/>
      <c r="F30" s="36"/>
      <c r="G30" s="6"/>
      <c r="I30" s="24"/>
      <c r="J30" s="24"/>
      <c r="K30" s="34">
        <f t="shared" si="1"/>
        <v>0</v>
      </c>
    </row>
    <row r="31" spans="2:11">
      <c r="C31" s="4"/>
      <c r="D31" s="4"/>
      <c r="E31" s="4"/>
      <c r="F31" s="4"/>
      <c r="G31" s="4"/>
      <c r="K31" s="34"/>
    </row>
    <row r="32" spans="2:11">
      <c r="B32" s="32" t="str">
        <f>Total!B32</f>
        <v>Nominal Levelized Payment at 7.15% Discount Rate (3)</v>
      </c>
      <c r="C32" s="31"/>
      <c r="D32" s="31"/>
      <c r="E32" s="31"/>
      <c r="F32" s="31"/>
      <c r="G32" s="18"/>
      <c r="J32" s="18" t="s">
        <v>1</v>
      </c>
      <c r="K32" s="34"/>
    </row>
    <row r="33" spans="2:11">
      <c r="B33" s="13" t="str">
        <f>B10&amp;" - "&amp;B29</f>
        <v>2011 - 2030</v>
      </c>
      <c r="C33" s="5">
        <f>ROUND(Total!D33-Total!C33,2)</f>
        <v>-0.6</v>
      </c>
      <c r="D33" s="5">
        <f>ROUND(Total!E33-Total!D33,2)</f>
        <v>1.0900000000000001</v>
      </c>
      <c r="E33" s="5">
        <f>ROUND(Total!F33-Total!E33,2)</f>
        <v>1.31</v>
      </c>
      <c r="F33" s="5">
        <f>ROUND(Total!G33-Total!F33,2)</f>
        <v>0.24</v>
      </c>
      <c r="G33" s="5">
        <f>ROUND(Total!G33-Total!C33,2)</f>
        <v>2.04</v>
      </c>
      <c r="I33" s="6"/>
      <c r="J33" s="12">
        <f>Discount_Rate</f>
        <v>7.1499999999999994E-2</v>
      </c>
      <c r="K33" s="34">
        <f>ROUND(SUM(C33:D33)-G33,3)</f>
        <v>-1.55</v>
      </c>
    </row>
    <row r="35" spans="2:11" hidden="1"/>
    <row r="36" spans="2:11">
      <c r="B36" s="1" t="str">
        <f>Total!B36</f>
        <v xml:space="preserve">(1)   Step studies impacts are estimates.  </v>
      </c>
    </row>
    <row r="37" spans="2:11">
      <c r="B37" s="1" t="str">
        <f>Total!B37</f>
        <v>(2)   Official Forward Price Curve Dated March 31, 2011</v>
      </c>
    </row>
    <row r="38" spans="2:11">
      <c r="B38" s="1" t="str">
        <f>Total!B38</f>
        <v>(3)   Discount Rate - Company Official Discount Rate</v>
      </c>
      <c r="C38" s="13"/>
    </row>
    <row r="39" spans="2:11">
      <c r="B39" s="1" t="str">
        <f>Total!B39</f>
        <v xml:space="preserve">(4)   Capacity costs are allocated assuming an 85% capacity factor. </v>
      </c>
    </row>
  </sheetData>
  <phoneticPr fontId="2" type="noConversion"/>
  <printOptions horizontalCentered="1"/>
  <pageMargins left="0.25" right="0.25" top="0.75" bottom="0.75" header="0.3" footer="0.2"/>
  <pageSetup scale="91" orientation="landscape" r:id="rId1"/>
  <headerFooter alignWithMargins="0">
    <oddFooter>&amp;L&amp;8NPC Group&amp;C&amp;8Page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42"/>
    <pageSetUpPr fitToPage="1"/>
  </sheetPr>
  <dimension ref="B1:I38"/>
  <sheetViews>
    <sheetView zoomScale="70" zoomScaleNormal="70" workbookViewId="0">
      <pane xSplit="2" ySplit="6" topLeftCell="D7" activePane="bottomRight" state="frozen"/>
      <selection activeCell="G11" sqref="G11"/>
      <selection pane="topRight" activeCell="G11" sqref="G11"/>
      <selection pane="bottomLeft" activeCell="G11" sqref="G11"/>
      <selection pane="bottomRight" activeCell="B36" sqref="B36"/>
    </sheetView>
  </sheetViews>
  <sheetFormatPr defaultRowHeight="15"/>
  <cols>
    <col min="1" max="1" width="1.85546875" style="1" customWidth="1"/>
    <col min="2" max="2" width="14.140625" style="1" customWidth="1"/>
    <col min="3" max="7" width="20.85546875" style="1" customWidth="1"/>
    <col min="8" max="8" width="2.28515625" style="1" customWidth="1"/>
    <col min="9" max="9" width="9.140625" style="1" customWidth="1"/>
    <col min="10" max="16384" width="9.140625" style="1"/>
  </cols>
  <sheetData>
    <row r="1" spans="2:9" ht="15.75">
      <c r="B1" s="8" t="str">
        <f>Total!B1</f>
        <v>Appendix C</v>
      </c>
      <c r="C1" s="8"/>
      <c r="D1" s="8"/>
      <c r="E1" s="8"/>
      <c r="F1" s="8"/>
      <c r="G1" s="8"/>
    </row>
    <row r="2" spans="2:9" ht="8.25" customHeight="1">
      <c r="B2" s="8"/>
      <c r="C2" s="8"/>
      <c r="D2" s="8"/>
      <c r="E2" s="8"/>
      <c r="F2" s="8"/>
      <c r="G2" s="8"/>
    </row>
    <row r="3" spans="2:9" ht="15.75">
      <c r="B3" s="8" t="str">
        <f>Total!B3</f>
        <v>Utah Quarterly Compliance Filing</v>
      </c>
      <c r="C3" s="8"/>
      <c r="D3" s="8"/>
      <c r="E3" s="8"/>
      <c r="F3" s="8"/>
      <c r="G3" s="8"/>
    </row>
    <row r="4" spans="2:9" ht="15.75">
      <c r="B4" s="8" t="str">
        <f>Total!B4</f>
        <v>Step Study between 2011.Q1 and 2011.Q2 Compliance Filing</v>
      </c>
      <c r="C4" s="8"/>
      <c r="D4" s="8"/>
      <c r="E4" s="8"/>
      <c r="F4" s="8"/>
      <c r="G4" s="8"/>
    </row>
    <row r="5" spans="2:9" ht="15.75">
      <c r="B5" s="8" t="s">
        <v>10</v>
      </c>
      <c r="C5" s="8"/>
      <c r="D5" s="8"/>
      <c r="E5" s="8"/>
      <c r="F5" s="8"/>
      <c r="G5" s="8"/>
    </row>
    <row r="6" spans="2:9" ht="15.75">
      <c r="B6" s="8"/>
      <c r="C6" s="8"/>
      <c r="D6" s="8"/>
      <c r="E6" s="8"/>
      <c r="F6" s="8"/>
      <c r="G6" s="8"/>
    </row>
    <row r="7" spans="2:9" ht="15.75">
      <c r="B7" s="9"/>
      <c r="C7" s="11" t="str">
        <f>Total!C7</f>
        <v>2011 Q1</v>
      </c>
      <c r="D7" s="11" t="s">
        <v>18</v>
      </c>
      <c r="E7" s="11" t="s">
        <v>27</v>
      </c>
      <c r="F7" s="11" t="s">
        <v>29</v>
      </c>
      <c r="G7" s="11" t="s">
        <v>30</v>
      </c>
    </row>
    <row r="8" spans="2:9" ht="15.75">
      <c r="B8" s="10" t="s">
        <v>0</v>
      </c>
      <c r="C8" s="2" t="str">
        <f>Total!C8</f>
        <v>As Filed</v>
      </c>
      <c r="D8" s="2" t="s">
        <v>19</v>
      </c>
      <c r="E8" s="2" t="s">
        <v>25</v>
      </c>
      <c r="F8" s="2" t="s">
        <v>32</v>
      </c>
      <c r="G8" s="2" t="s">
        <v>31</v>
      </c>
    </row>
    <row r="9" spans="2:9" ht="4.5" customHeight="1"/>
    <row r="10" spans="2:9" ht="15.75">
      <c r="B10" s="3">
        <f>Total!B10</f>
        <v>2011</v>
      </c>
      <c r="C10" s="6">
        <v>30.7</v>
      </c>
      <c r="D10" s="6">
        <v>27.71</v>
      </c>
      <c r="E10" s="6">
        <v>27.94</v>
      </c>
      <c r="F10" s="6">
        <v>28.06</v>
      </c>
      <c r="G10" s="6">
        <v>28.38</v>
      </c>
    </row>
    <row r="11" spans="2:9" ht="15.75">
      <c r="B11" s="3">
        <f t="shared" ref="B11:B30" si="0">B10+1</f>
        <v>2012</v>
      </c>
      <c r="C11" s="6">
        <v>37.57</v>
      </c>
      <c r="D11" s="6">
        <v>35.82</v>
      </c>
      <c r="E11" s="6">
        <v>34.07</v>
      </c>
      <c r="F11" s="6">
        <v>34.369999999999997</v>
      </c>
      <c r="G11" s="6">
        <v>35.049999999999997</v>
      </c>
      <c r="I11" s="23"/>
    </row>
    <row r="12" spans="2:9" ht="15.75">
      <c r="B12" s="3">
        <f t="shared" si="0"/>
        <v>2013</v>
      </c>
      <c r="C12" s="6">
        <v>40.18</v>
      </c>
      <c r="D12" s="6">
        <v>38.83</v>
      </c>
      <c r="E12" s="6">
        <v>38.049999999999997</v>
      </c>
      <c r="F12" s="6">
        <v>38.4</v>
      </c>
      <c r="G12" s="6">
        <v>38.53</v>
      </c>
      <c r="I12" s="23"/>
    </row>
    <row r="13" spans="2:9" ht="15.75">
      <c r="B13" s="3">
        <f t="shared" si="0"/>
        <v>2014</v>
      </c>
      <c r="C13" s="6">
        <v>42.33</v>
      </c>
      <c r="D13" s="6">
        <v>41.93</v>
      </c>
      <c r="E13" s="6">
        <v>41.76</v>
      </c>
      <c r="F13" s="6">
        <v>41.59</v>
      </c>
      <c r="G13" s="6">
        <v>41.53</v>
      </c>
      <c r="I13" s="23"/>
    </row>
    <row r="14" spans="2:9" ht="15.75">
      <c r="B14" s="3">
        <f t="shared" si="0"/>
        <v>2015</v>
      </c>
      <c r="C14" s="6">
        <v>44.93</v>
      </c>
      <c r="D14" s="6">
        <v>45.57</v>
      </c>
      <c r="E14" s="6">
        <v>45.45</v>
      </c>
      <c r="F14" s="6">
        <v>45.75</v>
      </c>
      <c r="G14" s="6">
        <v>45.85</v>
      </c>
      <c r="I14" s="23"/>
    </row>
    <row r="15" spans="2:9" ht="15.75">
      <c r="B15" s="3">
        <f t="shared" si="0"/>
        <v>2016</v>
      </c>
      <c r="C15" s="6">
        <v>47.77</v>
      </c>
      <c r="D15" s="6">
        <v>49.66</v>
      </c>
      <c r="E15" s="6">
        <v>40.56</v>
      </c>
      <c r="F15" s="6">
        <v>41.39</v>
      </c>
      <c r="G15" s="6">
        <v>41.57</v>
      </c>
      <c r="I15" s="23"/>
    </row>
    <row r="16" spans="2:9" ht="15.75">
      <c r="B16" s="3">
        <f t="shared" si="0"/>
        <v>2017</v>
      </c>
      <c r="C16" s="6">
        <v>55.82</v>
      </c>
      <c r="D16" s="6">
        <v>56.4</v>
      </c>
      <c r="E16" s="6">
        <v>41.99</v>
      </c>
      <c r="F16" s="6">
        <v>43.46</v>
      </c>
      <c r="G16" s="6">
        <v>43.44</v>
      </c>
      <c r="I16" s="23"/>
    </row>
    <row r="17" spans="2:9" ht="15.75">
      <c r="B17" s="3">
        <f t="shared" si="0"/>
        <v>2018</v>
      </c>
      <c r="C17" s="6">
        <v>49.28</v>
      </c>
      <c r="D17" s="6">
        <v>48.01</v>
      </c>
      <c r="E17" s="6">
        <v>44.1</v>
      </c>
      <c r="F17" s="6">
        <v>46.41</v>
      </c>
      <c r="G17" s="6">
        <v>46.17</v>
      </c>
      <c r="I17" s="23"/>
    </row>
    <row r="18" spans="2:9" ht="15.75">
      <c r="B18" s="3">
        <f t="shared" si="0"/>
        <v>2019</v>
      </c>
      <c r="C18" s="6">
        <v>44.14</v>
      </c>
      <c r="D18" s="6">
        <v>43.69</v>
      </c>
      <c r="E18" s="6">
        <v>47.02</v>
      </c>
      <c r="F18" s="6">
        <v>48.89</v>
      </c>
      <c r="G18" s="6">
        <v>48.57</v>
      </c>
      <c r="I18" s="23"/>
    </row>
    <row r="19" spans="2:9" ht="15.75">
      <c r="B19" s="3">
        <f t="shared" si="0"/>
        <v>2020</v>
      </c>
      <c r="C19" s="6">
        <v>44.56</v>
      </c>
      <c r="D19" s="6">
        <v>43.99</v>
      </c>
      <c r="E19" s="6">
        <v>47.46</v>
      </c>
      <c r="F19" s="6">
        <v>49.07</v>
      </c>
      <c r="G19" s="6">
        <v>49.1</v>
      </c>
      <c r="I19" s="23"/>
    </row>
    <row r="20" spans="2:9" ht="15.75">
      <c r="B20" s="3">
        <f t="shared" si="0"/>
        <v>2021</v>
      </c>
      <c r="C20" s="6">
        <v>45.03</v>
      </c>
      <c r="D20" s="6">
        <v>44.6</v>
      </c>
      <c r="E20" s="6">
        <v>47.91</v>
      </c>
      <c r="F20" s="6">
        <v>50.18</v>
      </c>
      <c r="G20" s="6">
        <v>50.34</v>
      </c>
      <c r="I20" s="23"/>
    </row>
    <row r="21" spans="2:9" ht="15.75">
      <c r="B21" s="3">
        <f t="shared" si="0"/>
        <v>2022</v>
      </c>
      <c r="C21" s="6">
        <v>46.13</v>
      </c>
      <c r="D21" s="6">
        <v>45.75</v>
      </c>
      <c r="E21" s="6">
        <v>49.1</v>
      </c>
      <c r="F21" s="6">
        <v>51.5</v>
      </c>
      <c r="G21" s="6">
        <v>51.93</v>
      </c>
      <c r="I21" s="23"/>
    </row>
    <row r="22" spans="2:9" ht="15.75">
      <c r="B22" s="3">
        <f t="shared" si="0"/>
        <v>2023</v>
      </c>
      <c r="C22" s="6">
        <v>49.46</v>
      </c>
      <c r="D22" s="6">
        <v>49.73</v>
      </c>
      <c r="E22" s="6">
        <v>52.57</v>
      </c>
      <c r="F22" s="6">
        <v>54.95</v>
      </c>
      <c r="G22" s="6">
        <v>55.01</v>
      </c>
      <c r="I22" s="23"/>
    </row>
    <row r="23" spans="2:9" ht="15.75">
      <c r="B23" s="3">
        <f t="shared" si="0"/>
        <v>2024</v>
      </c>
      <c r="C23" s="6">
        <v>53.2</v>
      </c>
      <c r="D23" s="6">
        <v>52.97</v>
      </c>
      <c r="E23" s="6">
        <v>56.2</v>
      </c>
      <c r="F23" s="6">
        <v>58.87</v>
      </c>
      <c r="G23" s="6">
        <v>57.6</v>
      </c>
      <c r="I23" s="23"/>
    </row>
    <row r="24" spans="2:9" ht="15.75">
      <c r="B24" s="3">
        <f t="shared" si="0"/>
        <v>2025</v>
      </c>
      <c r="C24" s="6">
        <v>51.21</v>
      </c>
      <c r="D24" s="6">
        <v>50.9</v>
      </c>
      <c r="E24" s="6">
        <v>55.7</v>
      </c>
      <c r="F24" s="6">
        <v>57.57</v>
      </c>
      <c r="G24" s="6">
        <v>57.3</v>
      </c>
      <c r="I24" s="23"/>
    </row>
    <row r="25" spans="2:9" ht="15.75">
      <c r="B25" s="3">
        <f t="shared" si="0"/>
        <v>2026</v>
      </c>
      <c r="C25" s="6">
        <v>45.65</v>
      </c>
      <c r="D25" s="6">
        <v>45.34</v>
      </c>
      <c r="E25" s="6">
        <v>48.81</v>
      </c>
      <c r="F25" s="6">
        <v>51.14</v>
      </c>
      <c r="G25" s="6">
        <v>52.53</v>
      </c>
      <c r="I25" s="23"/>
    </row>
    <row r="26" spans="2:9" ht="15.75">
      <c r="B26" s="3">
        <f t="shared" si="0"/>
        <v>2027</v>
      </c>
      <c r="C26" s="6">
        <v>44.08</v>
      </c>
      <c r="D26" s="6">
        <v>43.87</v>
      </c>
      <c r="E26" s="6">
        <v>45.93</v>
      </c>
      <c r="F26" s="6">
        <v>48.49</v>
      </c>
      <c r="G26" s="6">
        <v>48.82</v>
      </c>
      <c r="I26" s="23"/>
    </row>
    <row r="27" spans="2:9" ht="15.75">
      <c r="B27" s="3">
        <f t="shared" si="0"/>
        <v>2028</v>
      </c>
      <c r="C27" s="6">
        <v>47.6</v>
      </c>
      <c r="D27" s="6">
        <v>46.78</v>
      </c>
      <c r="E27" s="6">
        <v>51.36</v>
      </c>
      <c r="F27" s="6">
        <v>53.65</v>
      </c>
      <c r="G27" s="6">
        <v>55.57</v>
      </c>
      <c r="I27" s="23"/>
    </row>
    <row r="28" spans="2:9" ht="15.75">
      <c r="B28" s="3">
        <f t="shared" si="0"/>
        <v>2029</v>
      </c>
      <c r="C28" s="6">
        <v>48.6</v>
      </c>
      <c r="D28" s="6">
        <v>47.7</v>
      </c>
      <c r="E28" s="6">
        <v>52.7</v>
      </c>
      <c r="F28" s="6">
        <v>55.14</v>
      </c>
      <c r="G28" s="6">
        <v>57.23</v>
      </c>
      <c r="I28" s="23"/>
    </row>
    <row r="29" spans="2:9" ht="15.75">
      <c r="B29" s="3">
        <f t="shared" si="0"/>
        <v>2030</v>
      </c>
      <c r="C29" s="6">
        <v>49.9</v>
      </c>
      <c r="D29" s="6">
        <v>48.99</v>
      </c>
      <c r="E29" s="6">
        <v>54.24</v>
      </c>
      <c r="F29" s="6">
        <v>57.17</v>
      </c>
      <c r="G29" s="6">
        <v>58.43</v>
      </c>
      <c r="I29" s="23"/>
    </row>
    <row r="30" spans="2:9" ht="15.75" hidden="1">
      <c r="B30" s="3">
        <f t="shared" si="0"/>
        <v>2031</v>
      </c>
      <c r="C30" s="6"/>
      <c r="D30" s="6"/>
      <c r="E30" s="6"/>
      <c r="F30" s="6"/>
      <c r="G30" s="6"/>
      <c r="I30" s="23"/>
    </row>
    <row r="32" spans="2:9">
      <c r="B32" s="4" t="str">
        <f>"Nominal Levelized Payment at "&amp;TEXT($I$33,"0.00%")&amp;" Discount Rate (3)"</f>
        <v>Nominal Levelized Payment at 7.15% Discount Rate (3)</v>
      </c>
      <c r="I32" s="18" t="s">
        <v>1</v>
      </c>
    </row>
    <row r="33" spans="2:9">
      <c r="B33" s="13" t="str">
        <f>B10&amp;" - "&amp;B29</f>
        <v>2011 - 2030</v>
      </c>
      <c r="C33" s="5">
        <f>-PMT($I$33,COUNT(C10:C29),NPV($I$33,C10:C29))</f>
        <v>44.522677226322976</v>
      </c>
      <c r="D33" s="5">
        <f>-PMT($I$33,COUNT(D10:D29),NPV($I$33,D10:D29))</f>
        <v>43.926403226925679</v>
      </c>
      <c r="E33" s="5">
        <f>-PMT($I$33,COUNT(E10:E29),NPV($I$33,E10:E29))</f>
        <v>43.648905792245742</v>
      </c>
      <c r="F33" s="5">
        <f>-PMT($I$33,COUNT(F10:F29),NPV($I$33,F10:F29))</f>
        <v>44.958421615496519</v>
      </c>
      <c r="G33" s="5">
        <f t="shared" ref="G33" si="1">-PMT($I$33,COUNT(G10:G29),NPV($I$33,G10:G29))</f>
        <v>45.200737450018821</v>
      </c>
      <c r="I33" s="12">
        <f>Discount_Rate</f>
        <v>7.1499999999999994E-2</v>
      </c>
    </row>
    <row r="34" spans="2:9" hidden="1">
      <c r="B34" s="13" t="str">
        <f>B11&amp;" - "&amp;B30</f>
        <v>2012 - 2031</v>
      </c>
      <c r="C34" s="6"/>
      <c r="D34" s="6"/>
      <c r="E34" s="6"/>
      <c r="F34" s="5">
        <f>-PMT($I$33,COUNT(F11:F30),NPV($I$33,F11:F30))</f>
        <v>46.61183239188135</v>
      </c>
      <c r="G34" s="5">
        <f>-PMT($I$33,COUNT(G11:G30),NPV($I$33,G11:G30))</f>
        <v>46.846547289506823</v>
      </c>
      <c r="I34" s="12"/>
    </row>
    <row r="35" spans="2:9">
      <c r="D35" s="21"/>
    </row>
    <row r="36" spans="2:9">
      <c r="B36" s="13" t="str">
        <f>Total!B36</f>
        <v xml:space="preserve">(1)   Step studies impacts are estimates.  </v>
      </c>
    </row>
    <row r="37" spans="2:9">
      <c r="B37" s="13" t="str">
        <f>Total!B37</f>
        <v>(2)   Official Forward Price Curve Dated March 31, 2011</v>
      </c>
    </row>
    <row r="38" spans="2:9">
      <c r="B38" s="13" t="str">
        <f>Total!B38</f>
        <v>(3)   Discount Rate - Company Official Discount Rate</v>
      </c>
    </row>
  </sheetData>
  <phoneticPr fontId="2" type="noConversion"/>
  <printOptions horizontalCentered="1"/>
  <pageMargins left="0.25" right="0.25" top="0.75" bottom="0.75" header="0.3" footer="0.2"/>
  <pageSetup scale="95" orientation="landscape" r:id="rId1"/>
  <headerFooter alignWithMargins="0">
    <oddFooter>&amp;L&amp;8NPC Group&amp;C&amp;8Page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42"/>
    <pageSetUpPr fitToPage="1"/>
  </sheetPr>
  <dimension ref="B1:K37"/>
  <sheetViews>
    <sheetView zoomScale="70" zoomScaleNormal="70" workbookViewId="0">
      <pane xSplit="2" ySplit="6" topLeftCell="C7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5"/>
  <cols>
    <col min="1" max="1" width="1.85546875" style="1" customWidth="1"/>
    <col min="2" max="2" width="13.85546875" style="1" customWidth="1"/>
    <col min="3" max="3" width="23.85546875" style="1" customWidth="1"/>
    <col min="4" max="4" width="23.42578125" style="1" customWidth="1"/>
    <col min="5" max="5" width="1.140625" style="1" customWidth="1"/>
    <col min="6" max="6" width="24.42578125" style="1" customWidth="1"/>
    <col min="7" max="7" width="17.5703125" style="1" customWidth="1"/>
    <col min="8" max="8" width="1.5703125" style="1" customWidth="1"/>
    <col min="9" max="9" width="17.7109375" style="1" customWidth="1"/>
    <col min="10" max="10" width="2" style="1" customWidth="1"/>
    <col min="11" max="11" width="19.140625" style="1" hidden="1" customWidth="1"/>
    <col min="12" max="16384" width="9.140625" style="1"/>
  </cols>
  <sheetData>
    <row r="1" spans="2:9" ht="15.75">
      <c r="B1" s="8" t="str">
        <f>Total!B1</f>
        <v>Appendix C</v>
      </c>
      <c r="C1" s="8"/>
      <c r="D1" s="8"/>
      <c r="E1" s="14"/>
      <c r="F1" s="8"/>
      <c r="G1" s="8"/>
      <c r="H1" s="14"/>
      <c r="I1" s="8"/>
    </row>
    <row r="2" spans="2:9" ht="8.25" customHeight="1">
      <c r="B2" s="8"/>
      <c r="C2" s="8"/>
      <c r="D2" s="8"/>
      <c r="E2" s="14"/>
      <c r="F2" s="8"/>
      <c r="G2" s="8"/>
      <c r="H2" s="14"/>
      <c r="I2" s="8"/>
    </row>
    <row r="3" spans="2:9" ht="15.75">
      <c r="B3" s="8" t="str">
        <f>Total!B3</f>
        <v>Utah Quarterly Compliance Filing</v>
      </c>
      <c r="C3" s="8"/>
      <c r="D3" s="8"/>
      <c r="E3" s="14"/>
      <c r="F3" s="8"/>
      <c r="G3" s="8"/>
      <c r="H3" s="14"/>
      <c r="I3" s="8"/>
    </row>
    <row r="4" spans="2:9" ht="15.75">
      <c r="B4" s="8" t="str">
        <f>Total!B4</f>
        <v>Step Study between 2011.Q1 and 2011.Q2 Compliance Filing</v>
      </c>
      <c r="C4" s="8"/>
      <c r="D4" s="8"/>
      <c r="E4" s="14"/>
      <c r="F4" s="8"/>
      <c r="G4" s="8"/>
      <c r="H4" s="14"/>
      <c r="I4" s="8"/>
    </row>
    <row r="5" spans="2:9" ht="15.75">
      <c r="B5" s="8" t="s">
        <v>17</v>
      </c>
      <c r="C5" s="8"/>
      <c r="D5" s="8"/>
      <c r="E5" s="14"/>
      <c r="F5" s="8"/>
      <c r="G5" s="8"/>
      <c r="H5" s="14"/>
      <c r="I5" s="8"/>
    </row>
    <row r="6" spans="2:9" ht="15.75">
      <c r="B6" s="8"/>
      <c r="C6" s="8"/>
      <c r="D6" s="8"/>
      <c r="F6" s="8"/>
      <c r="G6" s="8"/>
      <c r="I6" s="8"/>
    </row>
    <row r="7" spans="2:9" ht="15.75">
      <c r="B7" s="9"/>
      <c r="C7" s="15" t="s">
        <v>3</v>
      </c>
      <c r="D7" s="16"/>
      <c r="F7" s="15" t="s">
        <v>15</v>
      </c>
      <c r="G7" s="16"/>
      <c r="I7" s="30" t="s">
        <v>16</v>
      </c>
    </row>
    <row r="8" spans="2:9" ht="15.75">
      <c r="B8" s="10" t="s">
        <v>0</v>
      </c>
      <c r="C8" s="19" t="str">
        <f>Total!G7</f>
        <v>2011 Q2</v>
      </c>
      <c r="D8" s="19" t="str">
        <f>Total!C7</f>
        <v>2011 Q1</v>
      </c>
      <c r="F8" s="20" t="str">
        <f>C8</f>
        <v>2011 Q2</v>
      </c>
      <c r="G8" s="19" t="str">
        <f>D8</f>
        <v>2011 Q1</v>
      </c>
      <c r="I8" s="30" t="s">
        <v>9</v>
      </c>
    </row>
    <row r="9" spans="2:9" ht="4.5" customHeight="1"/>
    <row r="10" spans="2:9" ht="15.75">
      <c r="B10" s="3">
        <f>Total!B10</f>
        <v>2011</v>
      </c>
      <c r="C10" s="33">
        <v>0</v>
      </c>
      <c r="D10" s="33">
        <v>0</v>
      </c>
      <c r="F10" s="33">
        <f>ROUND(Capacity!C10*1000/(IF(MOD($B10,4)=0,8784,8760)*0.85),2)</f>
        <v>0</v>
      </c>
      <c r="G10" s="33">
        <f t="shared" ref="G10:G29" si="0">ROUND(D10*1000/(IF(MOD($B10,4)=0,8784,8760)*0.85),2)</f>
        <v>0</v>
      </c>
      <c r="I10" s="33">
        <f>F10-G10</f>
        <v>0</v>
      </c>
    </row>
    <row r="11" spans="2:9" ht="15.75">
      <c r="B11" s="3">
        <f t="shared" ref="B11:B30" si="1">B10+1</f>
        <v>2012</v>
      </c>
      <c r="C11" s="33">
        <v>0</v>
      </c>
      <c r="D11" s="33">
        <v>0</v>
      </c>
      <c r="F11" s="33">
        <f>ROUND(Capacity!C11*1000/(IF(MOD($B11,4)=0,8784,8760)*0.85),2)</f>
        <v>0</v>
      </c>
      <c r="G11" s="33">
        <f t="shared" si="0"/>
        <v>0</v>
      </c>
      <c r="I11" s="33">
        <f t="shared" ref="I11:I29" si="2">F11-G11</f>
        <v>0</v>
      </c>
    </row>
    <row r="12" spans="2:9" ht="15.75">
      <c r="B12" s="3">
        <f t="shared" si="1"/>
        <v>2013</v>
      </c>
      <c r="C12" s="33">
        <v>0</v>
      </c>
      <c r="D12" s="33">
        <v>0</v>
      </c>
      <c r="F12" s="33">
        <f>ROUND(Capacity!C12*1000/(IF(MOD($B12,4)=0,8784,8760)*0.85),2)</f>
        <v>0</v>
      </c>
      <c r="G12" s="33">
        <f t="shared" si="0"/>
        <v>0</v>
      </c>
      <c r="I12" s="33">
        <f t="shared" si="2"/>
        <v>0</v>
      </c>
    </row>
    <row r="13" spans="2:9" ht="15.75">
      <c r="B13" s="3">
        <f t="shared" si="1"/>
        <v>2014</v>
      </c>
      <c r="C13" s="33">
        <v>0</v>
      </c>
      <c r="D13" s="33">
        <v>0</v>
      </c>
      <c r="F13" s="33">
        <f>ROUND(Capacity!C13*1000/(IF(MOD($B13,4)=0,8784,8760)*0.85),2)</f>
        <v>0</v>
      </c>
      <c r="G13" s="33">
        <f t="shared" si="0"/>
        <v>0</v>
      </c>
      <c r="I13" s="33">
        <f t="shared" si="2"/>
        <v>0</v>
      </c>
    </row>
    <row r="14" spans="2:9" ht="15.75">
      <c r="B14" s="3">
        <f t="shared" si="1"/>
        <v>2015</v>
      </c>
      <c r="C14" s="33">
        <v>0</v>
      </c>
      <c r="D14" s="33">
        <v>0</v>
      </c>
      <c r="F14" s="33">
        <f>ROUND(Capacity!C14*1000/(IF(MOD($B14,4)=0,8784,8760)*0.85),2)</f>
        <v>0</v>
      </c>
      <c r="G14" s="33">
        <f t="shared" si="0"/>
        <v>0</v>
      </c>
      <c r="I14" s="33">
        <f t="shared" si="2"/>
        <v>0</v>
      </c>
    </row>
    <row r="15" spans="2:9" ht="15.75">
      <c r="B15" s="3">
        <f t="shared" si="1"/>
        <v>2016</v>
      </c>
      <c r="C15" s="33">
        <v>84.694166666666675</v>
      </c>
      <c r="D15" s="33">
        <v>0</v>
      </c>
      <c r="F15" s="33">
        <f>ROUND(Capacity!C15*1000/(IF(MOD($B15,4)=0,8784,8760)*0.85),2)</f>
        <v>11.34</v>
      </c>
      <c r="G15" s="33">
        <f t="shared" si="0"/>
        <v>0</v>
      </c>
      <c r="I15" s="33">
        <f t="shared" si="2"/>
        <v>11.34</v>
      </c>
    </row>
    <row r="16" spans="2:9" ht="15.75">
      <c r="B16" s="3">
        <f t="shared" si="1"/>
        <v>2017</v>
      </c>
      <c r="C16" s="33">
        <v>148.1</v>
      </c>
      <c r="D16" s="33">
        <v>0</v>
      </c>
      <c r="F16" s="33">
        <f>ROUND(Capacity!C16*1000/(IF(MOD($B16,4)=0,8784,8760)*0.85),2)</f>
        <v>19.89</v>
      </c>
      <c r="G16" s="33">
        <f t="shared" si="0"/>
        <v>0</v>
      </c>
      <c r="I16" s="33">
        <f t="shared" si="2"/>
        <v>19.89</v>
      </c>
    </row>
    <row r="17" spans="2:11" ht="15.75">
      <c r="B17" s="3">
        <f t="shared" si="1"/>
        <v>2018</v>
      </c>
      <c r="C17" s="33">
        <v>150.9</v>
      </c>
      <c r="D17" s="33">
        <v>96.215000000000003</v>
      </c>
      <c r="F17" s="33">
        <f>ROUND(Capacity!C17*1000/(IF(MOD($B17,4)=0,8784,8760)*0.85),2)</f>
        <v>20.27</v>
      </c>
      <c r="G17" s="33">
        <f t="shared" si="0"/>
        <v>12.92</v>
      </c>
      <c r="I17" s="33">
        <f t="shared" si="2"/>
        <v>7.35</v>
      </c>
    </row>
    <row r="18" spans="2:11" ht="15.75">
      <c r="B18" s="3">
        <f t="shared" si="1"/>
        <v>2019</v>
      </c>
      <c r="C18" s="33">
        <v>153.63</v>
      </c>
      <c r="D18" s="33">
        <v>168.05</v>
      </c>
      <c r="F18" s="33">
        <f>ROUND(Capacity!C18*1000/(IF(MOD($B18,4)=0,8784,8760)*0.85),2)</f>
        <v>20.63</v>
      </c>
      <c r="G18" s="33">
        <f t="shared" si="0"/>
        <v>22.57</v>
      </c>
      <c r="I18" s="33">
        <f t="shared" si="2"/>
        <v>-1.9400000000000013</v>
      </c>
    </row>
    <row r="19" spans="2:11" ht="15.75">
      <c r="B19" s="3">
        <f t="shared" si="1"/>
        <v>2020</v>
      </c>
      <c r="C19" s="33">
        <v>156.4</v>
      </c>
      <c r="D19" s="33">
        <v>171.26</v>
      </c>
      <c r="F19" s="33">
        <f>ROUND(Capacity!C19*1000/(IF(MOD($B19,4)=0,8784,8760)*0.85),2)</f>
        <v>20.95</v>
      </c>
      <c r="G19" s="33">
        <f t="shared" si="0"/>
        <v>22.94</v>
      </c>
      <c r="I19" s="33">
        <f t="shared" si="2"/>
        <v>-1.990000000000002</v>
      </c>
    </row>
    <row r="20" spans="2:11" ht="15.75">
      <c r="B20" s="3">
        <f t="shared" si="1"/>
        <v>2021</v>
      </c>
      <c r="C20" s="33">
        <v>159.19999999999999</v>
      </c>
      <c r="D20" s="33">
        <v>174.17</v>
      </c>
      <c r="F20" s="33">
        <f>ROUND(Capacity!C20*1000/(IF(MOD($B20,4)=0,8784,8760)*0.85),2)</f>
        <v>21.38</v>
      </c>
      <c r="G20" s="33">
        <f t="shared" si="0"/>
        <v>23.39</v>
      </c>
      <c r="I20" s="33">
        <f t="shared" si="2"/>
        <v>-2.0100000000000016</v>
      </c>
    </row>
    <row r="21" spans="2:11" ht="15.75">
      <c r="B21" s="3">
        <f t="shared" si="1"/>
        <v>2022</v>
      </c>
      <c r="C21" s="33">
        <v>162.08000000000001</v>
      </c>
      <c r="D21" s="33">
        <v>177.28</v>
      </c>
      <c r="F21" s="33">
        <f>ROUND(Capacity!C21*1000/(IF(MOD($B21,4)=0,8784,8760)*0.85),2)</f>
        <v>21.77</v>
      </c>
      <c r="G21" s="33">
        <f t="shared" si="0"/>
        <v>23.81</v>
      </c>
      <c r="I21" s="33">
        <f t="shared" si="2"/>
        <v>-2.0399999999999991</v>
      </c>
    </row>
    <row r="22" spans="2:11" ht="15.75">
      <c r="B22" s="3">
        <f t="shared" si="1"/>
        <v>2023</v>
      </c>
      <c r="C22" s="33">
        <v>165.01</v>
      </c>
      <c r="D22" s="33">
        <v>180.65</v>
      </c>
      <c r="F22" s="33">
        <f>ROUND(Capacity!C22*1000/(IF(MOD($B22,4)=0,8784,8760)*0.85),2)</f>
        <v>22.16</v>
      </c>
      <c r="G22" s="33">
        <f t="shared" si="0"/>
        <v>24.26</v>
      </c>
      <c r="I22" s="33">
        <f t="shared" si="2"/>
        <v>-2.1000000000000014</v>
      </c>
    </row>
    <row r="23" spans="2:11" ht="15.75">
      <c r="B23" s="3">
        <f t="shared" si="1"/>
        <v>2024</v>
      </c>
      <c r="C23" s="33">
        <v>167.96</v>
      </c>
      <c r="D23" s="33">
        <v>184.06</v>
      </c>
      <c r="F23" s="33">
        <f>ROUND(Capacity!C23*1000/(IF(MOD($B23,4)=0,8784,8760)*0.85),2)</f>
        <v>22.5</v>
      </c>
      <c r="G23" s="33">
        <f t="shared" si="0"/>
        <v>24.65</v>
      </c>
      <c r="I23" s="33">
        <f t="shared" si="2"/>
        <v>-2.1499999999999986</v>
      </c>
    </row>
    <row r="24" spans="2:11" ht="15.75">
      <c r="B24" s="3">
        <f t="shared" si="1"/>
        <v>2025</v>
      </c>
      <c r="C24" s="33">
        <v>171.17</v>
      </c>
      <c r="D24" s="33">
        <v>187.57</v>
      </c>
      <c r="F24" s="33">
        <f>ROUND(Capacity!C24*1000/(IF(MOD($B24,4)=0,8784,8760)*0.85),2)</f>
        <v>22.99</v>
      </c>
      <c r="G24" s="33">
        <f t="shared" si="0"/>
        <v>25.19</v>
      </c>
      <c r="I24" s="33">
        <f t="shared" si="2"/>
        <v>-2.2000000000000028</v>
      </c>
    </row>
    <row r="25" spans="2:11" ht="15.75">
      <c r="B25" s="3">
        <f t="shared" si="1"/>
        <v>2026</v>
      </c>
      <c r="C25" s="33">
        <v>174.42</v>
      </c>
      <c r="D25" s="33">
        <v>191.12</v>
      </c>
      <c r="F25" s="33">
        <f>ROUND(Capacity!C25*1000/(IF(MOD($B25,4)=0,8784,8760)*0.85),2)</f>
        <v>23.42</v>
      </c>
      <c r="G25" s="33">
        <f t="shared" si="0"/>
        <v>25.67</v>
      </c>
      <c r="I25" s="33">
        <f t="shared" si="2"/>
        <v>-2.25</v>
      </c>
    </row>
    <row r="26" spans="2:11" ht="15.75">
      <c r="B26" s="3">
        <f t="shared" si="1"/>
        <v>2027</v>
      </c>
      <c r="C26" s="33">
        <v>177.72</v>
      </c>
      <c r="D26" s="33">
        <v>194.76</v>
      </c>
      <c r="F26" s="33">
        <f>ROUND(Capacity!C26*1000/(IF(MOD($B26,4)=0,8784,8760)*0.85),2)</f>
        <v>23.87</v>
      </c>
      <c r="G26" s="33">
        <f t="shared" si="0"/>
        <v>26.16</v>
      </c>
      <c r="I26" s="33">
        <f t="shared" si="2"/>
        <v>-2.2899999999999991</v>
      </c>
    </row>
    <row r="27" spans="2:11" ht="15.75">
      <c r="B27" s="3">
        <f t="shared" si="1"/>
        <v>2028</v>
      </c>
      <c r="C27" s="33">
        <v>181.28</v>
      </c>
      <c r="D27" s="33">
        <v>198.64</v>
      </c>
      <c r="F27" s="33">
        <f>ROUND(Capacity!C27*1000/(IF(MOD($B27,4)=0,8784,8760)*0.85),2)</f>
        <v>24.28</v>
      </c>
      <c r="G27" s="33">
        <f t="shared" si="0"/>
        <v>26.6</v>
      </c>
      <c r="I27" s="33">
        <f t="shared" si="2"/>
        <v>-2.3200000000000003</v>
      </c>
    </row>
    <row r="28" spans="2:11" ht="15.75">
      <c r="B28" s="3">
        <f t="shared" si="1"/>
        <v>2029</v>
      </c>
      <c r="C28" s="33">
        <v>184.9</v>
      </c>
      <c r="D28" s="33">
        <v>202.43</v>
      </c>
      <c r="F28" s="33">
        <f>ROUND(Capacity!C28*1000/(IF(MOD($B28,4)=0,8784,8760)*0.85),2)</f>
        <v>24.83</v>
      </c>
      <c r="G28" s="33">
        <f t="shared" si="0"/>
        <v>27.19</v>
      </c>
      <c r="I28" s="33">
        <f t="shared" si="2"/>
        <v>-2.360000000000003</v>
      </c>
    </row>
    <row r="29" spans="2:11" ht="15.75">
      <c r="B29" s="3">
        <f t="shared" si="1"/>
        <v>2030</v>
      </c>
      <c r="C29" s="33">
        <v>188.43</v>
      </c>
      <c r="D29" s="33">
        <v>206.07</v>
      </c>
      <c r="F29" s="33">
        <f>ROUND(Capacity!C29*1000/(IF(MOD($B29,4)=0,8784,8760)*0.85),2)</f>
        <v>25.31</v>
      </c>
      <c r="G29" s="33">
        <f t="shared" si="0"/>
        <v>27.68</v>
      </c>
      <c r="I29" s="33">
        <f t="shared" si="2"/>
        <v>-2.370000000000001</v>
      </c>
    </row>
    <row r="30" spans="2:11" ht="15.75" hidden="1">
      <c r="B30" s="3">
        <f t="shared" si="1"/>
        <v>2031</v>
      </c>
      <c r="C30" s="6"/>
      <c r="D30" s="6"/>
      <c r="F30" s="6"/>
      <c r="G30" s="6"/>
      <c r="I30" s="6"/>
    </row>
    <row r="31" spans="2:11" ht="15.75">
      <c r="B31" s="3"/>
      <c r="C31" s="6"/>
      <c r="F31" s="6"/>
    </row>
    <row r="32" spans="2:11">
      <c r="B32" s="4" t="str">
        <f>"Nominal Levelized Payment at "&amp;TEXT($K$33,"0.00%")&amp;" Discount Rate (2)"</f>
        <v>Nominal Levelized Payment at 7.15% Discount Rate (2)</v>
      </c>
      <c r="D32" s="4"/>
      <c r="K32" s="18" t="s">
        <v>1</v>
      </c>
    </row>
    <row r="33" spans="2:11">
      <c r="B33" s="13" t="str">
        <f>B10&amp;" - "&amp;B29</f>
        <v>2011 - 2030</v>
      </c>
      <c r="C33" s="5">
        <f>-PMT($K$33,COUNT(C10:C29),NPV($K$33,C10:C29))</f>
        <v>94.951962686069905</v>
      </c>
      <c r="D33" s="5">
        <f>-PMT($K$33,COUNT(D10:D29),NPV($K$33,D10:D29))</f>
        <v>84.766832734660639</v>
      </c>
      <c r="F33" s="5">
        <f>-PMT($K$33,COUNT(F10:F29),NPV($K$33,F10:F29))</f>
        <v>12.743562803497577</v>
      </c>
      <c r="G33" s="5">
        <f>-PMT($K$33,COUNT(G10:G29),NPV($K$33,G10:G29))</f>
        <v>11.376946579163304</v>
      </c>
      <c r="I33" s="5">
        <f t="shared" ref="I33" si="3">F33-G33</f>
        <v>1.3666162243342725</v>
      </c>
      <c r="K33" s="12">
        <f>Discount_Rate</f>
        <v>7.1499999999999994E-2</v>
      </c>
    </row>
    <row r="34" spans="2:11" hidden="1"/>
    <row r="36" spans="2:11">
      <c r="B36" s="1" t="s">
        <v>4</v>
      </c>
    </row>
    <row r="37" spans="2:11">
      <c r="B37" s="1" t="s">
        <v>6</v>
      </c>
    </row>
  </sheetData>
  <phoneticPr fontId="2" type="noConversion"/>
  <printOptions horizontalCentered="1"/>
  <pageMargins left="0.25" right="0.25" top="0.75" bottom="0.75" header="0.3" footer="0.2"/>
  <pageSetup scale="96" orientation="landscape" r:id="rId1"/>
  <headerFooter alignWithMargins="0">
    <oddFooter>&amp;L&amp;8NPC Group&amp;C&amp;8Page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Total</vt:lpstr>
      <vt:lpstr>Incremental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SBINTZ</cp:lastModifiedBy>
  <cp:lastPrinted>2011-05-24T16:05:10Z</cp:lastPrinted>
  <dcterms:created xsi:type="dcterms:W3CDTF">2006-07-10T20:43:15Z</dcterms:created>
  <dcterms:modified xsi:type="dcterms:W3CDTF">2012-05-15T23:19:03Z</dcterms:modified>
</cp:coreProperties>
</file>