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45" windowHeight="5010" activeTab="1"/>
  </bookViews>
  <sheets>
    <sheet name="Schedule 1 (Energy)" sheetId="1" r:id="rId1"/>
    <sheet name="Schedule 1" sheetId="2" r:id="rId2"/>
    <sheet name="Schedule 23" sheetId="3" r:id="rId3"/>
    <sheet name="Schedule 6" sheetId="4" r:id="rId4"/>
    <sheet name="Schedule 8" sheetId="5" r:id="rId5"/>
    <sheet name="Schedule 9" sheetId="6" r:id="rId6"/>
  </sheets>
  <definedNames>
    <definedName name="_xlnm.Print_Area" localSheetId="1">'Schedule 1'!$A$1:$Y$37</definedName>
    <definedName name="_xlnm.Print_Area" localSheetId="0">'Schedule 1 (Energy)'!$A$1:$Y$37</definedName>
    <definedName name="_xlnm.Print_Area" localSheetId="2">'Schedule 23'!$A$1:$AA$33</definedName>
    <definedName name="_xlnm.Print_Area" localSheetId="3">'Schedule 6'!$A$1:$AA$42</definedName>
    <definedName name="_xlnm.Print_Area" localSheetId="4">'Schedule 8'!$A$1:$AC$65</definedName>
    <definedName name="_xlnm.Print_Area" localSheetId="5">'Schedule 9'!$A$1:$AC$65</definedName>
    <definedName name="solver_adj" localSheetId="2" hidden="1">'Schedule 23'!$C$28</definedName>
    <definedName name="solver_lin" localSheetId="2" hidden="1">0</definedName>
    <definedName name="solver_num" localSheetId="2" hidden="1">0</definedName>
    <definedName name="solver_opt" localSheetId="2" hidden="1">'Schedule 23'!$AA$28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<sst xmlns="http://schemas.openxmlformats.org/spreadsheetml/2006/main" count="453" uniqueCount="62">
  <si>
    <t>Utah Power &amp; Light Company</t>
  </si>
  <si>
    <t>Monthly Billing Comparison</t>
  </si>
  <si>
    <t>Schedule 1</t>
  </si>
  <si>
    <t>Residential Service</t>
  </si>
  <si>
    <t>Summer</t>
  </si>
  <si>
    <t>Winter</t>
  </si>
  <si>
    <t>Present Vs. Proposed</t>
  </si>
  <si>
    <t>Present</t>
  </si>
  <si>
    <t>Proposed</t>
  </si>
  <si>
    <t>Dollar</t>
  </si>
  <si>
    <t>Percent</t>
  </si>
  <si>
    <t>kWh</t>
  </si>
  <si>
    <t>Total $</t>
  </si>
  <si>
    <t>Avg. ¢/kWh</t>
  </si>
  <si>
    <t>Difference</t>
  </si>
  <si>
    <t>N/A</t>
  </si>
  <si>
    <t>Basic</t>
  </si>
  <si>
    <t>kWh1</t>
  </si>
  <si>
    <t>kWh2</t>
  </si>
  <si>
    <t>kWh3</t>
  </si>
  <si>
    <t>Minimum</t>
  </si>
  <si>
    <t>HELP Charge</t>
  </si>
  <si>
    <t>Surcharge</t>
  </si>
  <si>
    <t>Schedule 23</t>
  </si>
  <si>
    <t>General Service - Distribution Voltage</t>
  </si>
  <si>
    <t>kW</t>
  </si>
  <si>
    <t>Present Schedule 23</t>
  </si>
  <si>
    <t>Proposed Schedule 23</t>
  </si>
  <si>
    <t>Load Size</t>
  </si>
  <si>
    <t>0 to 15</t>
  </si>
  <si>
    <t xml:space="preserve"> </t>
  </si>
  <si>
    <t>Basic Charge</t>
  </si>
  <si>
    <t>Demand</t>
  </si>
  <si>
    <t>Voltage</t>
  </si>
  <si>
    <t>kWh-1st 1,500</t>
  </si>
  <si>
    <t>All other kWh</t>
  </si>
  <si>
    <t>Schedule 6</t>
  </si>
  <si>
    <t>Present Schedule 6</t>
  </si>
  <si>
    <t>Proposed Schedule 6</t>
  </si>
  <si>
    <t>Over</t>
  </si>
  <si>
    <t>All kWh</t>
  </si>
  <si>
    <t>All</t>
  </si>
  <si>
    <t>Schedule 9</t>
  </si>
  <si>
    <t>General Service - Transmission Voltage</t>
  </si>
  <si>
    <t>Present Schedule 9</t>
  </si>
  <si>
    <t>Proposed Schedule 9</t>
  </si>
  <si>
    <t>On-Peak kW</t>
  </si>
  <si>
    <r>
      <t>Monthly Billing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</si>
  <si>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 Includes HELP charge and applicable surcharge</t>
    </r>
  </si>
  <si>
    <r>
      <t>Load Size</t>
    </r>
    <r>
      <rPr>
        <vertAlign val="superscript"/>
        <sz val="10"/>
        <rFont val="Times New Roman"/>
        <family val="1"/>
      </rPr>
      <t>2</t>
    </r>
  </si>
  <si>
    <t>% On-Peak</t>
  </si>
  <si>
    <t>Facilities kW</t>
  </si>
  <si>
    <t>On-Peak kWh</t>
  </si>
  <si>
    <t>Off-Peak kWh</t>
  </si>
  <si>
    <t>Proposed Schedule 8</t>
  </si>
  <si>
    <t>Schedule 8</t>
  </si>
  <si>
    <t>General Service - Distribution Voltage &gt; 1 MW</t>
  </si>
  <si>
    <r>
      <t>1</t>
    </r>
    <r>
      <rPr>
        <sz val="10"/>
        <rFont val="Times New Roman"/>
        <family val="1"/>
      </rPr>
      <t xml:space="preserve">  Excludes Customer Charge.  Includes HELP charge and applicable surcharge.</t>
    </r>
  </si>
  <si>
    <t>Schedule 1 Excluding Customer Charge</t>
  </si>
  <si>
    <t>Energy</t>
  </si>
  <si>
    <r>
      <t>1</t>
    </r>
    <r>
      <rPr>
        <sz val="10"/>
        <rFont val="Times New Roman"/>
        <family val="1"/>
      </rPr>
      <t xml:space="preserve">  Includes HELP charge and applicable surcharge.</t>
    </r>
  </si>
  <si>
    <r>
      <t>2</t>
    </r>
    <r>
      <rPr>
        <sz val="10"/>
        <rFont val="Times New Roman"/>
        <family val="1"/>
      </rPr>
      <t xml:space="preserve">  Assumes customer monthly peak occurs during On-Peak hours.  Does not incorporate any demand shifts from On-Peak to Off-peak hours.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</si>
</sst>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#,##0.0000_);\(#,##0.0000\)"/>
    <numFmt numFmtId="170" formatCode="#,##0.000000_);\(#,##0.000000\)"/>
    <numFmt numFmtId="171" formatCode="General_)"/>
    <numFmt numFmtId="172" formatCode="0.0000_)"/>
    <numFmt numFmtId="173" formatCode="0.00000000%"/>
    <numFmt numFmtId="174" formatCode="0.0000%"/>
    <numFmt numFmtId="175" formatCode=";;;"/>
    <numFmt numFmtId="176" formatCode="0.00000_)"/>
    <numFmt numFmtId="177" formatCode="0_)"/>
    <numFmt numFmtId="178" formatCode="&quot;$&quot;#,##0.000_);\(&quot;$&quot;#,##0.000\)"/>
    <numFmt numFmtId="179" formatCode="&quot;$&quot;#,##0.0000_);\(&quot;$&quot;#,##0.0000\)"/>
    <numFmt numFmtId="180" formatCode="dd\-mmm\-yy_)"/>
    <numFmt numFmtId="181" formatCode="#,##0.0_);\(#,##0.0\)"/>
    <numFmt numFmtId="182" formatCode="#,##0.000_);\(#,##0.000\)"/>
    <numFmt numFmtId="183" formatCode="&quot;$&quot;#,##0.0"/>
    <numFmt numFmtId="184" formatCode="m/d"/>
    <numFmt numFmtId="185" formatCode="&quot;$&quot;#,##0.00000_);\(&quot;$&quot;#,##0.00000\)"/>
    <numFmt numFmtId="186" formatCode="#,##0.00000_);\(#,##0.00000\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&quot;$&quot;#,##0.000000_);\(&quot;$&quot;#,##0.000000\)"/>
    <numFmt numFmtId="193" formatCode="&quot;$&quot;#,##0.0000000_);\(&quot;$&quot;#,##0.0000000\)"/>
    <numFmt numFmtId="194" formatCode="mmm\-yy_)"/>
    <numFmt numFmtId="195" formatCode="mm/dd/yy_)"/>
    <numFmt numFmtId="196" formatCode="&quot;$&quot;#,##0.0_);\(&quot;$&quot;#,##0.0\)"/>
    <numFmt numFmtId="197" formatCode="#,##0.00000000_);\(#,##0.00000000\)"/>
    <numFmt numFmtId="198" formatCode="#,##0.0000000_);\(#,##0.0000000\)"/>
    <numFmt numFmtId="199" formatCode="#,##0.000000000_);\(#,##0.000000000\)"/>
    <numFmt numFmtId="200" formatCode="&quot;$&quot;#,##0.00000000_);\(&quot;$&quot;#,##0.00000000\)"/>
    <numFmt numFmtId="201" formatCode="0.000_)"/>
    <numFmt numFmtId="202" formatCode="#,##0_);\(#,##0\);\(&quot; MWh&quot;\)"/>
    <numFmt numFmtId="203" formatCode="#,##0&quot; MWh&quot;"/>
    <numFmt numFmtId="204" formatCode="0.000"/>
    <numFmt numFmtId="205" formatCode="0.0"/>
    <numFmt numFmtId="206" formatCode="000"/>
    <numFmt numFmtId="207" formatCode="0.000%"/>
    <numFmt numFmtId="208" formatCode="_(&quot;$&quot;* #,##0.000_);_(&quot;$&quot;* \(#,##0.000\);_(&quot;$&quot;* &quot;-&quot;??_);_(@_)"/>
    <numFmt numFmtId="209" formatCode="_(&quot;$&quot;* #,##0.0000_);_(&quot;$&quot;* \(#,##0.0000\);_(&quot;$&quot;* &quot;-&quot;??_);_(@_)"/>
    <numFmt numFmtId="210" formatCode="0.00%;\-0.00%"/>
    <numFmt numFmtId="211" formatCode="0.0000"/>
    <numFmt numFmtId="212" formatCode="0.00000"/>
    <numFmt numFmtId="213" formatCode="0.000000"/>
    <numFmt numFmtId="214" formatCode="0.000000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7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164" fontId="5" fillId="0" borderId="1" xfId="0" applyNumberFormat="1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164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7" fontId="5" fillId="0" borderId="0" xfId="0" applyNumberFormat="1" applyFont="1" applyAlignment="1">
      <alignment/>
    </xf>
    <xf numFmtId="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164" fontId="5" fillId="0" borderId="1" xfId="0" applyNumberFormat="1" applyFont="1" applyBorder="1" applyAlignment="1">
      <alignment horizontal="center"/>
    </xf>
    <xf numFmtId="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43" fontId="5" fillId="0" borderId="0" xfId="15" applyFont="1" applyAlignment="1">
      <alignment/>
    </xf>
    <xf numFmtId="7" fontId="5" fillId="0" borderId="0" xfId="19" applyNumberFormat="1" applyFont="1" applyAlignment="1">
      <alignment/>
    </xf>
    <xf numFmtId="10" fontId="5" fillId="0" borderId="0" xfId="19" applyNumberFormat="1" applyFont="1" applyAlignment="1">
      <alignment/>
    </xf>
    <xf numFmtId="0" fontId="6" fillId="0" borderId="0" xfId="0" applyFont="1" applyAlignment="1">
      <alignment/>
    </xf>
    <xf numFmtId="21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 horizontal="left"/>
    </xf>
    <xf numFmtId="167" fontId="5" fillId="0" borderId="0" xfId="15" applyNumberFormat="1" applyFont="1" applyAlignment="1">
      <alignment/>
    </xf>
    <xf numFmtId="164" fontId="0" fillId="0" borderId="0" xfId="0" applyNumberFormat="1" applyAlignment="1">
      <alignment/>
    </xf>
    <xf numFmtId="10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/>
    </xf>
    <xf numFmtId="210" fontId="5" fillId="0" borderId="0" xfId="19" applyNumberFormat="1" applyFont="1" applyAlignment="1">
      <alignment/>
    </xf>
    <xf numFmtId="210" fontId="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7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9.140625" style="5" customWidth="1"/>
    <col min="3" max="3" width="8.7109375" style="21" customWidth="1"/>
    <col min="4" max="4" width="7.57421875" style="21" hidden="1" customWidth="1"/>
    <col min="5" max="5" width="10.421875" style="21" hidden="1" customWidth="1"/>
    <col min="6" max="6" width="8.421875" style="5" customWidth="1"/>
    <col min="7" max="7" width="8.7109375" style="21" customWidth="1"/>
    <col min="8" max="8" width="7.57421875" style="21" hidden="1" customWidth="1"/>
    <col min="9" max="9" width="10.421875" style="21" hidden="1" customWidth="1"/>
    <col min="10" max="10" width="9.140625" style="5" customWidth="1"/>
    <col min="11" max="11" width="9.140625" style="14" customWidth="1"/>
    <col min="12" max="12" width="6.00390625" style="5" customWidth="1"/>
    <col min="13" max="14" width="9.140625" style="5" customWidth="1"/>
    <col min="15" max="15" width="8.7109375" style="21" customWidth="1"/>
    <col min="16" max="16" width="7.57421875" style="21" hidden="1" customWidth="1"/>
    <col min="17" max="17" width="10.421875" style="21" hidden="1" customWidth="1"/>
    <col min="18" max="18" width="8.421875" style="5" customWidth="1"/>
    <col min="19" max="19" width="8.7109375" style="21" customWidth="1"/>
    <col min="20" max="20" width="7.57421875" style="21" hidden="1" customWidth="1"/>
    <col min="21" max="21" width="10.421875" style="21" hidden="1" customWidth="1"/>
    <col min="22" max="22" width="9.140625" style="5" customWidth="1"/>
    <col min="23" max="23" width="9.140625" style="14" customWidth="1"/>
    <col min="24" max="24" width="6.00390625" style="5" customWidth="1"/>
    <col min="25" max="29" width="9.140625" style="5" customWidth="1"/>
    <col min="30" max="30" width="9.7109375" style="5" bestFit="1" customWidth="1"/>
    <col min="31" max="31" width="10.421875" style="5" bestFit="1" customWidth="1"/>
    <col min="32" max="16384" width="9.140625" style="5" customWidth="1"/>
  </cols>
  <sheetData>
    <row r="1" spans="1:25" ht="16.5">
      <c r="A1" s="1" t="s">
        <v>0</v>
      </c>
      <c r="B1" s="2"/>
      <c r="C1" s="3"/>
      <c r="D1" s="3"/>
      <c r="E1" s="3"/>
      <c r="F1" s="2"/>
      <c r="G1" s="3"/>
      <c r="H1" s="3"/>
      <c r="I1" s="3"/>
      <c r="J1" s="2"/>
      <c r="K1" s="4"/>
      <c r="L1" s="2"/>
      <c r="M1" s="2"/>
      <c r="N1" s="2"/>
      <c r="O1" s="3"/>
      <c r="P1" s="3"/>
      <c r="Q1" s="3"/>
      <c r="R1" s="2"/>
      <c r="S1" s="3"/>
      <c r="T1" s="3"/>
      <c r="U1" s="3"/>
      <c r="V1" s="2"/>
      <c r="W1" s="4"/>
      <c r="X1" s="2"/>
      <c r="Y1" s="2"/>
    </row>
    <row r="2" spans="1:25" ht="16.5">
      <c r="A2" s="1" t="s">
        <v>1</v>
      </c>
      <c r="B2" s="2"/>
      <c r="C2" s="3"/>
      <c r="D2" s="3"/>
      <c r="E2" s="3"/>
      <c r="F2" s="2"/>
      <c r="G2" s="3"/>
      <c r="H2" s="3"/>
      <c r="I2" s="3"/>
      <c r="J2" s="2"/>
      <c r="K2" s="4"/>
      <c r="L2" s="2"/>
      <c r="M2" s="2"/>
      <c r="N2" s="2"/>
      <c r="O2" s="3"/>
      <c r="P2" s="3"/>
      <c r="Q2" s="3"/>
      <c r="R2" s="2"/>
      <c r="S2" s="3"/>
      <c r="T2" s="3"/>
      <c r="U2" s="3"/>
      <c r="V2" s="2"/>
      <c r="W2" s="4"/>
      <c r="X2" s="2"/>
      <c r="Y2" s="2"/>
    </row>
    <row r="3" spans="1:25" ht="16.5">
      <c r="A3" s="1" t="s">
        <v>58</v>
      </c>
      <c r="B3" s="2"/>
      <c r="C3" s="3"/>
      <c r="D3" s="3"/>
      <c r="E3" s="3"/>
      <c r="F3" s="2"/>
      <c r="G3" s="3"/>
      <c r="H3" s="3"/>
      <c r="I3" s="3"/>
      <c r="J3" s="2"/>
      <c r="K3" s="4"/>
      <c r="L3" s="2"/>
      <c r="M3" s="2"/>
      <c r="N3" s="2"/>
      <c r="O3" s="3"/>
      <c r="P3" s="3"/>
      <c r="Q3" s="3"/>
      <c r="R3" s="2"/>
      <c r="S3" s="3"/>
      <c r="T3" s="3"/>
      <c r="U3" s="3"/>
      <c r="V3" s="2"/>
      <c r="W3" s="4"/>
      <c r="X3" s="2"/>
      <c r="Y3" s="2"/>
    </row>
    <row r="4" spans="1:25" ht="16.5">
      <c r="A4" s="1" t="s">
        <v>3</v>
      </c>
      <c r="B4" s="2"/>
      <c r="C4" s="3"/>
      <c r="D4" s="3"/>
      <c r="E4" s="3"/>
      <c r="F4" s="2"/>
      <c r="G4" s="3"/>
      <c r="H4" s="3"/>
      <c r="I4" s="3"/>
      <c r="J4" s="2"/>
      <c r="K4" s="4"/>
      <c r="L4" s="2"/>
      <c r="M4" s="2"/>
      <c r="N4" s="2"/>
      <c r="O4" s="3"/>
      <c r="P4" s="3"/>
      <c r="Q4" s="3"/>
      <c r="R4" s="2"/>
      <c r="S4" s="3"/>
      <c r="T4" s="3"/>
      <c r="U4" s="3"/>
      <c r="V4" s="2"/>
      <c r="W4" s="4"/>
      <c r="X4" s="2"/>
      <c r="Y4" s="2"/>
    </row>
    <row r="5" spans="1:23" ht="12.75">
      <c r="A5" s="6"/>
      <c r="B5" s="2"/>
      <c r="C5" s="3"/>
      <c r="D5" s="3"/>
      <c r="E5" s="3"/>
      <c r="F5" s="2"/>
      <c r="G5" s="3"/>
      <c r="H5" s="3"/>
      <c r="I5" s="3"/>
      <c r="J5" s="2"/>
      <c r="K5" s="5"/>
      <c r="N5" s="2"/>
      <c r="O5" s="3"/>
      <c r="P5" s="3"/>
      <c r="Q5" s="3"/>
      <c r="R5" s="2"/>
      <c r="S5" s="3"/>
      <c r="T5" s="3"/>
      <c r="U5" s="3"/>
      <c r="V5" s="2"/>
      <c r="W5" s="5"/>
    </row>
    <row r="6" spans="1:25" ht="12.75">
      <c r="A6" s="6"/>
      <c r="B6" s="2"/>
      <c r="C6" s="7" t="s">
        <v>4</v>
      </c>
      <c r="D6" s="7"/>
      <c r="E6" s="7"/>
      <c r="F6" s="8"/>
      <c r="G6" s="7"/>
      <c r="H6" s="7"/>
      <c r="I6" s="7"/>
      <c r="J6" s="8"/>
      <c r="K6" s="8"/>
      <c r="L6" s="8"/>
      <c r="M6" s="8"/>
      <c r="O6" s="7" t="s">
        <v>5</v>
      </c>
      <c r="P6" s="7"/>
      <c r="Q6" s="7"/>
      <c r="R6" s="8"/>
      <c r="S6" s="7"/>
      <c r="T6" s="7"/>
      <c r="U6" s="7"/>
      <c r="V6" s="8"/>
      <c r="W6" s="8"/>
      <c r="X6" s="8"/>
      <c r="Y6" s="8"/>
    </row>
    <row r="7" spans="3:25" ht="15.75">
      <c r="C7" s="10" t="s">
        <v>47</v>
      </c>
      <c r="D7" s="10"/>
      <c r="E7" s="10"/>
      <c r="F7" s="11"/>
      <c r="G7" s="10"/>
      <c r="H7" s="10"/>
      <c r="I7" s="10"/>
      <c r="K7" s="41" t="s">
        <v>6</v>
      </c>
      <c r="L7" s="41"/>
      <c r="M7" s="41"/>
      <c r="O7" s="10" t="s">
        <v>47</v>
      </c>
      <c r="P7" s="10"/>
      <c r="Q7" s="10"/>
      <c r="R7" s="11"/>
      <c r="S7" s="10"/>
      <c r="T7" s="10"/>
      <c r="U7" s="10"/>
      <c r="W7" s="41" t="s">
        <v>6</v>
      </c>
      <c r="X7" s="41"/>
      <c r="Y7" s="41"/>
    </row>
    <row r="8" spans="3:22" ht="12.75">
      <c r="C8" s="12" t="s">
        <v>7</v>
      </c>
      <c r="D8"/>
      <c r="E8"/>
      <c r="F8"/>
      <c r="G8" s="12" t="s">
        <v>8</v>
      </c>
      <c r="H8"/>
      <c r="I8"/>
      <c r="J8" s="13"/>
      <c r="O8" s="12" t="s">
        <v>7</v>
      </c>
      <c r="P8"/>
      <c r="Q8"/>
      <c r="R8"/>
      <c r="S8" s="12" t="s">
        <v>8</v>
      </c>
      <c r="T8"/>
      <c r="U8"/>
      <c r="V8" s="13"/>
    </row>
    <row r="9" spans="3:25" ht="12.75">
      <c r="C9" s="12" t="s">
        <v>2</v>
      </c>
      <c r="D9" s="12"/>
      <c r="E9" s="12"/>
      <c r="G9" s="12" t="s">
        <v>2</v>
      </c>
      <c r="H9" s="12"/>
      <c r="I9" s="12"/>
      <c r="K9" s="15" t="s">
        <v>9</v>
      </c>
      <c r="M9" s="16" t="s">
        <v>10</v>
      </c>
      <c r="O9" s="12" t="s">
        <v>2</v>
      </c>
      <c r="P9" s="12"/>
      <c r="Q9" s="12"/>
      <c r="S9" s="12" t="s">
        <v>2</v>
      </c>
      <c r="T9" s="12"/>
      <c r="U9" s="12"/>
      <c r="W9" s="15" t="s">
        <v>9</v>
      </c>
      <c r="Y9" s="16" t="s">
        <v>10</v>
      </c>
    </row>
    <row r="10" spans="1:25" ht="12.75">
      <c r="A10" s="17" t="s">
        <v>11</v>
      </c>
      <c r="C10" s="18" t="s">
        <v>12</v>
      </c>
      <c r="D10" s="18"/>
      <c r="E10" s="18" t="s">
        <v>13</v>
      </c>
      <c r="G10" s="18" t="s">
        <v>12</v>
      </c>
      <c r="H10" s="18"/>
      <c r="I10" s="18" t="s">
        <v>13</v>
      </c>
      <c r="K10" s="19" t="s">
        <v>14</v>
      </c>
      <c r="M10" s="20" t="s">
        <v>14</v>
      </c>
      <c r="O10" s="18" t="s">
        <v>12</v>
      </c>
      <c r="P10" s="18"/>
      <c r="Q10" s="18" t="s">
        <v>13</v>
      </c>
      <c r="S10" s="18" t="s">
        <v>12</v>
      </c>
      <c r="T10" s="18"/>
      <c r="U10" s="18" t="s">
        <v>13</v>
      </c>
      <c r="W10" s="19" t="s">
        <v>14</v>
      </c>
      <c r="Y10" s="20" t="s">
        <v>14</v>
      </c>
    </row>
    <row r="11" spans="1:21" ht="12.75">
      <c r="A11"/>
      <c r="G11"/>
      <c r="H11"/>
      <c r="I11"/>
      <c r="S11"/>
      <c r="T11"/>
      <c r="U11"/>
    </row>
    <row r="12" spans="3:15" ht="12.75">
      <c r="C12"/>
      <c r="O12"/>
    </row>
    <row r="13" spans="1:31" ht="12.75">
      <c r="A13" s="9">
        <v>0</v>
      </c>
      <c r="C13" s="21">
        <f>ROUND((MAX($AD$16+(($AD$17*MIN(400,A13))+($AD$18*MAX(0,MIN(1000,A13)-400))+($AD$19*MAX(0,A13-1000)))*(1+$AD$22),$AD$20)+$AD$21),2)</f>
        <v>3.66</v>
      </c>
      <c r="D13"/>
      <c r="E13" s="22" t="s">
        <v>15</v>
      </c>
      <c r="G13" s="21">
        <f aca="true" t="shared" si="0" ref="G13:G23">ROUND((MAX($AE$16+(($AE$17*MIN(400,A13))+($AE$18*MAX(0,MIN(1000,A13)-400))+($AE$19*MAX(0,A13-1000)))*(1+$AE$22),$AE$20)+$AE$21),2)</f>
        <v>4.02</v>
      </c>
      <c r="H13"/>
      <c r="I13" s="22" t="s">
        <v>15</v>
      </c>
      <c r="J13" s="21"/>
      <c r="K13" s="23">
        <f>G13-C13</f>
        <v>0.35999999999999943</v>
      </c>
      <c r="M13" s="24">
        <f>G13/C13-1</f>
        <v>0.0983606557377048</v>
      </c>
      <c r="O13" s="21">
        <f>ROUND((MAX($AD$25+(($AD$26*A13))*(1+$AD$29),$AD$27)+$AD$28),2)</f>
        <v>3.66</v>
      </c>
      <c r="P13"/>
      <c r="Q13" s="22" t="s">
        <v>15</v>
      </c>
      <c r="S13" s="21">
        <f>ROUND((MAX($AE$25+(($AE$26*A13))*(1+$AE$29),$AE$27)+$AE$28),2)</f>
        <v>4.02</v>
      </c>
      <c r="T13"/>
      <c r="U13" s="22" t="s">
        <v>15</v>
      </c>
      <c r="V13" s="21"/>
      <c r="W13" s="23">
        <f>S13-O13</f>
        <v>0.35999999999999943</v>
      </c>
      <c r="Y13" s="24">
        <f>S13/O13-1</f>
        <v>0.0983606557377048</v>
      </c>
      <c r="AD13" s="5" t="s">
        <v>7</v>
      </c>
      <c r="AE13" s="5" t="s">
        <v>8</v>
      </c>
    </row>
    <row r="14" spans="1:25" ht="12.75">
      <c r="A14" s="9">
        <v>100</v>
      </c>
      <c r="C14" s="21">
        <f aca="true" t="shared" si="1" ref="C14:C23">ROUND((MAX($AD$16+(($AD$17*MIN(400,A14))+($AD$18*MAX(0,MIN(1000,A14)-400))+($AD$19*MAX(0,A14-1000)))*(1+$AD$22),$AD$20)+$AD$21),2)</f>
        <v>6.99</v>
      </c>
      <c r="D14"/>
      <c r="E14" s="22" t="s">
        <v>15</v>
      </c>
      <c r="G14" s="21">
        <f t="shared" si="0"/>
        <v>7.57</v>
      </c>
      <c r="H14"/>
      <c r="I14" s="22">
        <f>G14/$A14*100</f>
        <v>7.57</v>
      </c>
      <c r="J14" s="21"/>
      <c r="K14" s="23">
        <f>G14-C14</f>
        <v>0.5800000000000001</v>
      </c>
      <c r="M14" s="24">
        <f>G14/C14-1</f>
        <v>0.0829756795422032</v>
      </c>
      <c r="O14" s="21">
        <f>ROUND((MAX($AD$25+(($AD$26*A14))*(1+$AD$29),$AD$27)+$AD$28),2)</f>
        <v>6.99</v>
      </c>
      <c r="P14"/>
      <c r="Q14" s="22" t="s">
        <v>15</v>
      </c>
      <c r="S14" s="21">
        <f>ROUND((MAX($AE$25+(($AE$26*A14))*(1+$AE$29),$AE$27)+$AE$28),2)</f>
        <v>7.57</v>
      </c>
      <c r="T14"/>
      <c r="U14" s="22">
        <f>S14/$A14*100</f>
        <v>7.57</v>
      </c>
      <c r="V14" s="21"/>
      <c r="W14" s="23">
        <f>S14-O14</f>
        <v>0.5800000000000001</v>
      </c>
      <c r="Y14" s="24">
        <f>S14/O14-1</f>
        <v>0.0829756795422032</v>
      </c>
    </row>
    <row r="15" spans="1:29" ht="12.75">
      <c r="A15" s="9">
        <v>200</v>
      </c>
      <c r="C15" s="21">
        <f t="shared" si="1"/>
        <v>13.85</v>
      </c>
      <c r="D15"/>
      <c r="E15" s="22" t="s">
        <v>15</v>
      </c>
      <c r="G15" s="21">
        <f t="shared" si="0"/>
        <v>15.01</v>
      </c>
      <c r="H15"/>
      <c r="I15" s="22">
        <f aca="true" t="shared" si="2" ref="I15:I23">G15/$A15*100</f>
        <v>7.505000000000001</v>
      </c>
      <c r="J15" s="21"/>
      <c r="K15" s="23">
        <f aca="true" t="shared" si="3" ref="K15:K23">G15-C15</f>
        <v>1.1600000000000001</v>
      </c>
      <c r="M15" s="24">
        <f aca="true" t="shared" si="4" ref="M15:M23">G15/C15-1</f>
        <v>0.08375451263537914</v>
      </c>
      <c r="O15" s="21">
        <f aca="true" t="shared" si="5" ref="O15:O23">ROUND((MAX($AD$25+(($AD$26*A15))*(1+$AD$29),$AD$27)+$AD$28),2)</f>
        <v>13.85</v>
      </c>
      <c r="P15"/>
      <c r="Q15" s="22" t="s">
        <v>15</v>
      </c>
      <c r="S15" s="21">
        <f aca="true" t="shared" si="6" ref="S15:S23">ROUND((MAX($AE$25+(($AE$26*A15))*(1+$AE$29),$AE$27)+$AE$28),2)</f>
        <v>15.01</v>
      </c>
      <c r="T15"/>
      <c r="U15" s="22">
        <f aca="true" t="shared" si="7" ref="U15:U23">S15/$A15*100</f>
        <v>7.505000000000001</v>
      </c>
      <c r="V15" s="21"/>
      <c r="W15" s="23">
        <f aca="true" t="shared" si="8" ref="W15:W23">S15-O15</f>
        <v>1.1600000000000001</v>
      </c>
      <c r="Y15" s="24">
        <f aca="true" t="shared" si="9" ref="Y15:Y23">S15/O15-1</f>
        <v>0.08375451263537914</v>
      </c>
      <c r="AC15" s="25" t="s">
        <v>4</v>
      </c>
    </row>
    <row r="16" spans="1:31" ht="12.75">
      <c r="A16" s="9">
        <v>300</v>
      </c>
      <c r="C16" s="21">
        <f t="shared" si="1"/>
        <v>20.72</v>
      </c>
      <c r="D16"/>
      <c r="E16" s="22" t="s">
        <v>15</v>
      </c>
      <c r="G16" s="21">
        <f t="shared" si="0"/>
        <v>22.46</v>
      </c>
      <c r="H16"/>
      <c r="I16" s="22">
        <f t="shared" si="2"/>
        <v>7.486666666666666</v>
      </c>
      <c r="J16" s="21"/>
      <c r="K16" s="23">
        <f t="shared" si="3"/>
        <v>1.740000000000002</v>
      </c>
      <c r="M16" s="24">
        <f t="shared" si="4"/>
        <v>0.08397683397683409</v>
      </c>
      <c r="O16" s="21">
        <f t="shared" si="5"/>
        <v>20.72</v>
      </c>
      <c r="P16"/>
      <c r="Q16" s="22" t="s">
        <v>15</v>
      </c>
      <c r="S16" s="21">
        <f t="shared" si="6"/>
        <v>22.46</v>
      </c>
      <c r="T16"/>
      <c r="U16" s="22">
        <f t="shared" si="7"/>
        <v>7.486666666666666</v>
      </c>
      <c r="V16" s="21"/>
      <c r="W16" s="23">
        <f t="shared" si="8"/>
        <v>1.740000000000002</v>
      </c>
      <c r="Y16" s="24">
        <f t="shared" si="9"/>
        <v>0.08397683397683409</v>
      </c>
      <c r="AC16" s="5" t="s">
        <v>16</v>
      </c>
      <c r="AD16" s="14">
        <v>0</v>
      </c>
      <c r="AE16" s="14">
        <v>0</v>
      </c>
    </row>
    <row r="17" spans="1:31" ht="12.75">
      <c r="A17" s="9">
        <v>400</v>
      </c>
      <c r="C17" s="21">
        <f t="shared" si="1"/>
        <v>27.58</v>
      </c>
      <c r="D17"/>
      <c r="E17" s="22" t="s">
        <v>15</v>
      </c>
      <c r="G17" s="21">
        <f t="shared" si="0"/>
        <v>29.91</v>
      </c>
      <c r="H17"/>
      <c r="I17" s="22">
        <f t="shared" si="2"/>
        <v>7.477499999999999</v>
      </c>
      <c r="J17" s="21"/>
      <c r="K17" s="23">
        <f t="shared" si="3"/>
        <v>2.330000000000002</v>
      </c>
      <c r="M17" s="24">
        <f t="shared" si="4"/>
        <v>0.0844815083393764</v>
      </c>
      <c r="O17" s="21">
        <f t="shared" si="5"/>
        <v>27.58</v>
      </c>
      <c r="P17"/>
      <c r="Q17" s="22" t="s">
        <v>15</v>
      </c>
      <c r="S17" s="21">
        <f t="shared" si="6"/>
        <v>29.91</v>
      </c>
      <c r="T17"/>
      <c r="U17" s="22">
        <f t="shared" si="7"/>
        <v>7.477499999999999</v>
      </c>
      <c r="V17" s="21"/>
      <c r="W17" s="23">
        <f t="shared" si="8"/>
        <v>2.330000000000002</v>
      </c>
      <c r="Y17" s="24">
        <f t="shared" si="9"/>
        <v>0.0844815083393764</v>
      </c>
      <c r="AC17" s="5" t="s">
        <v>17</v>
      </c>
      <c r="AD17" s="26">
        <v>0.06663000000000001</v>
      </c>
      <c r="AE17" s="26">
        <v>0.07227</v>
      </c>
    </row>
    <row r="18" spans="1:31" ht="12.75">
      <c r="A18" s="9">
        <v>500</v>
      </c>
      <c r="C18" s="21">
        <f t="shared" si="1"/>
        <v>35.41</v>
      </c>
      <c r="D18"/>
      <c r="E18" s="22" t="s">
        <v>15</v>
      </c>
      <c r="G18" s="21">
        <f t="shared" si="0"/>
        <v>38.4</v>
      </c>
      <c r="H18"/>
      <c r="I18" s="22">
        <f t="shared" si="2"/>
        <v>7.68</v>
      </c>
      <c r="J18" s="21"/>
      <c r="K18" s="23">
        <f t="shared" si="3"/>
        <v>2.990000000000002</v>
      </c>
      <c r="M18" s="24">
        <f t="shared" si="4"/>
        <v>0.08443942389155623</v>
      </c>
      <c r="O18" s="21">
        <f t="shared" si="5"/>
        <v>34.45</v>
      </c>
      <c r="P18"/>
      <c r="Q18" s="22" t="s">
        <v>15</v>
      </c>
      <c r="S18" s="21">
        <f t="shared" si="6"/>
        <v>37.35</v>
      </c>
      <c r="T18"/>
      <c r="U18" s="22">
        <f t="shared" si="7"/>
        <v>7.470000000000001</v>
      </c>
      <c r="V18" s="21"/>
      <c r="W18" s="23">
        <f t="shared" si="8"/>
        <v>2.8999999999999986</v>
      </c>
      <c r="Y18" s="24">
        <f t="shared" si="9"/>
        <v>0.0841799709724238</v>
      </c>
      <c r="AC18" s="5" t="s">
        <v>18</v>
      </c>
      <c r="AD18" s="26">
        <v>0.076</v>
      </c>
      <c r="AE18" s="26">
        <v>0.08242999999999999</v>
      </c>
    </row>
    <row r="19" spans="1:31" ht="12.75">
      <c r="A19" s="9">
        <v>600</v>
      </c>
      <c r="C19" s="21">
        <f t="shared" si="1"/>
        <v>43.24</v>
      </c>
      <c r="D19"/>
      <c r="E19" s="22" t="s">
        <v>15</v>
      </c>
      <c r="G19" s="21">
        <f t="shared" si="0"/>
        <v>46.89</v>
      </c>
      <c r="H19"/>
      <c r="I19" s="22">
        <f t="shared" si="2"/>
        <v>7.8149999999999995</v>
      </c>
      <c r="J19" s="21"/>
      <c r="K19" s="23">
        <f t="shared" si="3"/>
        <v>3.6499999999999986</v>
      </c>
      <c r="M19" s="24">
        <f t="shared" si="4"/>
        <v>0.08441258094357074</v>
      </c>
      <c r="O19" s="21">
        <f t="shared" si="5"/>
        <v>41.31</v>
      </c>
      <c r="P19"/>
      <c r="Q19" s="22" t="s">
        <v>15</v>
      </c>
      <c r="S19" s="21">
        <f t="shared" si="6"/>
        <v>44.8</v>
      </c>
      <c r="T19"/>
      <c r="U19" s="22">
        <f t="shared" si="7"/>
        <v>7.466666666666666</v>
      </c>
      <c r="V19" s="21"/>
      <c r="W19" s="23">
        <f t="shared" si="8"/>
        <v>3.489999999999995</v>
      </c>
      <c r="Y19" s="24">
        <f t="shared" si="9"/>
        <v>0.08448317598644373</v>
      </c>
      <c r="AC19" s="5" t="s">
        <v>19</v>
      </c>
      <c r="AD19" s="26">
        <v>0.09</v>
      </c>
      <c r="AE19" s="26">
        <v>0.09757999999999999</v>
      </c>
    </row>
    <row r="20" spans="1:31" ht="12.75">
      <c r="A20" s="9">
        <v>700</v>
      </c>
      <c r="C20" s="21">
        <f t="shared" si="1"/>
        <v>51.08</v>
      </c>
      <c r="D20"/>
      <c r="E20" s="22" t="s">
        <v>15</v>
      </c>
      <c r="G20" s="21">
        <f t="shared" si="0"/>
        <v>55.39</v>
      </c>
      <c r="H20"/>
      <c r="I20" s="22">
        <f t="shared" si="2"/>
        <v>7.912857142857142</v>
      </c>
      <c r="J20" s="21"/>
      <c r="K20" s="23">
        <f t="shared" si="3"/>
        <v>4.310000000000002</v>
      </c>
      <c r="M20" s="24">
        <f t="shared" si="4"/>
        <v>0.08437744714173845</v>
      </c>
      <c r="O20" s="21">
        <f t="shared" si="5"/>
        <v>48.18</v>
      </c>
      <c r="P20"/>
      <c r="Q20" s="22" t="s">
        <v>15</v>
      </c>
      <c r="S20" s="21">
        <f t="shared" si="6"/>
        <v>52.25</v>
      </c>
      <c r="T20"/>
      <c r="U20" s="22">
        <f t="shared" si="7"/>
        <v>7.464285714285715</v>
      </c>
      <c r="V20" s="21"/>
      <c r="W20" s="23">
        <f t="shared" si="8"/>
        <v>4.07</v>
      </c>
      <c r="Y20" s="24">
        <f t="shared" si="9"/>
        <v>0.08447488584474883</v>
      </c>
      <c r="AC20" s="5" t="s">
        <v>20</v>
      </c>
      <c r="AD20" s="14">
        <v>3.54</v>
      </c>
      <c r="AE20" s="14">
        <v>3.9</v>
      </c>
    </row>
    <row r="21" spans="1:31" ht="12.75">
      <c r="A21" s="9">
        <v>800</v>
      </c>
      <c r="C21" s="21">
        <f t="shared" si="1"/>
        <v>58.91</v>
      </c>
      <c r="D21"/>
      <c r="E21" s="22" t="s">
        <v>15</v>
      </c>
      <c r="G21" s="21">
        <f t="shared" si="0"/>
        <v>63.88</v>
      </c>
      <c r="H21"/>
      <c r="I21" s="22">
        <f t="shared" si="2"/>
        <v>7.985</v>
      </c>
      <c r="J21" s="21"/>
      <c r="K21" s="23">
        <f t="shared" si="3"/>
        <v>4.970000000000006</v>
      </c>
      <c r="M21" s="24">
        <f t="shared" si="4"/>
        <v>0.08436598200645062</v>
      </c>
      <c r="O21" s="21">
        <f t="shared" si="5"/>
        <v>55.04</v>
      </c>
      <c r="P21"/>
      <c r="Q21" s="22" t="s">
        <v>15</v>
      </c>
      <c r="S21" s="21">
        <f t="shared" si="6"/>
        <v>59.69</v>
      </c>
      <c r="T21"/>
      <c r="U21" s="22">
        <f t="shared" si="7"/>
        <v>7.46125</v>
      </c>
      <c r="V21" s="21"/>
      <c r="W21" s="23">
        <f t="shared" si="8"/>
        <v>4.649999999999999</v>
      </c>
      <c r="Y21" s="24">
        <f t="shared" si="9"/>
        <v>0.08448401162790686</v>
      </c>
      <c r="AC21" s="5" t="s">
        <v>21</v>
      </c>
      <c r="AD21" s="14">
        <v>0.12</v>
      </c>
      <c r="AE21" s="14">
        <v>0.12</v>
      </c>
    </row>
    <row r="22" spans="1:31" ht="12.75">
      <c r="A22" s="9">
        <v>900</v>
      </c>
      <c r="C22" s="21">
        <f t="shared" si="1"/>
        <v>66.74</v>
      </c>
      <c r="D22"/>
      <c r="E22" s="22" t="s">
        <v>15</v>
      </c>
      <c r="G22" s="21">
        <f t="shared" si="0"/>
        <v>72.37</v>
      </c>
      <c r="H22"/>
      <c r="I22" s="22">
        <f t="shared" si="2"/>
        <v>8.041111111111112</v>
      </c>
      <c r="J22" s="21"/>
      <c r="K22" s="23">
        <f t="shared" si="3"/>
        <v>5.63000000000001</v>
      </c>
      <c r="M22" s="24">
        <f t="shared" si="4"/>
        <v>0.08435720707222072</v>
      </c>
      <c r="O22" s="21">
        <f t="shared" si="5"/>
        <v>61.91</v>
      </c>
      <c r="P22"/>
      <c r="Q22" s="22" t="s">
        <v>15</v>
      </c>
      <c r="S22" s="21">
        <f t="shared" si="6"/>
        <v>67.14</v>
      </c>
      <c r="T22"/>
      <c r="U22" s="22">
        <f t="shared" si="7"/>
        <v>7.46</v>
      </c>
      <c r="V22" s="21"/>
      <c r="W22" s="23">
        <f t="shared" si="8"/>
        <v>5.230000000000004</v>
      </c>
      <c r="Y22" s="24">
        <f t="shared" si="9"/>
        <v>0.08447746729122918</v>
      </c>
      <c r="AC22" s="5" t="s">
        <v>22</v>
      </c>
      <c r="AD22" s="24">
        <v>0.0304</v>
      </c>
      <c r="AE22" s="24">
        <v>0.0304</v>
      </c>
    </row>
    <row r="23" spans="1:25" ht="12.75">
      <c r="A23" s="9">
        <v>1000</v>
      </c>
      <c r="C23" s="21">
        <f t="shared" si="1"/>
        <v>74.57</v>
      </c>
      <c r="D23"/>
      <c r="E23" s="22" t="s">
        <v>15</v>
      </c>
      <c r="G23" s="21">
        <f t="shared" si="0"/>
        <v>80.87</v>
      </c>
      <c r="H23"/>
      <c r="I23" s="22">
        <f t="shared" si="2"/>
        <v>8.087000000000002</v>
      </c>
      <c r="J23" s="21"/>
      <c r="K23" s="23">
        <f t="shared" si="3"/>
        <v>6.300000000000011</v>
      </c>
      <c r="M23" s="24">
        <f t="shared" si="4"/>
        <v>0.08448437709534673</v>
      </c>
      <c r="O23" s="21">
        <f t="shared" si="5"/>
        <v>68.78</v>
      </c>
      <c r="P23"/>
      <c r="Q23" s="22" t="s">
        <v>15</v>
      </c>
      <c r="S23" s="21">
        <f t="shared" si="6"/>
        <v>74.59</v>
      </c>
      <c r="T23"/>
      <c r="U23" s="22">
        <f t="shared" si="7"/>
        <v>7.4590000000000005</v>
      </c>
      <c r="V23" s="21"/>
      <c r="W23" s="23">
        <f t="shared" si="8"/>
        <v>5.810000000000002</v>
      </c>
      <c r="Y23" s="24">
        <f t="shared" si="9"/>
        <v>0.08447223029950579</v>
      </c>
    </row>
    <row r="24" spans="4:29" ht="12.75">
      <c r="D24"/>
      <c r="E24" s="22"/>
      <c r="H24"/>
      <c r="I24" s="22"/>
      <c r="J24" s="21"/>
      <c r="K24" s="23"/>
      <c r="M24" s="24"/>
      <c r="P24"/>
      <c r="Q24" s="22"/>
      <c r="T24"/>
      <c r="U24" s="22"/>
      <c r="V24" s="21"/>
      <c r="W24" s="23"/>
      <c r="Y24" s="24"/>
      <c r="AC24" s="25" t="s">
        <v>5</v>
      </c>
    </row>
    <row r="25" spans="1:31" ht="12.75">
      <c r="A25" s="9">
        <v>1100</v>
      </c>
      <c r="C25" s="21">
        <f>ROUND((MAX($AD$16+(($AD$17*MIN(400,A25))+($AD$18*MAX(0,MIN(1000,A25)-400))+($AD$19*MAX(0,A25-1000)))*(1+$AD$22),$AD$20)+$AD$21),2)</f>
        <v>83.84</v>
      </c>
      <c r="D25"/>
      <c r="E25" s="22" t="s">
        <v>15</v>
      </c>
      <c r="G25" s="21">
        <f>ROUND((MAX($AE$16+(($AE$17*MIN(400,A25))+($AE$18*MAX(0,MIN(1000,A25)-400))+($AE$19*MAX(0,A25-1000)))*(1+$AE$22),$AE$20)+$AE$21),2)</f>
        <v>90.92</v>
      </c>
      <c r="H25"/>
      <c r="I25" s="22">
        <f>G25/$A25*100</f>
        <v>8.265454545454546</v>
      </c>
      <c r="J25" s="21"/>
      <c r="K25" s="23">
        <f>G25-C25</f>
        <v>7.079999999999998</v>
      </c>
      <c r="M25" s="24">
        <f>G25/C25-1</f>
        <v>0.08444656488549618</v>
      </c>
      <c r="O25" s="21">
        <f>ROUND((MAX($AD$25+(($AD$26*A25))*(1+$AD$29),$AD$27)+$AD$28),2)</f>
        <v>75.64</v>
      </c>
      <c r="P25"/>
      <c r="Q25" s="22" t="s">
        <v>15</v>
      </c>
      <c r="S25" s="21">
        <f>ROUND((MAX($AE$25+(($AE$26*A25))*(1+$AE$29),$AE$27)+$AE$28),2)</f>
        <v>82.03</v>
      </c>
      <c r="T25"/>
      <c r="U25" s="22">
        <f>S25/$A25*100</f>
        <v>7.457272727272728</v>
      </c>
      <c r="V25" s="21"/>
      <c r="W25" s="23">
        <f>S25-O25</f>
        <v>6.390000000000001</v>
      </c>
      <c r="Y25" s="24">
        <f>S25/O25-1</f>
        <v>0.08447911158117405</v>
      </c>
      <c r="AC25" s="5" t="s">
        <v>16</v>
      </c>
      <c r="AD25" s="14">
        <f>AD16</f>
        <v>0</v>
      </c>
      <c r="AE25" s="14">
        <f>AE16</f>
        <v>0</v>
      </c>
    </row>
    <row r="26" spans="1:31" ht="12.75">
      <c r="A26" s="9">
        <v>1200</v>
      </c>
      <c r="C26" s="21">
        <f>ROUND((MAX($AD$16+(($AD$17*MIN(400,A26))+($AD$18*MAX(0,MIN(1000,A26)-400))+($AD$19*MAX(0,A26-1000)))*(1+$AD$22),$AD$20)+$AD$21),2)</f>
        <v>93.12</v>
      </c>
      <c r="D26"/>
      <c r="E26" s="22" t="s">
        <v>15</v>
      </c>
      <c r="G26" s="21">
        <f>ROUND((MAX($AE$16+(($AE$17*MIN(400,A26))+($AE$18*MAX(0,MIN(1000,A26)-400))+($AE$19*MAX(0,A26-1000)))*(1+$AE$22),$AE$20)+$AE$21),2)</f>
        <v>100.98</v>
      </c>
      <c r="H26"/>
      <c r="I26" s="22">
        <f>G26/$A26*100</f>
        <v>8.415000000000001</v>
      </c>
      <c r="J26" s="21"/>
      <c r="K26" s="23">
        <f>G26-C26</f>
        <v>7.859999999999999</v>
      </c>
      <c r="M26" s="24">
        <f>G26/C26-1</f>
        <v>0.08440721649484528</v>
      </c>
      <c r="O26" s="21">
        <f>ROUND((MAX($AD$25+(($AD$26*A26))*(1+$AD$29),$AD$27)+$AD$28),2)</f>
        <v>82.51</v>
      </c>
      <c r="P26"/>
      <c r="Q26" s="22" t="s">
        <v>15</v>
      </c>
      <c r="S26" s="21">
        <f>ROUND((MAX($AE$25+(($AE$26*A26))*(1+$AE$29),$AE$27)+$AE$28),2)</f>
        <v>89.48</v>
      </c>
      <c r="T26"/>
      <c r="U26" s="22">
        <f>S26/$A26*100</f>
        <v>7.456666666666667</v>
      </c>
      <c r="V26" s="21"/>
      <c r="W26" s="23">
        <f>S26-O26</f>
        <v>6.969999999999999</v>
      </c>
      <c r="Y26" s="24">
        <f>S26/O26-1</f>
        <v>0.0844746091382862</v>
      </c>
      <c r="AC26" s="5" t="s">
        <v>11</v>
      </c>
      <c r="AD26" s="26">
        <f>AD17</f>
        <v>0.06663000000000001</v>
      </c>
      <c r="AE26" s="26">
        <f>AE17</f>
        <v>0.07227</v>
      </c>
    </row>
    <row r="27" spans="1:31" ht="12.75">
      <c r="A27" s="9">
        <v>1300</v>
      </c>
      <c r="C27" s="21">
        <f>ROUND((MAX($AD$16+(($AD$17*MIN(400,A27))+($AD$18*MAX(0,MIN(1000,A27)-400))+($AD$19*MAX(0,A27-1000)))*(1+$AD$22),$AD$20)+$AD$21),2)</f>
        <v>102.39</v>
      </c>
      <c r="D27"/>
      <c r="E27" s="22" t="s">
        <v>15</v>
      </c>
      <c r="G27" s="21">
        <f>ROUND((MAX($AE$16+(($AE$17*MIN(400,A27))+($AE$18*MAX(0,MIN(1000,A27)-400))+($AE$19*MAX(0,A27-1000)))*(1+$AE$22),$AE$20)+$AE$21),2)</f>
        <v>111.03</v>
      </c>
      <c r="H27"/>
      <c r="I27" s="22">
        <f>G27/$A27*100</f>
        <v>8.54076923076923</v>
      </c>
      <c r="J27" s="21"/>
      <c r="K27" s="23">
        <f>G27-C27</f>
        <v>8.64</v>
      </c>
      <c r="M27" s="24">
        <f>G27/C27-1</f>
        <v>0.08438324055083513</v>
      </c>
      <c r="O27" s="21">
        <f>ROUND((MAX($AD$25+(($AD$26*A27))*(1+$AD$29),$AD$27)+$AD$28),2)</f>
        <v>89.37</v>
      </c>
      <c r="P27"/>
      <c r="Q27" s="22" t="s">
        <v>15</v>
      </c>
      <c r="S27" s="21">
        <f>ROUND((MAX($AE$25+(($AE$26*A27))*(1+$AE$29),$AE$27)+$AE$28),2)</f>
        <v>96.93</v>
      </c>
      <c r="T27"/>
      <c r="U27" s="22">
        <f>S27/$A27*100</f>
        <v>7.456153846153847</v>
      </c>
      <c r="V27" s="21"/>
      <c r="W27" s="23">
        <f>S27-O27</f>
        <v>7.560000000000002</v>
      </c>
      <c r="Y27" s="24">
        <f>S27/O27-1</f>
        <v>0.0845921450151057</v>
      </c>
      <c r="AC27" s="5" t="s">
        <v>20</v>
      </c>
      <c r="AD27" s="14">
        <f aca="true" t="shared" si="10" ref="AD27:AE29">AD20</f>
        <v>3.54</v>
      </c>
      <c r="AE27" s="14">
        <f t="shared" si="10"/>
        <v>3.9</v>
      </c>
    </row>
    <row r="28" spans="1:31" ht="12.75">
      <c r="A28" s="9">
        <v>1400</v>
      </c>
      <c r="C28" s="21">
        <f>ROUND((MAX($AD$16+(($AD$17*MIN(400,A28))+($AD$18*MAX(0,MIN(1000,A28)-400))+($AD$19*MAX(0,A28-1000)))*(1+$AD$22),$AD$20)+$AD$21),2)</f>
        <v>111.66</v>
      </c>
      <c r="D28"/>
      <c r="E28" s="22" t="s">
        <v>15</v>
      </c>
      <c r="G28" s="21">
        <f>ROUND((MAX($AE$16+(($AE$17*MIN(400,A28))+($AE$18*MAX(0,MIN(1000,A28)-400))+($AE$19*MAX(0,A28-1000)))*(1+$AE$22),$AE$20)+$AE$21),2)</f>
        <v>121.09</v>
      </c>
      <c r="H28"/>
      <c r="I28" s="22">
        <f>G28/$A28*100</f>
        <v>8.649285714285714</v>
      </c>
      <c r="J28" s="21"/>
      <c r="K28" s="23">
        <f>G28-C28</f>
        <v>9.430000000000007</v>
      </c>
      <c r="M28" s="24">
        <f>G28/C28-1</f>
        <v>0.08445280315242698</v>
      </c>
      <c r="O28" s="21">
        <f>ROUND((MAX($AD$25+(($AD$26*A28))*(1+$AD$29),$AD$27)+$AD$28),2)</f>
        <v>96.24</v>
      </c>
      <c r="P28"/>
      <c r="Q28" s="22" t="s">
        <v>15</v>
      </c>
      <c r="S28" s="21">
        <f>ROUND((MAX($AE$25+(($AE$26*A28))*(1+$AE$29),$AE$27)+$AE$28),2)</f>
        <v>104.37</v>
      </c>
      <c r="T28"/>
      <c r="U28" s="22">
        <f>S28/$A28*100</f>
        <v>7.455</v>
      </c>
      <c r="V28" s="21"/>
      <c r="W28" s="23">
        <f>S28-O28</f>
        <v>8.13000000000001</v>
      </c>
      <c r="Y28" s="24">
        <f>S28/O28-1</f>
        <v>0.08447630922693272</v>
      </c>
      <c r="AC28" s="5" t="s">
        <v>21</v>
      </c>
      <c r="AD28" s="14">
        <f t="shared" si="10"/>
        <v>0.12</v>
      </c>
      <c r="AE28" s="14">
        <f t="shared" si="10"/>
        <v>0.12</v>
      </c>
    </row>
    <row r="29" spans="1:31" ht="12.75">
      <c r="A29" s="9">
        <v>1500</v>
      </c>
      <c r="C29" s="21">
        <f>ROUND((MAX($AD$16+(($AD$17*MIN(400,A29))+($AD$18*MAX(0,MIN(1000,A29)-400))+($AD$19*MAX(0,A29-1000)))*(1+$AD$22),$AD$20)+$AD$21),2)</f>
        <v>120.94</v>
      </c>
      <c r="D29"/>
      <c r="E29" s="22" t="s">
        <v>15</v>
      </c>
      <c r="G29" s="21">
        <f>ROUND((MAX($AE$16+(($AE$17*MIN(400,A29))+($AE$18*MAX(0,MIN(1000,A29)-400))+($AE$19*MAX(0,A29-1000)))*(1+$AE$22),$AE$20)+$AE$21),2)</f>
        <v>131.14</v>
      </c>
      <c r="H29"/>
      <c r="I29" s="22">
        <f>G29/$A29*100</f>
        <v>8.742666666666665</v>
      </c>
      <c r="J29" s="21"/>
      <c r="K29" s="23">
        <f>G29-C29</f>
        <v>10.199999999999989</v>
      </c>
      <c r="M29" s="24">
        <f>G29/C29-1</f>
        <v>0.08433934182239122</v>
      </c>
      <c r="O29" s="21">
        <f>ROUND((MAX($AD$25+(($AD$26*A29))*(1+$AD$29),$AD$27)+$AD$28),2)</f>
        <v>103.1</v>
      </c>
      <c r="P29"/>
      <c r="Q29" s="22" t="s">
        <v>15</v>
      </c>
      <c r="S29" s="21">
        <f>ROUND((MAX($AE$25+(($AE$26*A29))*(1+$AE$29),$AE$27)+$AE$28),2)</f>
        <v>111.82</v>
      </c>
      <c r="T29"/>
      <c r="U29" s="22">
        <f>S29/$A29*100</f>
        <v>7.454666666666666</v>
      </c>
      <c r="V29" s="21"/>
      <c r="W29" s="23">
        <f>S29-O29</f>
        <v>8.719999999999999</v>
      </c>
      <c r="Y29" s="24">
        <f>S29/O29-1</f>
        <v>0.08457807953443264</v>
      </c>
      <c r="AC29" s="5" t="s">
        <v>22</v>
      </c>
      <c r="AD29" s="24">
        <f t="shared" si="10"/>
        <v>0.0304</v>
      </c>
      <c r="AE29" s="24">
        <f t="shared" si="10"/>
        <v>0.0304</v>
      </c>
    </row>
    <row r="30" spans="4:25" ht="12.75">
      <c r="D30"/>
      <c r="E30" s="22"/>
      <c r="H30"/>
      <c r="I30" s="22"/>
      <c r="J30" s="21"/>
      <c r="K30" s="23"/>
      <c r="M30" s="24"/>
      <c r="P30"/>
      <c r="Q30" s="22"/>
      <c r="T30"/>
      <c r="U30" s="22"/>
      <c r="V30" s="21"/>
      <c r="W30" s="23"/>
      <c r="Y30" s="24"/>
    </row>
    <row r="31" spans="1:25" ht="12.75">
      <c r="A31" s="9">
        <v>2000</v>
      </c>
      <c r="C31" s="21">
        <f>ROUND((MAX($AD$16+(($AD$17*MIN(400,A31))+($AD$18*MAX(0,MIN(1000,A31)-400))+($AD$19*MAX(0,A31-1000)))*(1+$AD$22),$AD$20)+$AD$21),2)</f>
        <v>167.3</v>
      </c>
      <c r="D31"/>
      <c r="E31" s="22" t="s">
        <v>15</v>
      </c>
      <c r="G31" s="21">
        <f>ROUND((MAX($AE$16+(($AE$17*MIN(400,A31))+($AE$18*MAX(0,MIN(1000,A31)-400))+($AE$19*MAX(0,A31-1000)))*(1+$AE$22),$AE$20)+$AE$21),2)</f>
        <v>181.41</v>
      </c>
      <c r="H31"/>
      <c r="I31" s="22">
        <f>G31/$A31*100</f>
        <v>9.0705</v>
      </c>
      <c r="J31" s="21"/>
      <c r="K31" s="23">
        <f>G31-C31</f>
        <v>14.109999999999985</v>
      </c>
      <c r="M31" s="24">
        <f>G31/C31-1</f>
        <v>0.08433950986252237</v>
      </c>
      <c r="O31" s="21">
        <f>ROUND((MAX($AD$25+(($AD$26*A31))*(1+$AD$29),$AD$27)+$AD$28),2)</f>
        <v>137.43</v>
      </c>
      <c r="P31"/>
      <c r="Q31" s="22" t="s">
        <v>15</v>
      </c>
      <c r="S31" s="21">
        <f>ROUND((MAX($AE$25+(($AE$26*A31))*(1+$AE$29),$AE$27)+$AE$28),2)</f>
        <v>149.05</v>
      </c>
      <c r="T31"/>
      <c r="U31" s="22">
        <f>S31/$A31*100</f>
        <v>7.452500000000001</v>
      </c>
      <c r="V31" s="21"/>
      <c r="W31" s="23">
        <f>S31-O31</f>
        <v>11.620000000000005</v>
      </c>
      <c r="Y31" s="24">
        <f>S31/O31-1</f>
        <v>0.08455213563268571</v>
      </c>
    </row>
    <row r="32" spans="1:25" ht="12.75">
      <c r="A32" s="9">
        <v>3000</v>
      </c>
      <c r="C32" s="21">
        <f>ROUND((MAX($AD$16+(($AD$17*MIN(400,A32))+($AD$18*MAX(0,MIN(1000,A32)-400))+($AD$19*MAX(0,A32-1000)))*(1+$AD$22),$AD$20)+$AD$21),2)</f>
        <v>260.04</v>
      </c>
      <c r="D32"/>
      <c r="E32" s="22" t="s">
        <v>15</v>
      </c>
      <c r="G32" s="21">
        <f>ROUND((MAX($AE$16+(($AE$17*MIN(400,A32))+($AE$18*MAX(0,MIN(1000,A32)-400))+($AE$19*MAX(0,A32-1000)))*(1+$AE$22),$AE$20)+$AE$21),2)</f>
        <v>281.96</v>
      </c>
      <c r="H32"/>
      <c r="I32" s="22">
        <f>G32/$A32*100</f>
        <v>9.398666666666667</v>
      </c>
      <c r="J32" s="21"/>
      <c r="K32" s="23">
        <f>G32-C32</f>
        <v>21.91999999999996</v>
      </c>
      <c r="M32" s="24">
        <f>G32/C32-1</f>
        <v>0.08429472388863246</v>
      </c>
      <c r="O32" s="21">
        <f>ROUND((MAX($AD$25+(($AD$26*A32))*(1+$AD$29),$AD$27)+$AD$28),2)</f>
        <v>206.09</v>
      </c>
      <c r="P32"/>
      <c r="Q32" s="22" t="s">
        <v>15</v>
      </c>
      <c r="S32" s="21">
        <f>ROUND((MAX($AE$25+(($AE$26*A32))*(1+$AE$29),$AE$27)+$AE$28),2)</f>
        <v>223.52</v>
      </c>
      <c r="T32"/>
      <c r="U32" s="22">
        <f>S32/$A32*100</f>
        <v>7.450666666666667</v>
      </c>
      <c r="V32" s="21"/>
      <c r="W32" s="23">
        <f>S32-O32</f>
        <v>17.430000000000007</v>
      </c>
      <c r="Y32" s="24">
        <f>S32/O32-1</f>
        <v>0.08457470037362325</v>
      </c>
    </row>
    <row r="33" spans="1:31" ht="12.75">
      <c r="A33" s="9">
        <v>4000</v>
      </c>
      <c r="C33" s="21">
        <f>ROUND((MAX($AD$16+(($AD$17*MIN(400,A33))+($AD$18*MAX(0,MIN(1000,A33)-400))+($AD$19*MAX(0,A33-1000)))*(1+$AD$22),$AD$20)+$AD$21),2)</f>
        <v>352.78</v>
      </c>
      <c r="D33"/>
      <c r="E33" s="22" t="s">
        <v>15</v>
      </c>
      <c r="G33" s="21">
        <f>ROUND((MAX($AE$16+(($AE$17*MIN(400,A33))+($AE$18*MAX(0,MIN(1000,A33)-400))+($AE$19*MAX(0,A33-1000)))*(1+$AE$22),$AE$20)+$AE$21),2)</f>
        <v>382.51</v>
      </c>
      <c r="H33"/>
      <c r="I33" s="22">
        <f>G33/$A33*100</f>
        <v>9.562750000000001</v>
      </c>
      <c r="J33" s="21"/>
      <c r="K33" s="23">
        <f>G33-C33</f>
        <v>29.730000000000018</v>
      </c>
      <c r="M33" s="24">
        <f>G33/C33-1</f>
        <v>0.08427348489143371</v>
      </c>
      <c r="O33" s="21">
        <f>ROUND((MAX($AD$25+(($AD$26*A33))*(1+$AD$29),$AD$27)+$AD$28),2)</f>
        <v>274.74</v>
      </c>
      <c r="P33"/>
      <c r="Q33" s="22" t="s">
        <v>15</v>
      </c>
      <c r="S33" s="21">
        <f>ROUND((MAX($AE$25+(($AE$26*A33))*(1+$AE$29),$AE$27)+$AE$28),2)</f>
        <v>297.99</v>
      </c>
      <c r="T33"/>
      <c r="U33" s="22">
        <f>S33/$A33*100</f>
        <v>7.449750000000001</v>
      </c>
      <c r="V33" s="21"/>
      <c r="W33" s="23">
        <f>S33-O33</f>
        <v>23.25</v>
      </c>
      <c r="Y33" s="24">
        <f>S33/O33-1</f>
        <v>0.08462546407512561</v>
      </c>
      <c r="AE33" s="14"/>
    </row>
    <row r="34" spans="1:31" ht="12.75">
      <c r="A34" s="9">
        <v>5000</v>
      </c>
      <c r="C34" s="21">
        <f>ROUND((MAX($AD$16+(($AD$17*MIN(400,A34))+($AD$18*MAX(0,MIN(1000,A34)-400))+($AD$19*MAX(0,A34-1000)))*(1+$AD$22),$AD$20)+$AD$21),2)</f>
        <v>445.51</v>
      </c>
      <c r="D34"/>
      <c r="E34" s="22" t="s">
        <v>15</v>
      </c>
      <c r="G34" s="21">
        <f>ROUND((MAX($AE$16+(($AE$17*MIN(400,A34))+($AE$18*MAX(0,MIN(1000,A34)-400))+($AE$19*MAX(0,A34-1000)))*(1+$AE$22),$AE$20)+$AE$21),2)</f>
        <v>483.05</v>
      </c>
      <c r="H34"/>
      <c r="I34" s="22">
        <f>G34/$A34*100</f>
        <v>9.661</v>
      </c>
      <c r="J34" s="21"/>
      <c r="K34" s="23">
        <f>G34-C34</f>
        <v>37.54000000000002</v>
      </c>
      <c r="M34" s="24">
        <f>G34/C34-1</f>
        <v>0.08426297950663297</v>
      </c>
      <c r="O34" s="21">
        <f>ROUND((MAX($AD$25+(($AD$26*A34))*(1+$AD$29),$AD$27)+$AD$28),2)</f>
        <v>343.4</v>
      </c>
      <c r="P34"/>
      <c r="Q34" s="22" t="s">
        <v>15</v>
      </c>
      <c r="S34" s="21">
        <f>ROUND((MAX($AE$25+(($AE$26*A34))*(1+$AE$29),$AE$27)+$AE$28),2)</f>
        <v>372.46</v>
      </c>
      <c r="T34"/>
      <c r="U34" s="22">
        <f>S34/$A34*100</f>
        <v>7.4492</v>
      </c>
      <c r="V34" s="21"/>
      <c r="W34" s="23">
        <f>S34-O34</f>
        <v>29.060000000000002</v>
      </c>
      <c r="Y34" s="24">
        <f>S34/O34-1</f>
        <v>0.08462434478741998</v>
      </c>
      <c r="AE34" s="26"/>
    </row>
    <row r="35" ht="12.75">
      <c r="AE35" s="26"/>
    </row>
    <row r="36" ht="12.75">
      <c r="AE36" s="26"/>
    </row>
    <row r="37" spans="1:31" ht="15.75">
      <c r="A37" s="27" t="s">
        <v>57</v>
      </c>
      <c r="AE37" s="14"/>
    </row>
    <row r="38" ht="12.75">
      <c r="AE38" s="14"/>
    </row>
    <row r="39" ht="12.75">
      <c r="AE39" s="24"/>
    </row>
  </sheetData>
  <mergeCells count="2">
    <mergeCell ref="W7:Y7"/>
    <mergeCell ref="K7:M7"/>
  </mergeCells>
  <printOptions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Footer>&amp;CBill Comparison Exhibit
(WRG-3)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9.140625" style="5" customWidth="1"/>
    <col min="3" max="3" width="8.7109375" style="21" customWidth="1"/>
    <col min="4" max="4" width="7.57421875" style="21" hidden="1" customWidth="1"/>
    <col min="5" max="5" width="10.421875" style="21" hidden="1" customWidth="1"/>
    <col min="6" max="6" width="8.421875" style="5" customWidth="1"/>
    <col min="7" max="7" width="8.7109375" style="21" customWidth="1"/>
    <col min="8" max="8" width="7.57421875" style="21" hidden="1" customWidth="1"/>
    <col min="9" max="9" width="10.421875" style="21" hidden="1" customWidth="1"/>
    <col min="10" max="10" width="9.140625" style="5" customWidth="1"/>
    <col min="11" max="11" width="9.140625" style="14" customWidth="1"/>
    <col min="12" max="12" width="6.00390625" style="5" customWidth="1"/>
    <col min="13" max="14" width="9.140625" style="5" customWidth="1"/>
    <col min="15" max="15" width="8.7109375" style="21" customWidth="1"/>
    <col min="16" max="16" width="7.57421875" style="21" hidden="1" customWidth="1"/>
    <col min="17" max="17" width="10.421875" style="21" hidden="1" customWidth="1"/>
    <col min="18" max="18" width="8.421875" style="5" customWidth="1"/>
    <col min="19" max="19" width="8.7109375" style="21" customWidth="1"/>
    <col min="20" max="20" width="7.57421875" style="21" hidden="1" customWidth="1"/>
    <col min="21" max="21" width="10.421875" style="21" hidden="1" customWidth="1"/>
    <col min="22" max="22" width="9.140625" style="5" customWidth="1"/>
    <col min="23" max="23" width="9.140625" style="14" customWidth="1"/>
    <col min="24" max="24" width="6.00390625" style="5" customWidth="1"/>
    <col min="25" max="29" width="9.140625" style="5" customWidth="1"/>
    <col min="30" max="30" width="9.7109375" style="5" bestFit="1" customWidth="1"/>
    <col min="31" max="31" width="10.421875" style="5" bestFit="1" customWidth="1"/>
    <col min="32" max="16384" width="9.140625" style="5" customWidth="1"/>
  </cols>
  <sheetData>
    <row r="1" spans="1:25" ht="16.5">
      <c r="A1" s="1" t="s">
        <v>0</v>
      </c>
      <c r="B1" s="2"/>
      <c r="C1" s="3"/>
      <c r="D1" s="3"/>
      <c r="E1" s="3"/>
      <c r="F1" s="2"/>
      <c r="G1" s="3"/>
      <c r="H1" s="3"/>
      <c r="I1" s="3"/>
      <c r="J1" s="2"/>
      <c r="K1" s="4"/>
      <c r="L1" s="2"/>
      <c r="M1" s="2"/>
      <c r="N1" s="2"/>
      <c r="O1" s="3"/>
      <c r="P1" s="3"/>
      <c r="Q1" s="3"/>
      <c r="R1" s="2"/>
      <c r="S1" s="3"/>
      <c r="T1" s="3"/>
      <c r="U1" s="3"/>
      <c r="V1" s="2"/>
      <c r="W1" s="4"/>
      <c r="X1" s="2"/>
      <c r="Y1" s="2"/>
    </row>
    <row r="2" spans="1:25" ht="16.5">
      <c r="A2" s="1" t="s">
        <v>1</v>
      </c>
      <c r="B2" s="2"/>
      <c r="C2" s="3"/>
      <c r="D2" s="3"/>
      <c r="E2" s="3"/>
      <c r="F2" s="2"/>
      <c r="G2" s="3"/>
      <c r="H2" s="3"/>
      <c r="I2" s="3"/>
      <c r="J2" s="2"/>
      <c r="K2" s="4"/>
      <c r="L2" s="2"/>
      <c r="M2" s="2"/>
      <c r="N2" s="2"/>
      <c r="O2" s="3"/>
      <c r="P2" s="3"/>
      <c r="Q2" s="3"/>
      <c r="R2" s="2"/>
      <c r="S2" s="3"/>
      <c r="T2" s="3"/>
      <c r="U2" s="3"/>
      <c r="V2" s="2"/>
      <c r="W2" s="4"/>
      <c r="X2" s="2"/>
      <c r="Y2" s="2"/>
    </row>
    <row r="3" spans="1:25" ht="16.5">
      <c r="A3" s="1" t="s">
        <v>2</v>
      </c>
      <c r="B3" s="2"/>
      <c r="C3" s="3"/>
      <c r="D3" s="3"/>
      <c r="E3" s="3"/>
      <c r="F3" s="2"/>
      <c r="G3" s="3"/>
      <c r="H3" s="3"/>
      <c r="I3" s="3"/>
      <c r="J3" s="2"/>
      <c r="K3" s="4"/>
      <c r="L3" s="2"/>
      <c r="M3" s="2"/>
      <c r="N3" s="2"/>
      <c r="O3" s="3"/>
      <c r="P3" s="3"/>
      <c r="Q3" s="3"/>
      <c r="R3" s="2"/>
      <c r="S3" s="3"/>
      <c r="T3" s="3"/>
      <c r="U3" s="3"/>
      <c r="V3" s="2"/>
      <c r="W3" s="4"/>
      <c r="X3" s="2"/>
      <c r="Y3" s="2"/>
    </row>
    <row r="4" spans="1:25" ht="16.5">
      <c r="A4" s="1" t="s">
        <v>3</v>
      </c>
      <c r="B4" s="2"/>
      <c r="C4" s="3"/>
      <c r="D4" s="3"/>
      <c r="E4" s="3"/>
      <c r="F4" s="2"/>
      <c r="G4" s="3"/>
      <c r="H4" s="3"/>
      <c r="I4" s="3"/>
      <c r="J4" s="2"/>
      <c r="K4" s="4"/>
      <c r="L4" s="2"/>
      <c r="M4" s="2"/>
      <c r="N4" s="2"/>
      <c r="O4" s="3"/>
      <c r="P4" s="3"/>
      <c r="Q4" s="3"/>
      <c r="R4" s="2"/>
      <c r="S4" s="3"/>
      <c r="T4" s="3"/>
      <c r="U4" s="3"/>
      <c r="V4" s="2"/>
      <c r="W4" s="4"/>
      <c r="X4" s="2"/>
      <c r="Y4" s="2"/>
    </row>
    <row r="5" spans="1:23" ht="12.75">
      <c r="A5" s="6"/>
      <c r="B5" s="2"/>
      <c r="C5" s="3"/>
      <c r="D5" s="3"/>
      <c r="E5" s="3"/>
      <c r="F5" s="2"/>
      <c r="G5" s="3"/>
      <c r="H5" s="3"/>
      <c r="I5" s="3"/>
      <c r="J5" s="2"/>
      <c r="K5" s="5"/>
      <c r="N5" s="2"/>
      <c r="O5" s="3"/>
      <c r="P5" s="3"/>
      <c r="Q5" s="3"/>
      <c r="R5" s="2"/>
      <c r="S5" s="3"/>
      <c r="T5" s="3"/>
      <c r="U5" s="3"/>
      <c r="V5" s="2"/>
      <c r="W5" s="5"/>
    </row>
    <row r="6" spans="1:25" ht="12.75">
      <c r="A6" s="6"/>
      <c r="B6" s="2"/>
      <c r="C6" s="7" t="s">
        <v>4</v>
      </c>
      <c r="D6" s="7"/>
      <c r="E6" s="7"/>
      <c r="F6" s="8"/>
      <c r="G6" s="7"/>
      <c r="H6" s="7"/>
      <c r="I6" s="7"/>
      <c r="J6" s="8"/>
      <c r="K6" s="8"/>
      <c r="L6" s="8"/>
      <c r="M6" s="8"/>
      <c r="O6" s="7" t="s">
        <v>5</v>
      </c>
      <c r="P6" s="7"/>
      <c r="Q6" s="7"/>
      <c r="R6" s="8"/>
      <c r="S6" s="7"/>
      <c r="T6" s="7"/>
      <c r="U6" s="7"/>
      <c r="V6" s="8"/>
      <c r="W6" s="8"/>
      <c r="X6" s="8"/>
      <c r="Y6" s="8"/>
    </row>
    <row r="7" spans="3:25" ht="15.75">
      <c r="C7" s="10" t="s">
        <v>47</v>
      </c>
      <c r="D7" s="10"/>
      <c r="E7" s="10"/>
      <c r="F7" s="11"/>
      <c r="G7" s="10"/>
      <c r="H7" s="10"/>
      <c r="I7" s="10"/>
      <c r="K7" s="41" t="s">
        <v>6</v>
      </c>
      <c r="L7" s="41"/>
      <c r="M7" s="41"/>
      <c r="O7" s="10" t="s">
        <v>47</v>
      </c>
      <c r="P7" s="10"/>
      <c r="Q7" s="10"/>
      <c r="R7" s="11"/>
      <c r="S7" s="10"/>
      <c r="T7" s="10"/>
      <c r="U7" s="10"/>
      <c r="W7" s="41" t="s">
        <v>6</v>
      </c>
      <c r="X7" s="41"/>
      <c r="Y7" s="41"/>
    </row>
    <row r="8" spans="3:22" ht="12.75">
      <c r="C8" s="12" t="s">
        <v>7</v>
      </c>
      <c r="D8"/>
      <c r="E8"/>
      <c r="F8"/>
      <c r="G8" s="12" t="s">
        <v>8</v>
      </c>
      <c r="H8"/>
      <c r="I8"/>
      <c r="J8" s="13"/>
      <c r="O8" s="12" t="s">
        <v>7</v>
      </c>
      <c r="P8"/>
      <c r="Q8"/>
      <c r="R8"/>
      <c r="S8" s="12" t="s">
        <v>8</v>
      </c>
      <c r="T8"/>
      <c r="U8"/>
      <c r="V8" s="13"/>
    </row>
    <row r="9" spans="3:25" ht="12.75">
      <c r="C9" s="12" t="s">
        <v>2</v>
      </c>
      <c r="D9" s="12"/>
      <c r="E9" s="12"/>
      <c r="G9" s="12" t="s">
        <v>2</v>
      </c>
      <c r="H9" s="12"/>
      <c r="I9" s="12"/>
      <c r="K9" s="15" t="s">
        <v>9</v>
      </c>
      <c r="M9" s="16" t="s">
        <v>10</v>
      </c>
      <c r="O9" s="12" t="s">
        <v>2</v>
      </c>
      <c r="P9" s="12"/>
      <c r="Q9" s="12"/>
      <c r="S9" s="12" t="s">
        <v>2</v>
      </c>
      <c r="T9" s="12"/>
      <c r="U9" s="12"/>
      <c r="W9" s="15" t="s">
        <v>9</v>
      </c>
      <c r="Y9" s="16" t="s">
        <v>10</v>
      </c>
    </row>
    <row r="10" spans="1:25" ht="12.75">
      <c r="A10" s="17" t="s">
        <v>11</v>
      </c>
      <c r="C10" s="18" t="s">
        <v>12</v>
      </c>
      <c r="D10" s="18"/>
      <c r="E10" s="18" t="s">
        <v>13</v>
      </c>
      <c r="G10" s="18" t="s">
        <v>12</v>
      </c>
      <c r="H10" s="18"/>
      <c r="I10" s="18" t="s">
        <v>13</v>
      </c>
      <c r="K10" s="19" t="s">
        <v>14</v>
      </c>
      <c r="M10" s="20" t="s">
        <v>14</v>
      </c>
      <c r="O10" s="18" t="s">
        <v>12</v>
      </c>
      <c r="P10" s="18"/>
      <c r="Q10" s="18" t="s">
        <v>13</v>
      </c>
      <c r="S10" s="18" t="s">
        <v>12</v>
      </c>
      <c r="T10" s="18"/>
      <c r="U10" s="18" t="s">
        <v>13</v>
      </c>
      <c r="W10" s="19" t="s">
        <v>14</v>
      </c>
      <c r="Y10" s="20" t="s">
        <v>14</v>
      </c>
    </row>
    <row r="11" spans="1:21" ht="12.75">
      <c r="A11"/>
      <c r="G11"/>
      <c r="H11"/>
      <c r="I11"/>
      <c r="S11"/>
      <c r="T11"/>
      <c r="U11"/>
    </row>
    <row r="12" spans="3:15" ht="12.75">
      <c r="C12"/>
      <c r="O12"/>
    </row>
    <row r="13" spans="1:31" ht="12.75">
      <c r="A13" s="9">
        <v>0</v>
      </c>
      <c r="C13" s="21">
        <f aca="true" t="shared" si="0" ref="C13:C23">ROUND((MAX($AD$16+(($AD$17*MIN(400,A13))+($AD$18*MAX(0,MIN(1000,A13)-400))+($AD$19*MAX(0,A13-1000)))*(1+$AD$22),$AD$20)+$AD$21),2)</f>
        <v>3.66</v>
      </c>
      <c r="D13"/>
      <c r="E13" s="22" t="s">
        <v>15</v>
      </c>
      <c r="G13" s="21">
        <f aca="true" t="shared" si="1" ref="G13:G23">ROUND((MAX($AE$16+(($AE$17*MIN(400,A13))+($AE$18*MAX(0,MIN(1000,A13)-400))+($AE$19*MAX(0,A13-1000)))*(1+$AE$22),$AE$20)+$AE$21),2)</f>
        <v>4.02</v>
      </c>
      <c r="H13"/>
      <c r="I13" s="22" t="s">
        <v>15</v>
      </c>
      <c r="J13" s="21"/>
      <c r="K13" s="23">
        <f>G13-C13</f>
        <v>0.35999999999999943</v>
      </c>
      <c r="M13" s="24">
        <f>G13/C13-1</f>
        <v>0.0983606557377048</v>
      </c>
      <c r="O13" s="21">
        <f>ROUND((MAX($AD$25+(($AD$26*A13))*(1+$AD$29),$AD$27)+$AD$28),2)</f>
        <v>3.66</v>
      </c>
      <c r="P13"/>
      <c r="Q13" s="22" t="s">
        <v>15</v>
      </c>
      <c r="S13" s="21">
        <f>ROUND((MAX($AE$25+(($AE$26*A13))*(1+$AE$29),$AE$27)+$AE$28),2)</f>
        <v>4.02</v>
      </c>
      <c r="T13"/>
      <c r="U13" s="22" t="s">
        <v>15</v>
      </c>
      <c r="V13" s="21"/>
      <c r="W13" s="23">
        <f>S13-O13</f>
        <v>0.35999999999999943</v>
      </c>
      <c r="Y13" s="24">
        <f>S13/O13-1</f>
        <v>0.0983606557377048</v>
      </c>
      <c r="AD13" s="5" t="s">
        <v>7</v>
      </c>
      <c r="AE13" s="5" t="s">
        <v>8</v>
      </c>
    </row>
    <row r="14" spans="1:25" ht="12.75">
      <c r="A14" s="9">
        <v>100</v>
      </c>
      <c r="C14" s="21">
        <f t="shared" si="0"/>
        <v>7.97</v>
      </c>
      <c r="D14"/>
      <c r="E14" s="22" t="s">
        <v>15</v>
      </c>
      <c r="G14" s="21">
        <f t="shared" si="1"/>
        <v>9.57</v>
      </c>
      <c r="H14"/>
      <c r="I14" s="22">
        <f>G14/$A14*100</f>
        <v>9.57</v>
      </c>
      <c r="J14" s="21"/>
      <c r="K14" s="23">
        <f>G14-C14</f>
        <v>1.6000000000000005</v>
      </c>
      <c r="M14" s="24">
        <f>G14/C14-1</f>
        <v>0.20075282308657472</v>
      </c>
      <c r="O14" s="21">
        <f>ROUND((MAX($AD$25+(($AD$26*A14))*(1+$AD$29),$AD$27)+$AD$28),2)</f>
        <v>7.97</v>
      </c>
      <c r="P14"/>
      <c r="Q14" s="22" t="s">
        <v>15</v>
      </c>
      <c r="S14" s="21">
        <f>ROUND((MAX($AE$25+(($AE$26*A14))*(1+$AE$29),$AE$27)+$AE$28),2)</f>
        <v>9.57</v>
      </c>
      <c r="T14"/>
      <c r="U14" s="22">
        <f>S14/$A14*100</f>
        <v>9.57</v>
      </c>
      <c r="V14" s="21"/>
      <c r="W14" s="23">
        <f>S14-O14</f>
        <v>1.6000000000000005</v>
      </c>
      <c r="Y14" s="24">
        <f>S14/O14-1</f>
        <v>0.20075282308657472</v>
      </c>
    </row>
    <row r="15" spans="1:29" ht="12.75">
      <c r="A15" s="9">
        <v>200</v>
      </c>
      <c r="C15" s="21">
        <f t="shared" si="0"/>
        <v>14.83</v>
      </c>
      <c r="D15"/>
      <c r="E15" s="22" t="s">
        <v>15</v>
      </c>
      <c r="G15" s="21">
        <f t="shared" si="1"/>
        <v>17.01</v>
      </c>
      <c r="H15"/>
      <c r="I15" s="22">
        <f aca="true" t="shared" si="2" ref="I15:I23">G15/$A15*100</f>
        <v>8.505</v>
      </c>
      <c r="J15" s="21"/>
      <c r="K15" s="23">
        <f aca="true" t="shared" si="3" ref="K15:K23">G15-C15</f>
        <v>2.1800000000000015</v>
      </c>
      <c r="M15" s="24">
        <f aca="true" t="shared" si="4" ref="M15:M23">G15/C15-1</f>
        <v>0.14699932569116658</v>
      </c>
      <c r="O15" s="21">
        <f aca="true" t="shared" si="5" ref="O15:O23">ROUND((MAX($AD$25+(($AD$26*A15))*(1+$AD$29),$AD$27)+$AD$28),2)</f>
        <v>14.83</v>
      </c>
      <c r="P15"/>
      <c r="Q15" s="22" t="s">
        <v>15</v>
      </c>
      <c r="S15" s="21">
        <f aca="true" t="shared" si="6" ref="S15:S23">ROUND((MAX($AE$25+(($AE$26*A15))*(1+$AE$29),$AE$27)+$AE$28),2)</f>
        <v>17.01</v>
      </c>
      <c r="T15"/>
      <c r="U15" s="22">
        <f aca="true" t="shared" si="7" ref="U15:U23">S15/$A15*100</f>
        <v>8.505</v>
      </c>
      <c r="V15" s="21"/>
      <c r="W15" s="23">
        <f aca="true" t="shared" si="8" ref="W15:W23">S15-O15</f>
        <v>2.1800000000000015</v>
      </c>
      <c r="Y15" s="24">
        <f aca="true" t="shared" si="9" ref="Y15:Y23">S15/O15-1</f>
        <v>0.14699932569116658</v>
      </c>
      <c r="AC15" s="25" t="s">
        <v>4</v>
      </c>
    </row>
    <row r="16" spans="1:31" ht="12.75">
      <c r="A16" s="9">
        <v>300</v>
      </c>
      <c r="C16" s="21">
        <f t="shared" si="0"/>
        <v>21.7</v>
      </c>
      <c r="D16"/>
      <c r="E16" s="22" t="s">
        <v>15</v>
      </c>
      <c r="G16" s="21">
        <f t="shared" si="1"/>
        <v>24.46</v>
      </c>
      <c r="H16"/>
      <c r="I16" s="22">
        <f t="shared" si="2"/>
        <v>8.153333333333332</v>
      </c>
      <c r="J16" s="21"/>
      <c r="K16" s="23">
        <f t="shared" si="3"/>
        <v>2.7600000000000016</v>
      </c>
      <c r="M16" s="24">
        <f t="shared" si="4"/>
        <v>0.12718894009216597</v>
      </c>
      <c r="O16" s="21">
        <f t="shared" si="5"/>
        <v>21.7</v>
      </c>
      <c r="P16"/>
      <c r="Q16" s="22" t="s">
        <v>15</v>
      </c>
      <c r="S16" s="21">
        <f t="shared" si="6"/>
        <v>24.46</v>
      </c>
      <c r="T16"/>
      <c r="U16" s="22">
        <f t="shared" si="7"/>
        <v>8.153333333333332</v>
      </c>
      <c r="V16" s="21"/>
      <c r="W16" s="23">
        <f t="shared" si="8"/>
        <v>2.7600000000000016</v>
      </c>
      <c r="Y16" s="24">
        <f t="shared" si="9"/>
        <v>0.12718894009216597</v>
      </c>
      <c r="AC16" s="5" t="s">
        <v>16</v>
      </c>
      <c r="AD16" s="14">
        <v>0.98</v>
      </c>
      <c r="AE16" s="14">
        <v>2</v>
      </c>
    </row>
    <row r="17" spans="1:31" ht="12.75">
      <c r="A17" s="9">
        <v>400</v>
      </c>
      <c r="C17" s="21">
        <f t="shared" si="0"/>
        <v>28.56</v>
      </c>
      <c r="D17"/>
      <c r="E17" s="22" t="s">
        <v>15</v>
      </c>
      <c r="G17" s="21">
        <f t="shared" si="1"/>
        <v>31.91</v>
      </c>
      <c r="H17"/>
      <c r="I17" s="22">
        <f t="shared" si="2"/>
        <v>7.9775</v>
      </c>
      <c r="J17" s="21"/>
      <c r="K17" s="23">
        <f t="shared" si="3"/>
        <v>3.3500000000000014</v>
      </c>
      <c r="M17" s="24">
        <f t="shared" si="4"/>
        <v>0.11729691876750703</v>
      </c>
      <c r="O17" s="21">
        <f t="shared" si="5"/>
        <v>28.56</v>
      </c>
      <c r="P17"/>
      <c r="Q17" s="22" t="s">
        <v>15</v>
      </c>
      <c r="S17" s="21">
        <f t="shared" si="6"/>
        <v>31.91</v>
      </c>
      <c r="T17"/>
      <c r="U17" s="22">
        <f t="shared" si="7"/>
        <v>7.9775</v>
      </c>
      <c r="V17" s="21"/>
      <c r="W17" s="23">
        <f t="shared" si="8"/>
        <v>3.3500000000000014</v>
      </c>
      <c r="Y17" s="24">
        <f t="shared" si="9"/>
        <v>0.11729691876750703</v>
      </c>
      <c r="AC17" s="5" t="s">
        <v>17</v>
      </c>
      <c r="AD17" s="26">
        <v>0.06663000000000001</v>
      </c>
      <c r="AE17" s="26">
        <v>0.07227</v>
      </c>
    </row>
    <row r="18" spans="1:31" ht="12.75">
      <c r="A18" s="9">
        <v>500</v>
      </c>
      <c r="C18" s="21">
        <f t="shared" si="0"/>
        <v>36.39</v>
      </c>
      <c r="D18"/>
      <c r="E18" s="22" t="s">
        <v>15</v>
      </c>
      <c r="G18" s="21">
        <f t="shared" si="1"/>
        <v>40.4</v>
      </c>
      <c r="H18"/>
      <c r="I18" s="22">
        <f t="shared" si="2"/>
        <v>8.08</v>
      </c>
      <c r="J18" s="21"/>
      <c r="K18" s="23">
        <f t="shared" si="3"/>
        <v>4.009999999999998</v>
      </c>
      <c r="M18" s="24">
        <f t="shared" si="4"/>
        <v>0.11019510854630377</v>
      </c>
      <c r="O18" s="21">
        <f t="shared" si="5"/>
        <v>35.43</v>
      </c>
      <c r="P18"/>
      <c r="Q18" s="22" t="s">
        <v>15</v>
      </c>
      <c r="S18" s="21">
        <f t="shared" si="6"/>
        <v>39.35</v>
      </c>
      <c r="T18"/>
      <c r="U18" s="22">
        <f t="shared" si="7"/>
        <v>7.870000000000001</v>
      </c>
      <c r="V18" s="21"/>
      <c r="W18" s="23">
        <f t="shared" si="8"/>
        <v>3.9200000000000017</v>
      </c>
      <c r="Y18" s="24">
        <f t="shared" si="9"/>
        <v>0.11064069997177528</v>
      </c>
      <c r="AC18" s="5" t="s">
        <v>18</v>
      </c>
      <c r="AD18" s="26">
        <v>0.076</v>
      </c>
      <c r="AE18" s="26">
        <v>0.08242999999999999</v>
      </c>
    </row>
    <row r="19" spans="1:31" ht="12.75">
      <c r="A19" s="9">
        <v>600</v>
      </c>
      <c r="C19" s="21">
        <f t="shared" si="0"/>
        <v>44.22</v>
      </c>
      <c r="D19"/>
      <c r="E19" s="22" t="s">
        <v>15</v>
      </c>
      <c r="G19" s="21">
        <f t="shared" si="1"/>
        <v>48.89</v>
      </c>
      <c r="H19"/>
      <c r="I19" s="22">
        <f t="shared" si="2"/>
        <v>8.148333333333333</v>
      </c>
      <c r="J19" s="21"/>
      <c r="K19" s="23">
        <f t="shared" si="3"/>
        <v>4.670000000000002</v>
      </c>
      <c r="M19" s="24">
        <f t="shared" si="4"/>
        <v>0.10560832202623249</v>
      </c>
      <c r="O19" s="21">
        <f t="shared" si="5"/>
        <v>42.29</v>
      </c>
      <c r="P19"/>
      <c r="Q19" s="22" t="s">
        <v>15</v>
      </c>
      <c r="S19" s="21">
        <f t="shared" si="6"/>
        <v>46.8</v>
      </c>
      <c r="T19"/>
      <c r="U19" s="22">
        <f t="shared" si="7"/>
        <v>7.8</v>
      </c>
      <c r="V19" s="21"/>
      <c r="W19" s="23">
        <f t="shared" si="8"/>
        <v>4.509999999999998</v>
      </c>
      <c r="Y19" s="24">
        <f t="shared" si="9"/>
        <v>0.10664459683140226</v>
      </c>
      <c r="AC19" s="5" t="s">
        <v>19</v>
      </c>
      <c r="AD19" s="26">
        <v>0.09</v>
      </c>
      <c r="AE19" s="26">
        <v>0.09757999999999999</v>
      </c>
    </row>
    <row r="20" spans="1:31" ht="12.75">
      <c r="A20" s="9">
        <v>700</v>
      </c>
      <c r="C20" s="21">
        <f t="shared" si="0"/>
        <v>52.06</v>
      </c>
      <c r="D20"/>
      <c r="E20" s="22" t="s">
        <v>15</v>
      </c>
      <c r="G20" s="21">
        <f t="shared" si="1"/>
        <v>57.39</v>
      </c>
      <c r="H20"/>
      <c r="I20" s="22">
        <f t="shared" si="2"/>
        <v>8.198571428571428</v>
      </c>
      <c r="J20" s="21"/>
      <c r="K20" s="23">
        <f t="shared" si="3"/>
        <v>5.329999999999998</v>
      </c>
      <c r="M20" s="24">
        <f t="shared" si="4"/>
        <v>0.10238186707645025</v>
      </c>
      <c r="O20" s="21">
        <f t="shared" si="5"/>
        <v>49.16</v>
      </c>
      <c r="P20"/>
      <c r="Q20" s="22" t="s">
        <v>15</v>
      </c>
      <c r="S20" s="21">
        <f t="shared" si="6"/>
        <v>54.25</v>
      </c>
      <c r="T20"/>
      <c r="U20" s="22">
        <f t="shared" si="7"/>
        <v>7.75</v>
      </c>
      <c r="V20" s="21"/>
      <c r="W20" s="23">
        <f t="shared" si="8"/>
        <v>5.090000000000003</v>
      </c>
      <c r="Y20" s="24">
        <f t="shared" si="9"/>
        <v>0.10353946297803107</v>
      </c>
      <c r="AC20" s="5" t="s">
        <v>20</v>
      </c>
      <c r="AD20" s="14">
        <v>3.54</v>
      </c>
      <c r="AE20" s="14">
        <v>3.9</v>
      </c>
    </row>
    <row r="21" spans="1:31" ht="12.75">
      <c r="A21" s="9">
        <v>800</v>
      </c>
      <c r="C21" s="21">
        <f t="shared" si="0"/>
        <v>59.89</v>
      </c>
      <c r="D21"/>
      <c r="E21" s="22" t="s">
        <v>15</v>
      </c>
      <c r="G21" s="21">
        <f t="shared" si="1"/>
        <v>65.88</v>
      </c>
      <c r="H21"/>
      <c r="I21" s="22">
        <f t="shared" si="2"/>
        <v>8.235</v>
      </c>
      <c r="J21" s="21"/>
      <c r="K21" s="23">
        <f t="shared" si="3"/>
        <v>5.989999999999995</v>
      </c>
      <c r="M21" s="24">
        <f t="shared" si="4"/>
        <v>0.10001669727834361</v>
      </c>
      <c r="O21" s="21">
        <f t="shared" si="5"/>
        <v>56.02</v>
      </c>
      <c r="P21"/>
      <c r="Q21" s="22" t="s">
        <v>15</v>
      </c>
      <c r="S21" s="21">
        <f t="shared" si="6"/>
        <v>61.69</v>
      </c>
      <c r="T21"/>
      <c r="U21" s="22">
        <f t="shared" si="7"/>
        <v>7.71125</v>
      </c>
      <c r="V21" s="21"/>
      <c r="W21" s="23">
        <f t="shared" si="8"/>
        <v>5.669999999999995</v>
      </c>
      <c r="Y21" s="24">
        <f t="shared" si="9"/>
        <v>0.10121385219564427</v>
      </c>
      <c r="AC21" s="5" t="s">
        <v>21</v>
      </c>
      <c r="AD21" s="14">
        <v>0.12</v>
      </c>
      <c r="AE21" s="14">
        <v>0.12</v>
      </c>
    </row>
    <row r="22" spans="1:31" ht="12.75">
      <c r="A22" s="9">
        <v>900</v>
      </c>
      <c r="C22" s="21">
        <f t="shared" si="0"/>
        <v>67.72</v>
      </c>
      <c r="D22"/>
      <c r="E22" s="22" t="s">
        <v>15</v>
      </c>
      <c r="G22" s="21">
        <f t="shared" si="1"/>
        <v>74.37</v>
      </c>
      <c r="H22"/>
      <c r="I22" s="22">
        <f t="shared" si="2"/>
        <v>8.263333333333334</v>
      </c>
      <c r="J22" s="21"/>
      <c r="K22" s="23">
        <f t="shared" si="3"/>
        <v>6.650000000000006</v>
      </c>
      <c r="M22" s="24">
        <f t="shared" si="4"/>
        <v>0.0981984642646192</v>
      </c>
      <c r="O22" s="21">
        <f t="shared" si="5"/>
        <v>62.89</v>
      </c>
      <c r="P22"/>
      <c r="Q22" s="22" t="s">
        <v>15</v>
      </c>
      <c r="S22" s="21">
        <f t="shared" si="6"/>
        <v>69.14</v>
      </c>
      <c r="T22"/>
      <c r="U22" s="22">
        <f t="shared" si="7"/>
        <v>7.682222222222222</v>
      </c>
      <c r="V22" s="21"/>
      <c r="W22" s="23">
        <f t="shared" si="8"/>
        <v>6.25</v>
      </c>
      <c r="Y22" s="24">
        <f t="shared" si="9"/>
        <v>0.099379869613611</v>
      </c>
      <c r="AC22" s="5" t="s">
        <v>22</v>
      </c>
      <c r="AD22" s="24">
        <v>0.0304</v>
      </c>
      <c r="AE22" s="24">
        <v>0.0304</v>
      </c>
    </row>
    <row r="23" spans="1:25" ht="12.75">
      <c r="A23" s="9">
        <v>1000</v>
      </c>
      <c r="C23" s="21">
        <f t="shared" si="0"/>
        <v>75.55</v>
      </c>
      <c r="D23"/>
      <c r="E23" s="22" t="s">
        <v>15</v>
      </c>
      <c r="G23" s="21">
        <f t="shared" si="1"/>
        <v>82.87</v>
      </c>
      <c r="H23"/>
      <c r="I23" s="22">
        <f t="shared" si="2"/>
        <v>8.286999999999999</v>
      </c>
      <c r="J23" s="21"/>
      <c r="K23" s="23">
        <f t="shared" si="3"/>
        <v>7.320000000000007</v>
      </c>
      <c r="M23" s="24">
        <f t="shared" si="4"/>
        <v>0.0968894771674389</v>
      </c>
      <c r="O23" s="21">
        <f t="shared" si="5"/>
        <v>69.76</v>
      </c>
      <c r="P23"/>
      <c r="Q23" s="22" t="s">
        <v>15</v>
      </c>
      <c r="S23" s="21">
        <f t="shared" si="6"/>
        <v>76.59</v>
      </c>
      <c r="T23"/>
      <c r="U23" s="22">
        <f t="shared" si="7"/>
        <v>7.659000000000001</v>
      </c>
      <c r="V23" s="21"/>
      <c r="W23" s="23">
        <f t="shared" si="8"/>
        <v>6.829999999999998</v>
      </c>
      <c r="Y23" s="24">
        <f t="shared" si="9"/>
        <v>0.09790711009174302</v>
      </c>
    </row>
    <row r="24" spans="4:29" ht="12.75">
      <c r="D24"/>
      <c r="E24" s="22"/>
      <c r="H24"/>
      <c r="I24" s="22"/>
      <c r="J24" s="21"/>
      <c r="K24" s="23"/>
      <c r="M24" s="24"/>
      <c r="P24"/>
      <c r="Q24" s="22"/>
      <c r="T24"/>
      <c r="U24" s="22"/>
      <c r="V24" s="21"/>
      <c r="W24" s="23"/>
      <c r="Y24" s="24"/>
      <c r="AC24" s="25" t="s">
        <v>5</v>
      </c>
    </row>
    <row r="25" spans="1:31" ht="12.75">
      <c r="A25" s="9">
        <v>1100</v>
      </c>
      <c r="C25" s="21">
        <f>ROUND((MAX($AD$16+(($AD$17*MIN(400,A25))+($AD$18*MAX(0,MIN(1000,A25)-400))+($AD$19*MAX(0,A25-1000)))*(1+$AD$22),$AD$20)+$AD$21),2)</f>
        <v>84.82</v>
      </c>
      <c r="D25"/>
      <c r="E25" s="22" t="s">
        <v>15</v>
      </c>
      <c r="G25" s="21">
        <f>ROUND((MAX($AE$16+(($AE$17*MIN(400,A25))+($AE$18*MAX(0,MIN(1000,A25)-400))+($AE$19*MAX(0,A25-1000)))*(1+$AE$22),$AE$20)+$AE$21),2)</f>
        <v>92.92</v>
      </c>
      <c r="H25"/>
      <c r="I25" s="22">
        <f>G25/$A25*100</f>
        <v>8.447272727272727</v>
      </c>
      <c r="J25" s="21"/>
      <c r="K25" s="23">
        <f>G25-C25</f>
        <v>8.100000000000009</v>
      </c>
      <c r="M25" s="24">
        <f>G25/C25-1</f>
        <v>0.09549634520160355</v>
      </c>
      <c r="O25" s="21">
        <f>ROUND((MAX($AD$25+(($AD$26*A25))*(1+$AD$29),$AD$27)+$AD$28),2)</f>
        <v>76.62</v>
      </c>
      <c r="P25"/>
      <c r="Q25" s="22" t="s">
        <v>15</v>
      </c>
      <c r="S25" s="21">
        <f>ROUND((MAX($AE$25+(($AE$26*A25))*(1+$AE$29),$AE$27)+$AE$28),2)</f>
        <v>84.03</v>
      </c>
      <c r="T25"/>
      <c r="U25" s="22">
        <f>S25/$A25*100</f>
        <v>7.63909090909091</v>
      </c>
      <c r="V25" s="21"/>
      <c r="W25" s="23">
        <f>S25-O25</f>
        <v>7.409999999999997</v>
      </c>
      <c r="Y25" s="24">
        <f>S25/O25-1</f>
        <v>0.09671104150352394</v>
      </c>
      <c r="AC25" s="5" t="s">
        <v>16</v>
      </c>
      <c r="AD25" s="14">
        <f>AD16</f>
        <v>0.98</v>
      </c>
      <c r="AE25" s="14">
        <f>AE16</f>
        <v>2</v>
      </c>
    </row>
    <row r="26" spans="1:31" ht="12.75">
      <c r="A26" s="9">
        <v>1200</v>
      </c>
      <c r="C26" s="21">
        <f>ROUND((MAX($AD$16+(($AD$17*MIN(400,A26))+($AD$18*MAX(0,MIN(1000,A26)-400))+($AD$19*MAX(0,A26-1000)))*(1+$AD$22),$AD$20)+$AD$21),2)</f>
        <v>94.1</v>
      </c>
      <c r="D26"/>
      <c r="E26" s="22" t="s">
        <v>15</v>
      </c>
      <c r="G26" s="21">
        <f>ROUND((MAX($AE$16+(($AE$17*MIN(400,A26))+($AE$18*MAX(0,MIN(1000,A26)-400))+($AE$19*MAX(0,A26-1000)))*(1+$AE$22),$AE$20)+$AE$21),2)</f>
        <v>102.98</v>
      </c>
      <c r="H26"/>
      <c r="I26" s="22">
        <f>G26/$A26*100</f>
        <v>8.581666666666667</v>
      </c>
      <c r="J26" s="21"/>
      <c r="K26" s="23">
        <f>G26-C26</f>
        <v>8.88000000000001</v>
      </c>
      <c r="M26" s="24">
        <f>G26/C26-1</f>
        <v>0.09436769394261435</v>
      </c>
      <c r="O26" s="21">
        <f>ROUND((MAX($AD$25+(($AD$26*A26))*(1+$AD$29),$AD$27)+$AD$28),2)</f>
        <v>83.49</v>
      </c>
      <c r="P26"/>
      <c r="Q26" s="22" t="s">
        <v>15</v>
      </c>
      <c r="S26" s="21">
        <f>ROUND((MAX($AE$25+(($AE$26*A26))*(1+$AE$29),$AE$27)+$AE$28),2)</f>
        <v>91.48</v>
      </c>
      <c r="T26"/>
      <c r="U26" s="22">
        <f>S26/$A26*100</f>
        <v>7.623333333333333</v>
      </c>
      <c r="V26" s="21"/>
      <c r="W26" s="23">
        <f>S26-O26</f>
        <v>7.990000000000009</v>
      </c>
      <c r="Y26" s="24">
        <f>S26/O26-1</f>
        <v>0.0957000838423765</v>
      </c>
      <c r="AC26" s="5" t="s">
        <v>11</v>
      </c>
      <c r="AD26" s="26">
        <f>AD17</f>
        <v>0.06663000000000001</v>
      </c>
      <c r="AE26" s="26">
        <f>AE17</f>
        <v>0.07227</v>
      </c>
    </row>
    <row r="27" spans="1:31" ht="12.75">
      <c r="A27" s="9">
        <v>1300</v>
      </c>
      <c r="C27" s="21">
        <f>ROUND((MAX($AD$16+(($AD$17*MIN(400,A27))+($AD$18*MAX(0,MIN(1000,A27)-400))+($AD$19*MAX(0,A27-1000)))*(1+$AD$22),$AD$20)+$AD$21),2)</f>
        <v>103.37</v>
      </c>
      <c r="D27"/>
      <c r="E27" s="22" t="s">
        <v>15</v>
      </c>
      <c r="G27" s="21">
        <f>ROUND((MAX($AE$16+(($AE$17*MIN(400,A27))+($AE$18*MAX(0,MIN(1000,A27)-400))+($AE$19*MAX(0,A27-1000)))*(1+$AE$22),$AE$20)+$AE$21),2)</f>
        <v>113.03</v>
      </c>
      <c r="H27"/>
      <c r="I27" s="22">
        <f>G27/$A27*100</f>
        <v>8.694615384615386</v>
      </c>
      <c r="J27" s="21"/>
      <c r="K27" s="23">
        <f>G27-C27</f>
        <v>9.659999999999997</v>
      </c>
      <c r="M27" s="24">
        <f>G27/C27-1</f>
        <v>0.09345071103801872</v>
      </c>
      <c r="O27" s="21">
        <f>ROUND((MAX($AD$25+(($AD$26*A27))*(1+$AD$29),$AD$27)+$AD$28),2)</f>
        <v>90.35</v>
      </c>
      <c r="P27"/>
      <c r="Q27" s="22" t="s">
        <v>15</v>
      </c>
      <c r="S27" s="21">
        <f>ROUND((MAX($AE$25+(($AE$26*A27))*(1+$AE$29),$AE$27)+$AE$28),2)</f>
        <v>98.93</v>
      </c>
      <c r="T27"/>
      <c r="U27" s="22">
        <f>S27/$A27*100</f>
        <v>7.61</v>
      </c>
      <c r="V27" s="21"/>
      <c r="W27" s="23">
        <f>S27-O27</f>
        <v>8.580000000000013</v>
      </c>
      <c r="Y27" s="24">
        <f>S27/O27-1</f>
        <v>0.09496402877697863</v>
      </c>
      <c r="AC27" s="5" t="s">
        <v>20</v>
      </c>
      <c r="AD27" s="14">
        <f aca="true" t="shared" si="10" ref="AD27:AE29">AD20</f>
        <v>3.54</v>
      </c>
      <c r="AE27" s="14">
        <f t="shared" si="10"/>
        <v>3.9</v>
      </c>
    </row>
    <row r="28" spans="1:31" ht="12.75">
      <c r="A28" s="9">
        <v>1400</v>
      </c>
      <c r="C28" s="21">
        <f>ROUND((MAX($AD$16+(($AD$17*MIN(400,A28))+($AD$18*MAX(0,MIN(1000,A28)-400))+($AD$19*MAX(0,A28-1000)))*(1+$AD$22),$AD$20)+$AD$21),2)</f>
        <v>112.64</v>
      </c>
      <c r="D28"/>
      <c r="E28" s="22" t="s">
        <v>15</v>
      </c>
      <c r="G28" s="21">
        <f>ROUND((MAX($AE$16+(($AE$17*MIN(400,A28))+($AE$18*MAX(0,MIN(1000,A28)-400))+($AE$19*MAX(0,A28-1000)))*(1+$AE$22),$AE$20)+$AE$21),2)</f>
        <v>123.09</v>
      </c>
      <c r="H28"/>
      <c r="I28" s="22">
        <f>G28/$A28*100</f>
        <v>8.792142857142856</v>
      </c>
      <c r="J28" s="21"/>
      <c r="K28" s="23">
        <f>G28-C28</f>
        <v>10.450000000000003</v>
      </c>
      <c r="M28" s="24">
        <f>G28/C28-1</f>
        <v>0.0927734375</v>
      </c>
      <c r="O28" s="21">
        <f>ROUND((MAX($AD$25+(($AD$26*A28))*(1+$AD$29),$AD$27)+$AD$28),2)</f>
        <v>97.22</v>
      </c>
      <c r="P28"/>
      <c r="Q28" s="22" t="s">
        <v>15</v>
      </c>
      <c r="S28" s="21">
        <f>ROUND((MAX($AE$25+(($AE$26*A28))*(1+$AE$29),$AE$27)+$AE$28),2)</f>
        <v>106.37</v>
      </c>
      <c r="T28"/>
      <c r="U28" s="22">
        <f>S28/$A28*100</f>
        <v>7.597857142857143</v>
      </c>
      <c r="V28" s="21"/>
      <c r="W28" s="23">
        <f>S28-O28</f>
        <v>9.150000000000006</v>
      </c>
      <c r="Y28" s="24">
        <f>S28/O28-1</f>
        <v>0.09411643694713034</v>
      </c>
      <c r="AC28" s="5" t="s">
        <v>21</v>
      </c>
      <c r="AD28" s="14">
        <f t="shared" si="10"/>
        <v>0.12</v>
      </c>
      <c r="AE28" s="14">
        <f t="shared" si="10"/>
        <v>0.12</v>
      </c>
    </row>
    <row r="29" spans="1:31" ht="12.75">
      <c r="A29" s="9">
        <v>1500</v>
      </c>
      <c r="C29" s="21">
        <f>ROUND((MAX($AD$16+(($AD$17*MIN(400,A29))+($AD$18*MAX(0,MIN(1000,A29)-400))+($AD$19*MAX(0,A29-1000)))*(1+$AD$22),$AD$20)+$AD$21),2)</f>
        <v>121.92</v>
      </c>
      <c r="D29"/>
      <c r="E29" s="22" t="s">
        <v>15</v>
      </c>
      <c r="G29" s="21">
        <f>ROUND((MAX($AE$16+(($AE$17*MIN(400,A29))+($AE$18*MAX(0,MIN(1000,A29)-400))+($AE$19*MAX(0,A29-1000)))*(1+$AE$22),$AE$20)+$AE$21),2)</f>
        <v>133.14</v>
      </c>
      <c r="H29"/>
      <c r="I29" s="22">
        <f>G29/$A29*100</f>
        <v>8.876</v>
      </c>
      <c r="J29" s="21"/>
      <c r="K29" s="23">
        <f>G29-C29</f>
        <v>11.219999999999985</v>
      </c>
      <c r="M29" s="24">
        <f>G29/C29-1</f>
        <v>0.09202755905511806</v>
      </c>
      <c r="O29" s="21">
        <f>ROUND((MAX($AD$25+(($AD$26*A29))*(1+$AD$29),$AD$27)+$AD$28),2)</f>
        <v>104.08</v>
      </c>
      <c r="P29"/>
      <c r="Q29" s="22" t="s">
        <v>15</v>
      </c>
      <c r="S29" s="21">
        <f>ROUND((MAX($AE$25+(($AE$26*A29))*(1+$AE$29),$AE$27)+$AE$28),2)</f>
        <v>113.82</v>
      </c>
      <c r="T29"/>
      <c r="U29" s="22">
        <f>S29/$A29*100</f>
        <v>7.587999999999999</v>
      </c>
      <c r="V29" s="21"/>
      <c r="W29" s="23">
        <f>S29-O29</f>
        <v>9.739999999999995</v>
      </c>
      <c r="Y29" s="24">
        <f>S29/O29-1</f>
        <v>0.0935818601076095</v>
      </c>
      <c r="AC29" s="5" t="s">
        <v>22</v>
      </c>
      <c r="AD29" s="24">
        <f t="shared" si="10"/>
        <v>0.0304</v>
      </c>
      <c r="AE29" s="24">
        <f t="shared" si="10"/>
        <v>0.0304</v>
      </c>
    </row>
    <row r="30" spans="4:25" ht="12.75">
      <c r="D30"/>
      <c r="E30" s="22"/>
      <c r="H30"/>
      <c r="I30" s="22"/>
      <c r="J30" s="21"/>
      <c r="K30" s="23"/>
      <c r="M30" s="24"/>
      <c r="P30"/>
      <c r="Q30" s="22"/>
      <c r="T30"/>
      <c r="U30" s="22"/>
      <c r="V30" s="21"/>
      <c r="W30" s="23"/>
      <c r="Y30" s="24"/>
    </row>
    <row r="31" spans="1:25" ht="12.75">
      <c r="A31" s="9">
        <v>2000</v>
      </c>
      <c r="C31" s="21">
        <f>ROUND((MAX($AD$16+(($AD$17*MIN(400,A31))+($AD$18*MAX(0,MIN(1000,A31)-400))+($AD$19*MAX(0,A31-1000)))*(1+$AD$22),$AD$20)+$AD$21),2)</f>
        <v>168.28</v>
      </c>
      <c r="D31"/>
      <c r="E31" s="22" t="s">
        <v>15</v>
      </c>
      <c r="G31" s="21">
        <f>ROUND((MAX($AE$16+(($AE$17*MIN(400,A31))+($AE$18*MAX(0,MIN(1000,A31)-400))+($AE$19*MAX(0,A31-1000)))*(1+$AE$22),$AE$20)+$AE$21),2)</f>
        <v>183.41</v>
      </c>
      <c r="H31"/>
      <c r="I31" s="22">
        <f>G31/$A31*100</f>
        <v>9.170499999999999</v>
      </c>
      <c r="J31" s="21"/>
      <c r="K31" s="23">
        <f>G31-C31</f>
        <v>15.129999999999995</v>
      </c>
      <c r="M31" s="24">
        <f>G31/C31-1</f>
        <v>0.08990967435227004</v>
      </c>
      <c r="O31" s="21">
        <f>ROUND((MAX($AD$25+(($AD$26*A31))*(1+$AD$29),$AD$27)+$AD$28),2)</f>
        <v>138.41</v>
      </c>
      <c r="P31"/>
      <c r="Q31" s="22" t="s">
        <v>15</v>
      </c>
      <c r="S31" s="21">
        <f>ROUND((MAX($AE$25+(($AE$26*A31))*(1+$AE$29),$AE$27)+$AE$28),2)</f>
        <v>151.05</v>
      </c>
      <c r="T31"/>
      <c r="U31" s="22">
        <f>S31/$A31*100</f>
        <v>7.552500000000001</v>
      </c>
      <c r="V31" s="21"/>
      <c r="W31" s="23">
        <f>S31-O31</f>
        <v>12.640000000000015</v>
      </c>
      <c r="Y31" s="24">
        <f>S31/O31-1</f>
        <v>0.09132288129470423</v>
      </c>
    </row>
    <row r="32" spans="1:25" ht="12.75">
      <c r="A32" s="9">
        <v>3000</v>
      </c>
      <c r="C32" s="21">
        <f>ROUND((MAX($AD$16+(($AD$17*MIN(400,A32))+($AD$18*MAX(0,MIN(1000,A32)-400))+($AD$19*MAX(0,A32-1000)))*(1+$AD$22),$AD$20)+$AD$21),2)</f>
        <v>261.02</v>
      </c>
      <c r="D32"/>
      <c r="E32" s="22" t="s">
        <v>15</v>
      </c>
      <c r="G32" s="21">
        <f>ROUND((MAX($AE$16+(($AE$17*MIN(400,A32))+($AE$18*MAX(0,MIN(1000,A32)-400))+($AE$19*MAX(0,A32-1000)))*(1+$AE$22),$AE$20)+$AE$21),2)</f>
        <v>283.96</v>
      </c>
      <c r="H32"/>
      <c r="I32" s="22">
        <f>G32/$A32*100</f>
        <v>9.465333333333332</v>
      </c>
      <c r="J32" s="21"/>
      <c r="K32" s="23">
        <f>G32-C32</f>
        <v>22.939999999999998</v>
      </c>
      <c r="M32" s="24">
        <f>G32/C32-1</f>
        <v>0.0878859857482186</v>
      </c>
      <c r="O32" s="21">
        <f>ROUND((MAX($AD$25+(($AD$26*A32))*(1+$AD$29),$AD$27)+$AD$28),2)</f>
        <v>207.07</v>
      </c>
      <c r="P32"/>
      <c r="Q32" s="22" t="s">
        <v>15</v>
      </c>
      <c r="S32" s="21">
        <f>ROUND((MAX($AE$25+(($AE$26*A32))*(1+$AE$29),$AE$27)+$AE$28),2)</f>
        <v>225.52</v>
      </c>
      <c r="T32"/>
      <c r="U32" s="22">
        <f>S32/$A32*100</f>
        <v>7.517333333333334</v>
      </c>
      <c r="V32" s="21"/>
      <c r="W32" s="23">
        <f>S32-O32</f>
        <v>18.450000000000017</v>
      </c>
      <c r="Y32" s="24">
        <f>S32/O32-1</f>
        <v>0.08910030424494142</v>
      </c>
    </row>
    <row r="33" spans="1:31" ht="12.75">
      <c r="A33" s="9">
        <v>4000</v>
      </c>
      <c r="C33" s="21">
        <f>ROUND((MAX($AD$16+(($AD$17*MIN(400,A33))+($AD$18*MAX(0,MIN(1000,A33)-400))+($AD$19*MAX(0,A33-1000)))*(1+$AD$22),$AD$20)+$AD$21),2)</f>
        <v>353.76</v>
      </c>
      <c r="D33"/>
      <c r="E33" s="22" t="s">
        <v>15</v>
      </c>
      <c r="G33" s="21">
        <f>ROUND((MAX($AE$16+(($AE$17*MIN(400,A33))+($AE$18*MAX(0,MIN(1000,A33)-400))+($AE$19*MAX(0,A33-1000)))*(1+$AE$22),$AE$20)+$AE$21),2)</f>
        <v>384.51</v>
      </c>
      <c r="H33"/>
      <c r="I33" s="22">
        <f>G33/$A33*100</f>
        <v>9.61275</v>
      </c>
      <c r="J33" s="21"/>
      <c r="K33" s="23">
        <f>G33-C33</f>
        <v>30.75</v>
      </c>
      <c r="M33" s="24">
        <f>G33/C33-1</f>
        <v>0.08692333785617379</v>
      </c>
      <c r="O33" s="21">
        <f>ROUND((MAX($AD$25+(($AD$26*A33))*(1+$AD$29),$AD$27)+$AD$28),2)</f>
        <v>275.72</v>
      </c>
      <c r="P33"/>
      <c r="Q33" s="22" t="s">
        <v>15</v>
      </c>
      <c r="S33" s="21">
        <f>ROUND((MAX($AE$25+(($AE$26*A33))*(1+$AE$29),$AE$27)+$AE$28),2)</f>
        <v>299.99</v>
      </c>
      <c r="T33"/>
      <c r="U33" s="22">
        <f>S33/$A33*100</f>
        <v>7.499750000000001</v>
      </c>
      <c r="V33" s="21"/>
      <c r="W33" s="23">
        <f>S33-O33</f>
        <v>24.269999999999982</v>
      </c>
      <c r="Y33" s="24">
        <f>S33/O33-1</f>
        <v>0.0880240824024372</v>
      </c>
      <c r="AE33" s="14"/>
    </row>
    <row r="34" spans="1:31" ht="12.75">
      <c r="A34" s="9">
        <v>5000</v>
      </c>
      <c r="C34" s="21">
        <f>ROUND((MAX($AD$16+(($AD$17*MIN(400,A34))+($AD$18*MAX(0,MIN(1000,A34)-400))+($AD$19*MAX(0,A34-1000)))*(1+$AD$22),$AD$20)+$AD$21),2)</f>
        <v>446.49</v>
      </c>
      <c r="D34"/>
      <c r="E34" s="22" t="s">
        <v>15</v>
      </c>
      <c r="G34" s="21">
        <f>ROUND((MAX($AE$16+(($AE$17*MIN(400,A34))+($AE$18*MAX(0,MIN(1000,A34)-400))+($AE$19*MAX(0,A34-1000)))*(1+$AE$22),$AE$20)+$AE$21),2)</f>
        <v>485.05</v>
      </c>
      <c r="H34"/>
      <c r="I34" s="22">
        <f>G34/$A34*100</f>
        <v>9.701</v>
      </c>
      <c r="J34" s="21"/>
      <c r="K34" s="23">
        <f>G34-C34</f>
        <v>38.56</v>
      </c>
      <c r="M34" s="24">
        <f>G34/C34-1</f>
        <v>0.08636251651772708</v>
      </c>
      <c r="O34" s="21">
        <f>ROUND((MAX($AD$25+(($AD$26*A34))*(1+$AD$29),$AD$27)+$AD$28),2)</f>
        <v>344.38</v>
      </c>
      <c r="P34"/>
      <c r="Q34" s="22" t="s">
        <v>15</v>
      </c>
      <c r="S34" s="21">
        <f>ROUND((MAX($AE$25+(($AE$26*A34))*(1+$AE$29),$AE$27)+$AE$28),2)</f>
        <v>374.46</v>
      </c>
      <c r="T34"/>
      <c r="U34" s="22">
        <f>S34/$A34*100</f>
        <v>7.4892</v>
      </c>
      <c r="V34" s="21"/>
      <c r="W34" s="23">
        <f>S34-O34</f>
        <v>30.079999999999984</v>
      </c>
      <c r="Y34" s="24">
        <f>S34/O34-1</f>
        <v>0.08734537429583589</v>
      </c>
      <c r="AE34" s="26"/>
    </row>
    <row r="35" ht="12.75">
      <c r="AE35" s="26"/>
    </row>
    <row r="36" ht="12.75">
      <c r="AE36" s="26"/>
    </row>
    <row r="37" spans="1:31" ht="15.75">
      <c r="A37" s="27" t="s">
        <v>48</v>
      </c>
      <c r="AE37" s="14"/>
    </row>
    <row r="38" ht="12.75">
      <c r="AE38" s="14"/>
    </row>
    <row r="39" ht="12.75">
      <c r="AE39" s="24"/>
    </row>
  </sheetData>
  <mergeCells count="2">
    <mergeCell ref="W7:Y7"/>
    <mergeCell ref="K7:M7"/>
  </mergeCells>
  <printOptions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Footer>&amp;CBill Comparison Exhibit
(WRG-3)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workbookViewId="0" topLeftCell="A1">
      <selection activeCell="A27" sqref="A27"/>
    </sheetView>
  </sheetViews>
  <sheetFormatPr defaultColWidth="9.140625" defaultRowHeight="12.75"/>
  <cols>
    <col min="1" max="1" width="9.140625" style="9" customWidth="1"/>
    <col min="2" max="2" width="5.28125" style="9" customWidth="1"/>
    <col min="3" max="3" width="9.140625" style="9" customWidth="1"/>
    <col min="4" max="4" width="7.140625" style="5" customWidth="1"/>
    <col min="5" max="5" width="9.57421875" style="21" customWidth="1"/>
    <col min="6" max="6" width="9.57421875" style="21" hidden="1" customWidth="1"/>
    <col min="7" max="7" width="10.421875" style="21" hidden="1" customWidth="1"/>
    <col min="8" max="8" width="9.140625" style="5" customWidth="1"/>
    <col min="9" max="9" width="8.7109375" style="21" customWidth="1"/>
    <col min="10" max="10" width="7.57421875" style="21" hidden="1" customWidth="1"/>
    <col min="11" max="11" width="10.421875" style="21" hidden="1" customWidth="1"/>
    <col min="12" max="15" width="9.140625" style="5" customWidth="1"/>
    <col min="16" max="16" width="7.140625" style="5" customWidth="1"/>
    <col min="17" max="17" width="9.57421875" style="21" customWidth="1"/>
    <col min="18" max="18" width="9.57421875" style="21" hidden="1" customWidth="1"/>
    <col min="19" max="19" width="10.421875" style="21" hidden="1" customWidth="1"/>
    <col min="20" max="20" width="9.140625" style="5" customWidth="1"/>
    <col min="21" max="21" width="8.7109375" style="21" customWidth="1"/>
    <col min="22" max="22" width="7.57421875" style="21" hidden="1" customWidth="1"/>
    <col min="23" max="23" width="10.421875" style="21" hidden="1" customWidth="1"/>
    <col min="24" max="29" width="9.140625" style="5" customWidth="1"/>
    <col min="30" max="30" width="13.421875" style="5" customWidth="1"/>
    <col min="31" max="16384" width="9.140625" style="5" customWidth="1"/>
  </cols>
  <sheetData>
    <row r="1" spans="1:27" ht="16.5">
      <c r="A1" s="1" t="s">
        <v>0</v>
      </c>
      <c r="B1" s="1"/>
      <c r="C1" s="1"/>
      <c r="D1" s="2"/>
      <c r="E1" s="3"/>
      <c r="F1" s="3"/>
      <c r="G1" s="3"/>
      <c r="H1" s="2"/>
      <c r="I1" s="3"/>
      <c r="J1" s="3"/>
      <c r="K1" s="3"/>
      <c r="L1" s="2"/>
      <c r="M1" s="2"/>
      <c r="N1" s="2"/>
      <c r="O1" s="2"/>
      <c r="P1" s="2"/>
      <c r="Q1" s="3"/>
      <c r="R1" s="3"/>
      <c r="S1" s="3"/>
      <c r="T1" s="2"/>
      <c r="U1" s="3"/>
      <c r="V1" s="3"/>
      <c r="W1" s="3"/>
      <c r="X1" s="2"/>
      <c r="Y1" s="2"/>
      <c r="Z1" s="2"/>
      <c r="AA1" s="2"/>
    </row>
    <row r="2" spans="1:27" ht="16.5">
      <c r="A2" s="1" t="s">
        <v>1</v>
      </c>
      <c r="B2" s="1"/>
      <c r="C2" s="1"/>
      <c r="D2" s="2"/>
      <c r="E2" s="3"/>
      <c r="F2" s="3"/>
      <c r="G2" s="3"/>
      <c r="H2" s="2"/>
      <c r="I2" s="3"/>
      <c r="J2" s="3"/>
      <c r="K2" s="3"/>
      <c r="L2" s="2"/>
      <c r="M2" s="2"/>
      <c r="N2" s="2"/>
      <c r="O2" s="2"/>
      <c r="P2" s="2"/>
      <c r="Q2" s="3"/>
      <c r="R2" s="3"/>
      <c r="S2" s="3"/>
      <c r="T2" s="2"/>
      <c r="U2" s="3"/>
      <c r="V2" s="3"/>
      <c r="W2" s="3"/>
      <c r="X2" s="2"/>
      <c r="Y2" s="2"/>
      <c r="Z2" s="2"/>
      <c r="AA2" s="2"/>
    </row>
    <row r="3" spans="1:27" ht="16.5">
      <c r="A3" s="1" t="s">
        <v>23</v>
      </c>
      <c r="B3" s="1"/>
      <c r="C3" s="1"/>
      <c r="D3" s="2"/>
      <c r="E3" s="3"/>
      <c r="F3" s="3"/>
      <c r="G3" s="3"/>
      <c r="H3" s="2"/>
      <c r="I3" s="3"/>
      <c r="J3" s="3"/>
      <c r="K3" s="3"/>
      <c r="L3" s="2"/>
      <c r="M3" s="2"/>
      <c r="N3" s="2"/>
      <c r="O3" s="2"/>
      <c r="P3" s="2"/>
      <c r="Q3" s="3"/>
      <c r="R3" s="3"/>
      <c r="S3" s="3"/>
      <c r="T3" s="2"/>
      <c r="U3" s="3"/>
      <c r="V3" s="3"/>
      <c r="W3" s="3"/>
      <c r="X3" s="2"/>
      <c r="Y3" s="2"/>
      <c r="Z3" s="2"/>
      <c r="AA3" s="2"/>
    </row>
    <row r="4" spans="1:27" ht="16.5">
      <c r="A4" s="1" t="s">
        <v>24</v>
      </c>
      <c r="B4" s="1"/>
      <c r="C4" s="1"/>
      <c r="D4" s="2"/>
      <c r="E4" s="3"/>
      <c r="F4" s="3"/>
      <c r="G4" s="3"/>
      <c r="H4" s="2"/>
      <c r="I4" s="3"/>
      <c r="J4" s="3"/>
      <c r="K4" s="3"/>
      <c r="L4" s="2"/>
      <c r="M4" s="2"/>
      <c r="N4" s="2"/>
      <c r="O4" s="2"/>
      <c r="P4" s="2"/>
      <c r="Q4" s="3"/>
      <c r="R4" s="3"/>
      <c r="S4" s="3"/>
      <c r="T4" s="2"/>
      <c r="U4" s="3"/>
      <c r="V4" s="3"/>
      <c r="W4" s="3"/>
      <c r="X4" s="2"/>
      <c r="Y4" s="2"/>
      <c r="Z4" s="2"/>
      <c r="AA4" s="2"/>
    </row>
    <row r="5" spans="1:26" ht="12.75">
      <c r="A5" s="6"/>
      <c r="B5" s="6"/>
      <c r="C5" s="6"/>
      <c r="D5" s="2"/>
      <c r="E5" s="3"/>
      <c r="F5" s="3"/>
      <c r="G5" s="3"/>
      <c r="H5" s="2"/>
      <c r="I5" s="3"/>
      <c r="J5" s="3"/>
      <c r="K5" s="3"/>
      <c r="L5" s="2"/>
      <c r="N5" s="2"/>
      <c r="P5" s="2"/>
      <c r="Q5" s="3"/>
      <c r="R5" s="3"/>
      <c r="S5" s="3"/>
      <c r="T5" s="2"/>
      <c r="U5" s="3"/>
      <c r="V5" s="3"/>
      <c r="W5" s="3"/>
      <c r="X5" s="2"/>
      <c r="Z5" s="2"/>
    </row>
    <row r="6" spans="1:27" ht="12.75">
      <c r="A6" s="6"/>
      <c r="B6" s="2"/>
      <c r="C6" s="5"/>
      <c r="E6" s="7" t="s">
        <v>4</v>
      </c>
      <c r="F6" s="7"/>
      <c r="G6" s="7"/>
      <c r="H6" s="8"/>
      <c r="I6" s="7"/>
      <c r="J6" s="7"/>
      <c r="K6" s="7"/>
      <c r="L6" s="8"/>
      <c r="M6" s="8"/>
      <c r="N6" s="8"/>
      <c r="O6" s="8"/>
      <c r="Q6" s="7" t="s">
        <v>5</v>
      </c>
      <c r="R6" s="7"/>
      <c r="S6" s="7"/>
      <c r="T6" s="8"/>
      <c r="U6" s="7"/>
      <c r="V6" s="7"/>
      <c r="W6" s="7"/>
      <c r="X6" s="8"/>
      <c r="Y6" s="8"/>
      <c r="Z6" s="8"/>
      <c r="AA6" s="8"/>
    </row>
    <row r="7" spans="5:27" ht="15.75">
      <c r="E7" s="10" t="s">
        <v>47</v>
      </c>
      <c r="F7" s="10"/>
      <c r="G7" s="10"/>
      <c r="H7" s="11"/>
      <c r="I7" s="10"/>
      <c r="J7" s="10"/>
      <c r="K7" s="10"/>
      <c r="M7" s="41" t="s">
        <v>6</v>
      </c>
      <c r="N7" s="41"/>
      <c r="O7" s="41"/>
      <c r="Q7" s="10" t="s">
        <v>47</v>
      </c>
      <c r="R7" s="10"/>
      <c r="S7" s="10"/>
      <c r="T7" s="11"/>
      <c r="U7" s="10"/>
      <c r="V7" s="10"/>
      <c r="W7" s="10"/>
      <c r="Y7" s="41" t="s">
        <v>6</v>
      </c>
      <c r="Z7" s="41"/>
      <c r="AA7" s="41"/>
    </row>
    <row r="8" spans="5:26" ht="12.75">
      <c r="E8"/>
      <c r="F8"/>
      <c r="G8"/>
      <c r="H8"/>
      <c r="I8"/>
      <c r="J8"/>
      <c r="K8"/>
      <c r="L8" s="13"/>
      <c r="N8" s="13"/>
      <c r="Q8"/>
      <c r="R8"/>
      <c r="S8"/>
      <c r="T8"/>
      <c r="U8"/>
      <c r="V8"/>
      <c r="W8"/>
      <c r="X8" s="13"/>
      <c r="Z8" s="13"/>
    </row>
    <row r="9" spans="1:27" ht="12.75">
      <c r="A9" s="28" t="s">
        <v>25</v>
      </c>
      <c r="E9" s="12" t="s">
        <v>26</v>
      </c>
      <c r="F9" s="12"/>
      <c r="G9" s="12"/>
      <c r="I9" s="12" t="s">
        <v>27</v>
      </c>
      <c r="J9" s="12"/>
      <c r="K9" s="12"/>
      <c r="M9" s="16" t="s">
        <v>9</v>
      </c>
      <c r="O9" s="16" t="s">
        <v>10</v>
      </c>
      <c r="Q9" s="12" t="s">
        <v>26</v>
      </c>
      <c r="R9" s="12"/>
      <c r="S9" s="12"/>
      <c r="U9" s="12" t="s">
        <v>27</v>
      </c>
      <c r="V9" s="12"/>
      <c r="W9" s="12"/>
      <c r="Y9" s="16" t="s">
        <v>9</v>
      </c>
      <c r="AA9" s="16" t="s">
        <v>10</v>
      </c>
    </row>
    <row r="10" spans="1:27" ht="12.75">
      <c r="A10" s="20" t="s">
        <v>28</v>
      </c>
      <c r="B10" s="17"/>
      <c r="C10" s="29" t="s">
        <v>11</v>
      </c>
      <c r="E10" s="18" t="s">
        <v>12</v>
      </c>
      <c r="F10" s="18"/>
      <c r="G10" s="18" t="s">
        <v>13</v>
      </c>
      <c r="I10" s="18" t="s">
        <v>12</v>
      </c>
      <c r="J10" s="18"/>
      <c r="K10" s="18" t="s">
        <v>13</v>
      </c>
      <c r="M10" s="20" t="s">
        <v>14</v>
      </c>
      <c r="O10" s="20" t="s">
        <v>14</v>
      </c>
      <c r="Q10" s="18" t="s">
        <v>12</v>
      </c>
      <c r="R10" s="18"/>
      <c r="S10" s="18" t="s">
        <v>13</v>
      </c>
      <c r="U10" s="18" t="s">
        <v>12</v>
      </c>
      <c r="V10" s="18"/>
      <c r="W10" s="18" t="s">
        <v>13</v>
      </c>
      <c r="Y10" s="20" t="s">
        <v>14</v>
      </c>
      <c r="AA10" s="20" t="s">
        <v>14</v>
      </c>
    </row>
    <row r="11" spans="1:23" ht="12.75">
      <c r="A11"/>
      <c r="B11"/>
      <c r="C11"/>
      <c r="I11"/>
      <c r="J11"/>
      <c r="K11"/>
      <c r="U11"/>
      <c r="V11"/>
      <c r="W11"/>
    </row>
    <row r="13" spans="1:30" ht="12.75">
      <c r="A13" s="30" t="s">
        <v>29</v>
      </c>
      <c r="C13" s="9">
        <v>0</v>
      </c>
      <c r="E13" s="21">
        <f aca="true" t="shared" si="0" ref="E13:E18">ROUND($AE$15+(MIN(1500,C13)*$AE$18/100+MAX(0,C13-1500)*$AE$19/100)*(1+$AE$21)+$AE$20,2)</f>
        <v>4.2</v>
      </c>
      <c r="F13"/>
      <c r="G13" s="22" t="s">
        <v>15</v>
      </c>
      <c r="I13" s="21">
        <f aca="true" t="shared" si="1" ref="I13:I18">ROUND($AE$26+(MIN(1500,C13)*$AE$29/100+MAX(0,C13-1500)*$AE$30/100)*(1+$AE$32)+$AE$31,2)</f>
        <v>4.27</v>
      </c>
      <c r="K13" s="22" t="s">
        <v>15</v>
      </c>
      <c r="M13" s="14">
        <f aca="true" t="shared" si="2" ref="M13:M30">IF(I13="","",I13-E13)</f>
        <v>0.0699999999999994</v>
      </c>
      <c r="O13" s="24">
        <f>IF(E13="","",I13/E13-1)</f>
        <v>0.016666666666666607</v>
      </c>
      <c r="Q13" s="21">
        <f aca="true" t="shared" si="3" ref="Q13:Q18">ROUND($AF$15+(MIN(1500,C13)*$AF$18/100+MAX(0,C13-1500)*$AF$19/100)*(1+$AF$21)+$AF$20,2)</f>
        <v>4.2</v>
      </c>
      <c r="R13"/>
      <c r="S13" s="22" t="s">
        <v>15</v>
      </c>
      <c r="U13" s="21">
        <f aca="true" t="shared" si="4" ref="U13:U18">ROUND($AF$26+(MIN(1500,C13)*$AF$29/100+MAX(0,C13-1500)*$AF$30/100)*(1+$AF$32)+$AF$31,2)</f>
        <v>4.27</v>
      </c>
      <c r="W13" s="22" t="s">
        <v>15</v>
      </c>
      <c r="Y13" s="14">
        <f aca="true" t="shared" si="5" ref="Y13:Y30">IF(U13="","",U13-Q13)</f>
        <v>0.0699999999999994</v>
      </c>
      <c r="AA13" s="24">
        <f>IF(Q13="","",U13/Q13-1)</f>
        <v>0.016666666666666607</v>
      </c>
      <c r="AC13" s="5" t="s">
        <v>30</v>
      </c>
      <c r="AD13" s="31" t="s">
        <v>26</v>
      </c>
    </row>
    <row r="14" spans="3:32" ht="12.75">
      <c r="C14" s="9">
        <v>25</v>
      </c>
      <c r="E14" s="21">
        <f t="shared" si="0"/>
        <v>6.31</v>
      </c>
      <c r="F14"/>
      <c r="G14" s="22" t="s">
        <v>15</v>
      </c>
      <c r="I14" s="21">
        <f t="shared" si="1"/>
        <v>6.6</v>
      </c>
      <c r="K14" s="22">
        <f>IF(I14="","",I14/$C14*100)</f>
        <v>26.400000000000002</v>
      </c>
      <c r="M14" s="14">
        <f t="shared" si="2"/>
        <v>0.29000000000000004</v>
      </c>
      <c r="O14" s="24">
        <f>IF(K14="","",I14/E14-1)</f>
        <v>0.045958795562599075</v>
      </c>
      <c r="Q14" s="21">
        <f t="shared" si="3"/>
        <v>6.14</v>
      </c>
      <c r="R14"/>
      <c r="S14" s="22" t="s">
        <v>15</v>
      </c>
      <c r="U14" s="21">
        <f t="shared" si="4"/>
        <v>6.41</v>
      </c>
      <c r="W14" s="22">
        <f>IF(U14="","",U14/$C14*100)</f>
        <v>25.64</v>
      </c>
      <c r="Y14" s="14">
        <f t="shared" si="5"/>
        <v>0.27000000000000046</v>
      </c>
      <c r="AA14" s="24">
        <f>IF(W14="","",U14/Q14-1)</f>
        <v>0.043973941368078195</v>
      </c>
      <c r="AE14" s="36" t="s">
        <v>4</v>
      </c>
      <c r="AF14" s="36" t="s">
        <v>5</v>
      </c>
    </row>
    <row r="15" spans="3:38" ht="12.75">
      <c r="C15" s="9">
        <v>100</v>
      </c>
      <c r="E15" s="21">
        <f t="shared" si="0"/>
        <v>12.64</v>
      </c>
      <c r="F15"/>
      <c r="G15" s="22" t="s">
        <v>15</v>
      </c>
      <c r="I15" s="21">
        <f t="shared" si="1"/>
        <v>13.59</v>
      </c>
      <c r="K15" s="22">
        <f>IF(I15="","",I15/$C15*100)</f>
        <v>13.59</v>
      </c>
      <c r="M15" s="14">
        <f t="shared" si="2"/>
        <v>0.9499999999999993</v>
      </c>
      <c r="O15" s="24">
        <f>IF(K15="","",I15/E15-1)</f>
        <v>0.07515822784810111</v>
      </c>
      <c r="Q15" s="21">
        <f t="shared" si="3"/>
        <v>11.97</v>
      </c>
      <c r="R15"/>
      <c r="S15" s="22" t="s">
        <v>15</v>
      </c>
      <c r="U15" s="21">
        <f t="shared" si="4"/>
        <v>12.85</v>
      </c>
      <c r="W15" s="22">
        <f>IF(U15="","",U15/$C15*100)</f>
        <v>12.85</v>
      </c>
      <c r="Y15" s="14">
        <f t="shared" si="5"/>
        <v>0.879999999999999</v>
      </c>
      <c r="AA15" s="24">
        <f>IF(W15="","",U15/Q15-1)</f>
        <v>0.07351712614870509</v>
      </c>
      <c r="AD15" s="5" t="s">
        <v>31</v>
      </c>
      <c r="AE15" s="14">
        <v>3.93</v>
      </c>
      <c r="AF15" s="14">
        <v>3.93</v>
      </c>
      <c r="AH15" s="14"/>
      <c r="AK15"/>
      <c r="AL15"/>
    </row>
    <row r="16" spans="3:38" ht="12.75">
      <c r="C16" s="9">
        <v>500</v>
      </c>
      <c r="E16" s="21">
        <f t="shared" si="0"/>
        <v>46.39</v>
      </c>
      <c r="F16"/>
      <c r="G16" s="22" t="s">
        <v>15</v>
      </c>
      <c r="I16" s="21">
        <f t="shared" si="1"/>
        <v>50.86</v>
      </c>
      <c r="K16" s="22">
        <f>IF(I16="","",I16/$C16*100)</f>
        <v>10.172</v>
      </c>
      <c r="M16" s="14">
        <f t="shared" si="2"/>
        <v>4.469999999999999</v>
      </c>
      <c r="O16" s="24">
        <f>IF(K16="","",I16/E16-1)</f>
        <v>0.09635697348566508</v>
      </c>
      <c r="Q16" s="21">
        <f t="shared" si="3"/>
        <v>43.03</v>
      </c>
      <c r="R16"/>
      <c r="S16" s="22" t="s">
        <v>15</v>
      </c>
      <c r="U16" s="21">
        <f t="shared" si="4"/>
        <v>47.15</v>
      </c>
      <c r="W16" s="22">
        <f>IF(U16="","",U16/$C16*100)</f>
        <v>9.43</v>
      </c>
      <c r="Y16" s="14">
        <f t="shared" si="5"/>
        <v>4.119999999999997</v>
      </c>
      <c r="AA16" s="24">
        <f>IF(W16="","",U16/Q16-1)</f>
        <v>0.09574715314896576</v>
      </c>
      <c r="AD16" s="5" t="s">
        <v>32</v>
      </c>
      <c r="AE16" s="14">
        <v>6.03</v>
      </c>
      <c r="AF16" s="14">
        <v>6.08</v>
      </c>
      <c r="AG16" s="32"/>
      <c r="AH16" s="14"/>
      <c r="AK16"/>
      <c r="AL16"/>
    </row>
    <row r="17" spans="3:38" ht="12.75">
      <c r="C17" s="9">
        <v>1000</v>
      </c>
      <c r="E17" s="21">
        <f t="shared" si="0"/>
        <v>88.57</v>
      </c>
      <c r="F17"/>
      <c r="G17" s="22" t="s">
        <v>15</v>
      </c>
      <c r="I17" s="21">
        <f t="shared" si="1"/>
        <v>97.45</v>
      </c>
      <c r="K17" s="22">
        <f>IF(I17="","",I17/$C17*100)</f>
        <v>9.745000000000001</v>
      </c>
      <c r="M17" s="14">
        <f t="shared" si="2"/>
        <v>8.88000000000001</v>
      </c>
      <c r="O17" s="24">
        <f>IF(K17="","",I17/E17-1)</f>
        <v>0.10025968160776788</v>
      </c>
      <c r="Q17" s="21">
        <f t="shared" si="3"/>
        <v>81.86</v>
      </c>
      <c r="R17"/>
      <c r="S17" s="22" t="s">
        <v>15</v>
      </c>
      <c r="U17" s="21">
        <f t="shared" si="4"/>
        <v>90.03</v>
      </c>
      <c r="W17" s="22">
        <f>IF(U17="","",U17/$C17*100)</f>
        <v>9.003</v>
      </c>
      <c r="Y17" s="14">
        <f t="shared" si="5"/>
        <v>8.170000000000002</v>
      </c>
      <c r="AA17" s="24">
        <f>IF(W17="","",U17/Q17-1)</f>
        <v>0.09980454434400188</v>
      </c>
      <c r="AD17" s="5" t="s">
        <v>33</v>
      </c>
      <c r="AE17" s="14">
        <v>-0.34</v>
      </c>
      <c r="AF17" s="14">
        <v>-0.34</v>
      </c>
      <c r="AG17" s="32"/>
      <c r="AH17" s="14"/>
      <c r="AK17"/>
      <c r="AL17"/>
    </row>
    <row r="18" spans="3:38" ht="12.75">
      <c r="C18" s="9">
        <v>2000</v>
      </c>
      <c r="E18" s="21">
        <f t="shared" si="0"/>
        <v>154.41</v>
      </c>
      <c r="F18"/>
      <c r="G18" s="22" t="s">
        <v>15</v>
      </c>
      <c r="I18" s="21">
        <f t="shared" si="1"/>
        <v>170.15</v>
      </c>
      <c r="K18" s="22">
        <f>IF(I18="","",I18/$C18*100)</f>
        <v>8.5075</v>
      </c>
      <c r="M18" s="14">
        <f t="shared" si="2"/>
        <v>15.740000000000009</v>
      </c>
      <c r="O18" s="24">
        <f>IF(K18="","",I18/E18-1)</f>
        <v>0.10193640308270191</v>
      </c>
      <c r="Q18" s="21">
        <f t="shared" si="3"/>
        <v>142.46</v>
      </c>
      <c r="R18"/>
      <c r="S18" s="22" t="s">
        <v>15</v>
      </c>
      <c r="U18" s="21">
        <f t="shared" si="4"/>
        <v>156.96</v>
      </c>
      <c r="W18" s="22">
        <f>IF(U18="","",U18/$C18*100)</f>
        <v>7.848000000000001</v>
      </c>
      <c r="Y18" s="14">
        <f t="shared" si="5"/>
        <v>14.5</v>
      </c>
      <c r="AA18" s="24">
        <f>IF(W18="","",U18/Q18-1)</f>
        <v>0.10178295661940195</v>
      </c>
      <c r="AD18" s="5" t="s">
        <v>34</v>
      </c>
      <c r="AE18" s="5">
        <v>8.1827</v>
      </c>
      <c r="AF18" s="5">
        <v>7.5316</v>
      </c>
      <c r="AG18" s="32"/>
      <c r="AK18"/>
      <c r="AL18"/>
    </row>
    <row r="19" spans="6:38" ht="12.75">
      <c r="F19" s="33"/>
      <c r="G19" s="22">
        <f aca="true" t="shared" si="6" ref="G19:G30">IF(Q19="","",Q19/$C19*100)</f>
      </c>
      <c r="K19" s="22"/>
      <c r="M19" s="14">
        <f t="shared" si="2"/>
      </c>
      <c r="O19" s="24"/>
      <c r="R19" s="33"/>
      <c r="S19" s="22">
        <f aca="true" t="shared" si="7" ref="S19:S31">IF(Q19="","",Q19/$C19*100)</f>
      </c>
      <c r="W19" s="22"/>
      <c r="Y19" s="14">
        <f t="shared" si="5"/>
      </c>
      <c r="AA19" s="24"/>
      <c r="AD19" s="5" t="s">
        <v>35</v>
      </c>
      <c r="AE19" s="5">
        <v>4.5876</v>
      </c>
      <c r="AF19" s="5">
        <v>4.2227</v>
      </c>
      <c r="AG19" s="32"/>
      <c r="AK19"/>
      <c r="AL19"/>
    </row>
    <row r="20" spans="1:38" ht="12.75">
      <c r="A20" s="9">
        <v>20</v>
      </c>
      <c r="C20" s="9">
        <v>5000</v>
      </c>
      <c r="E20" s="21">
        <f>ROUND($AE$15+(MIN(1500,C20)*$AE$18/100+MAX(0,C20-1500)*$AE$19/100+(A20-15)*$AE$16)*(1+$AE$21)+$AE$20,2)</f>
        <v>327.4</v>
      </c>
      <c r="F20"/>
      <c r="G20" s="22">
        <f t="shared" si="6"/>
        <v>6.0884</v>
      </c>
      <c r="I20" s="21">
        <f>ROUND($AE$26+(MIN(1500,C20)*$AE$29/100+MAX(0,C20-1500)*$AE$30/100+(A20-15)*$AE$27)*(1+$AE$32)+$AE$31,2)</f>
        <v>361.21</v>
      </c>
      <c r="K20" s="22">
        <f aca="true" t="shared" si="8" ref="K20:K31">IF(I20="","",I20/$C20*100)</f>
        <v>7.2242</v>
      </c>
      <c r="M20" s="14">
        <f t="shared" si="2"/>
        <v>33.81</v>
      </c>
      <c r="O20" s="24">
        <f aca="true" t="shared" si="9" ref="O20:O30">IF(K20="","",I20/E20-1)</f>
        <v>0.10326817348808803</v>
      </c>
      <c r="Q20" s="21">
        <f>ROUND($AF$15+(MIN(1500,C20)*$AF$18/100+MAX(0,C20-1500)*$AF$19/100+(A20-15)*$AF$16)*(1+$AF$21)+$AF$20,2)</f>
        <v>304.42</v>
      </c>
      <c r="R20"/>
      <c r="S20" s="22">
        <f t="shared" si="7"/>
        <v>6.0884</v>
      </c>
      <c r="U20" s="21">
        <f>ROUND($AF$26+(MIN(1500,C20)*$AF$29/100+MAX(0,C20-1500)*$AF$30/100+(A20-15)*$AF$27)*(1+$AF$32)+$AF$31,2)</f>
        <v>335.8</v>
      </c>
      <c r="W20" s="22">
        <f aca="true" t="shared" si="10" ref="W20:W31">IF(U20="","",U20/$C20*100)</f>
        <v>6.715999999999999</v>
      </c>
      <c r="Y20" s="14">
        <f t="shared" si="5"/>
        <v>31.379999999999995</v>
      </c>
      <c r="AA20" s="24">
        <f aca="true" t="shared" si="11" ref="AA20:AA30">IF(W20="","",U20/Q20-1)</f>
        <v>0.10308126929899486</v>
      </c>
      <c r="AD20" s="5" t="s">
        <v>21</v>
      </c>
      <c r="AE20" s="14">
        <v>0.27</v>
      </c>
      <c r="AF20" s="14">
        <v>0.27</v>
      </c>
      <c r="AG20" s="32"/>
      <c r="AK20"/>
      <c r="AL20"/>
    </row>
    <row r="21" spans="1:38" ht="12.75">
      <c r="A21"/>
      <c r="B21"/>
      <c r="C21" s="9">
        <v>7500</v>
      </c>
      <c r="E21" s="21">
        <f>ROUND($AE$15+(MIN(1500,C21)*$AE$18/100+MAX(0,C21-1500)*$AE$19/100+(A20-15)*$AE$16)*(1+$AE$21)+$AE$20,2)</f>
        <v>445.66</v>
      </c>
      <c r="F21"/>
      <c r="G21" s="22">
        <f t="shared" si="6"/>
        <v>5.510266666666666</v>
      </c>
      <c r="I21" s="21">
        <f>ROUND($AE$26+(MIN(1500,C21)*$AE$29/100+MAX(0,C21-1500)*$AE$30/100+(A20-15)*$AE$27)*(1+$AE$32)+$AE$31,2)</f>
        <v>491.81</v>
      </c>
      <c r="K21" s="22">
        <f t="shared" si="8"/>
        <v>6.5574666666666666</v>
      </c>
      <c r="M21" s="14">
        <f t="shared" si="2"/>
        <v>46.14999999999998</v>
      </c>
      <c r="O21" s="24">
        <f t="shared" si="9"/>
        <v>0.10355427904680692</v>
      </c>
      <c r="Q21" s="21">
        <f>ROUND($AF$15+(MIN(1500,C21)*$AF$18/100+MAX(0,C21-1500)*$AF$19/100+(A20-15)*$AF$16)*(1+$AF$21)+$AF$20,2)</f>
        <v>413.27</v>
      </c>
      <c r="R21"/>
      <c r="S21" s="22">
        <f t="shared" si="7"/>
        <v>5.510266666666666</v>
      </c>
      <c r="U21" s="21">
        <f>ROUND($AF$26+(MIN(1500,C21)*$AF$29/100+MAX(0,C21-1500)*$AF$30/100+(A20-15)*$AF$27)*(1+$AF$32)+$AF$31,2)</f>
        <v>456.01</v>
      </c>
      <c r="W21" s="22">
        <f t="shared" si="10"/>
        <v>6.080133333333333</v>
      </c>
      <c r="Y21" s="14">
        <f t="shared" si="5"/>
        <v>42.74000000000001</v>
      </c>
      <c r="AA21" s="24">
        <f t="shared" si="11"/>
        <v>0.1034190722772037</v>
      </c>
      <c r="AD21" s="5" t="s">
        <v>22</v>
      </c>
      <c r="AE21" s="34">
        <v>0.0311</v>
      </c>
      <c r="AF21" s="34">
        <v>0.0311</v>
      </c>
      <c r="AK21"/>
      <c r="AL21"/>
    </row>
    <row r="22" spans="1:27" ht="12.75">
      <c r="A22"/>
      <c r="B22"/>
      <c r="C22" s="9">
        <v>10000</v>
      </c>
      <c r="E22" s="21">
        <f>ROUND($AE$15+(MIN(1500,C22)*$AE$18/100+MAX(0,C22-1500)*$AE$19/100+(A20-15)*$AE$16)*(1+$AE$21)+$AE$20,2)</f>
        <v>563.92</v>
      </c>
      <c r="F22"/>
      <c r="G22" s="22">
        <f t="shared" si="6"/>
        <v>5.2213</v>
      </c>
      <c r="I22" s="21">
        <f>ROUND($AE$26+(MIN(1500,C22)*$AE$29/100+MAX(0,C22-1500)*$AE$30/100+(A20-15)*$AE$27)*(1+$AE$32)+$AE$31,2)</f>
        <v>622.41</v>
      </c>
      <c r="K22" s="22">
        <f t="shared" si="8"/>
        <v>6.2241</v>
      </c>
      <c r="M22" s="14">
        <f t="shared" si="2"/>
        <v>58.49000000000001</v>
      </c>
      <c r="O22" s="24">
        <f t="shared" si="9"/>
        <v>0.10372038587033616</v>
      </c>
      <c r="Q22" s="21">
        <f>ROUND($AF$15+(MIN(1500,C22)*$AF$18/100+MAX(0,C22-1500)*$AF$19/100+(A20-15)*$AF$16)*(1+$AF$21)+$AF$20,2)</f>
        <v>522.13</v>
      </c>
      <c r="R22"/>
      <c r="S22" s="22">
        <f t="shared" si="7"/>
        <v>5.2213</v>
      </c>
      <c r="U22" s="21">
        <f>ROUND($AF$26+(MIN(1500,C22)*$AF$29/100+MAX(0,C22-1500)*$AF$30/100+(A20-15)*$AF$27)*(1+$AF$32)+$AF$31,2)</f>
        <v>576.22</v>
      </c>
      <c r="W22" s="22">
        <f t="shared" si="10"/>
        <v>5.7622</v>
      </c>
      <c r="Y22" s="14">
        <f t="shared" si="5"/>
        <v>54.09000000000003</v>
      </c>
      <c r="AA22" s="24">
        <f t="shared" si="11"/>
        <v>0.10359489016145407</v>
      </c>
    </row>
    <row r="23" spans="1:27" ht="12.75">
      <c r="A23"/>
      <c r="B23"/>
      <c r="C23"/>
      <c r="F23" s="33"/>
      <c r="G23" s="22">
        <f t="shared" si="6"/>
      </c>
      <c r="K23" s="22">
        <f t="shared" si="8"/>
      </c>
      <c r="M23" s="14">
        <f t="shared" si="2"/>
      </c>
      <c r="O23" s="24">
        <f t="shared" si="9"/>
      </c>
      <c r="R23" s="33"/>
      <c r="S23" s="22">
        <f t="shared" si="7"/>
      </c>
      <c r="W23" s="22">
        <f t="shared" si="10"/>
      </c>
      <c r="Y23" s="14">
        <f t="shared" si="5"/>
      </c>
      <c r="AA23" s="24">
        <f t="shared" si="11"/>
      </c>
    </row>
    <row r="24" spans="1:33" ht="12.75">
      <c r="A24" s="9">
        <v>25</v>
      </c>
      <c r="C24" s="9">
        <v>7500</v>
      </c>
      <c r="D24" s="35" t="e">
        <f>#REF!/#REF!/730</f>
        <v>#REF!</v>
      </c>
      <c r="E24" s="21">
        <f>ROUND($AE$15+(MIN(1500,C24)*$AE$18/100+MAX(0,C24-1500)*$AE$19/100+(A24-15)*$AE$16)*(1+$AE$21)+$AE$20,2)</f>
        <v>476.75</v>
      </c>
      <c r="F24"/>
      <c r="G24" s="22">
        <f t="shared" si="6"/>
        <v>5.928266666666667</v>
      </c>
      <c r="I24" s="21">
        <f>ROUND($AE$26+(MIN(1500,C24)*$AE$29/100+MAX(0,C24-1500)*$AE$30/100+(A24-15)*$AE$27)*(1+$AE$32)+$AE$31,2)</f>
        <v>526.14</v>
      </c>
      <c r="K24" s="22">
        <f t="shared" si="8"/>
        <v>7.015199999999999</v>
      </c>
      <c r="M24" s="14">
        <f t="shared" si="2"/>
        <v>49.389999999999986</v>
      </c>
      <c r="O24" s="24">
        <f t="shared" si="9"/>
        <v>0.10359727320398537</v>
      </c>
      <c r="P24" s="35">
        <f>C24/A24/730</f>
        <v>0.410958904109589</v>
      </c>
      <c r="Q24" s="21">
        <f>ROUND($AF$15+(MIN(1500,C24)*$AF$18/100+MAX(0,C24-1500)*$AF$19/100+(A24-15)*$AF$16)*(1+$AF$21)+$AF$20,2)</f>
        <v>444.62</v>
      </c>
      <c r="R24"/>
      <c r="S24" s="22">
        <f t="shared" si="7"/>
        <v>5.928266666666667</v>
      </c>
      <c r="U24" s="21">
        <f>ROUND($AF$26+(MIN(1500,C24)*$AF$29/100+MAX(0,C24-1500)*$AF$30/100+(A24-15)*$AF$27)*(1+$AF$32)+$AF$31,2)</f>
        <v>490.61</v>
      </c>
      <c r="W24" s="22">
        <f t="shared" si="10"/>
        <v>6.5414666666666665</v>
      </c>
      <c r="Y24" s="14">
        <f t="shared" si="5"/>
        <v>45.99000000000001</v>
      </c>
      <c r="AA24" s="24">
        <f t="shared" si="11"/>
        <v>0.1034366425262021</v>
      </c>
      <c r="AD24" s="31" t="s">
        <v>27</v>
      </c>
      <c r="AG24" s="32"/>
    </row>
    <row r="25" spans="3:33" ht="12.75">
      <c r="C25" s="9">
        <v>10000</v>
      </c>
      <c r="D25" s="35" t="e">
        <f>#REF!/#REF!/730</f>
        <v>#REF!</v>
      </c>
      <c r="E25" s="21">
        <f>ROUND($AE$15+(MIN(1500,C25)*$AE$18/100+MAX(0,C25-1500)*$AE$19/100+(A24-15)*$AE$16)*(1+$AE$21)+$AE$20,2)</f>
        <v>595.01</v>
      </c>
      <c r="F25"/>
      <c r="G25" s="22">
        <f t="shared" si="6"/>
        <v>5.5347</v>
      </c>
      <c r="I25" s="21">
        <f>ROUND($AE$26+(MIN(1500,C25)*$AE$29/100+MAX(0,C25-1500)*$AE$30/100+(A24-15)*$AE$27)*(1+$AE$32)+$AE$31,2)</f>
        <v>656.74</v>
      </c>
      <c r="K25" s="22">
        <f t="shared" si="8"/>
        <v>6.567399999999999</v>
      </c>
      <c r="M25" s="14">
        <f t="shared" si="2"/>
        <v>61.73000000000002</v>
      </c>
      <c r="O25" s="24">
        <f t="shared" si="9"/>
        <v>0.103746155526798</v>
      </c>
      <c r="P25" s="35">
        <f>C25/A24/730</f>
        <v>0.547945205479452</v>
      </c>
      <c r="Q25" s="21">
        <f>ROUND($AF$15+(MIN(1500,C25)*$AF$18/100+MAX(0,C25-1500)*$AF$19/100+(A24-15)*$AF$16)*(1+$AF$21)+$AF$20,2)</f>
        <v>553.47</v>
      </c>
      <c r="R25"/>
      <c r="S25" s="22">
        <f t="shared" si="7"/>
        <v>5.5347</v>
      </c>
      <c r="U25" s="21">
        <f>ROUND($AF$26+(MIN(1500,C25)*$AF$29/100+MAX(0,C25-1500)*$AF$30/100+(A24-15)*$AF$27)*(1+$AF$32)+$AF$31,2)</f>
        <v>610.82</v>
      </c>
      <c r="W25" s="22">
        <f t="shared" si="10"/>
        <v>6.1082</v>
      </c>
      <c r="Y25" s="14">
        <f t="shared" si="5"/>
        <v>57.35000000000002</v>
      </c>
      <c r="AA25" s="24">
        <f t="shared" si="11"/>
        <v>0.10361898567221361</v>
      </c>
      <c r="AE25" s="36" t="s">
        <v>4</v>
      </c>
      <c r="AF25" s="36" t="s">
        <v>5</v>
      </c>
      <c r="AG25" s="32"/>
    </row>
    <row r="26" spans="3:33" ht="12.75">
      <c r="C26" s="9">
        <v>12500</v>
      </c>
      <c r="D26" s="35" t="e">
        <f>#REF!/#REF!/730</f>
        <v>#REF!</v>
      </c>
      <c r="E26" s="21">
        <f>ROUND($AE$15+(MIN(1500,C26)*$AE$18/100+MAX(0,C26-1500)*$AE$19/100+(A24-15)*$AE$16)*(1+$AE$21)+$AE$20,2)</f>
        <v>713.26</v>
      </c>
      <c r="F26"/>
      <c r="G26" s="22">
        <f t="shared" si="6"/>
        <v>5.29856</v>
      </c>
      <c r="I26" s="21">
        <f>ROUND($AE$26+(MIN(1500,C26)*$AE$29/100+MAX(0,C26-1500)*$AE$30/100+(A24-15)*$AE$27)*(1+$AE$32)+$AE$31,2)</f>
        <v>787.34</v>
      </c>
      <c r="K26" s="22">
        <f t="shared" si="8"/>
        <v>6.29872</v>
      </c>
      <c r="M26" s="14">
        <f t="shared" si="2"/>
        <v>74.08000000000004</v>
      </c>
      <c r="O26" s="24">
        <f t="shared" si="9"/>
        <v>0.10386114460365081</v>
      </c>
      <c r="P26" s="35">
        <f>C26/A24/730</f>
        <v>0.684931506849315</v>
      </c>
      <c r="Q26" s="21">
        <f>ROUND($AF$15+(MIN(1500,C26)*$AF$18/100+MAX(0,C26-1500)*$AF$19/100+(A24-15)*$AF$16)*(1+$AF$21)+$AF$20,2)</f>
        <v>662.32</v>
      </c>
      <c r="R26"/>
      <c r="S26" s="22">
        <f t="shared" si="7"/>
        <v>5.29856</v>
      </c>
      <c r="U26" s="21">
        <f>ROUND($AF$26+(MIN(1500,C26)*$AF$29/100+MAX(0,C26-1500)*$AF$30/100+(A24-15)*$AF$27)*(1+$AF$32)+$AF$31,2)</f>
        <v>731.03</v>
      </c>
      <c r="W26" s="22">
        <f t="shared" si="10"/>
        <v>5.84824</v>
      </c>
      <c r="Y26" s="14">
        <f t="shared" si="5"/>
        <v>68.70999999999992</v>
      </c>
      <c r="AA26" s="24">
        <f t="shared" si="11"/>
        <v>0.10374139388815062</v>
      </c>
      <c r="AD26" s="5" t="s">
        <v>31</v>
      </c>
      <c r="AE26" s="14">
        <v>4</v>
      </c>
      <c r="AF26" s="14">
        <v>4</v>
      </c>
      <c r="AG26" s="32"/>
    </row>
    <row r="27" spans="4:32" ht="12.75">
      <c r="D27" s="35"/>
      <c r="F27" s="33"/>
      <c r="G27" s="22">
        <f t="shared" si="6"/>
      </c>
      <c r="K27" s="22">
        <f t="shared" si="8"/>
      </c>
      <c r="M27" s="14">
        <f t="shared" si="2"/>
      </c>
      <c r="O27" s="24">
        <f t="shared" si="9"/>
      </c>
      <c r="P27" s="35"/>
      <c r="R27" s="33"/>
      <c r="S27" s="22">
        <f t="shared" si="7"/>
      </c>
      <c r="W27" s="22">
        <f t="shared" si="10"/>
      </c>
      <c r="Y27" s="14">
        <f t="shared" si="5"/>
      </c>
      <c r="AA27" s="24">
        <f t="shared" si="11"/>
      </c>
      <c r="AD27" s="5" t="s">
        <v>32</v>
      </c>
      <c r="AE27" s="14">
        <v>6.66</v>
      </c>
      <c r="AF27" s="14">
        <v>6.71</v>
      </c>
    </row>
    <row r="28" spans="1:32" ht="12.75">
      <c r="A28" s="9">
        <v>30</v>
      </c>
      <c r="C28" s="9">
        <v>10000</v>
      </c>
      <c r="D28" s="35" t="e">
        <f>#REF!/#REF!/730</f>
        <v>#REF!</v>
      </c>
      <c r="E28" s="21">
        <f>ROUND($AE$15+(MIN(1500,C28)*$AE$18/100+MAX(0,C28-1500)*$AE$19/100+(A28-15)*$AE$16)*(1+$AE$21)+$AE$20,2)</f>
        <v>626.09</v>
      </c>
      <c r="F28"/>
      <c r="G28" s="22">
        <f t="shared" si="6"/>
        <v>5.8482</v>
      </c>
      <c r="I28" s="21">
        <f>ROUND($AE$26+(MIN(1500,C28)*$AE$29/100+MAX(0,C28-1500)*$AE$30/100+(A28-15)*$AE$27)*(1+$AE$32)+$AE$31,2)</f>
        <v>691.08</v>
      </c>
      <c r="K28" s="22">
        <f t="shared" si="8"/>
        <v>6.9108</v>
      </c>
      <c r="M28" s="14">
        <f t="shared" si="2"/>
        <v>64.99000000000001</v>
      </c>
      <c r="O28" s="24">
        <f t="shared" si="9"/>
        <v>0.10380296762446295</v>
      </c>
      <c r="P28" s="35">
        <f>C28/A28/730</f>
        <v>0.45662100456621</v>
      </c>
      <c r="Q28" s="21">
        <f>ROUND($AF$15+(MIN(1500,C28)*$AF$18/100+MAX(0,C28-1500)*$AF$19/100+(A28-15)*$AF$16)*(1+$AF$21)+$AF$20,2)</f>
        <v>584.82</v>
      </c>
      <c r="R28"/>
      <c r="S28" s="22">
        <f t="shared" si="7"/>
        <v>5.8482</v>
      </c>
      <c r="U28" s="21">
        <f>ROUND($AF$26+(MIN(1500,C28)*$AF$29/100+MAX(0,C28-1500)*$AF$30/100+(A28-15)*$AF$27)*(1+$AF$32)+$AF$31,2)</f>
        <v>645.41</v>
      </c>
      <c r="W28" s="22">
        <f t="shared" si="10"/>
        <v>6.4541</v>
      </c>
      <c r="Y28" s="14">
        <f t="shared" si="5"/>
        <v>60.58999999999992</v>
      </c>
      <c r="AA28" s="24">
        <f t="shared" si="11"/>
        <v>0.10360452788892305</v>
      </c>
      <c r="AD28" s="5" t="s">
        <v>33</v>
      </c>
      <c r="AE28" s="14">
        <v>-0.37</v>
      </c>
      <c r="AF28" s="14">
        <v>-0.37</v>
      </c>
    </row>
    <row r="29" spans="1:32" ht="12.75">
      <c r="A29"/>
      <c r="B29"/>
      <c r="C29" s="9">
        <v>12500</v>
      </c>
      <c r="D29" s="35" t="e">
        <f>#REF!/#REF!/730</f>
        <v>#REF!</v>
      </c>
      <c r="E29" s="21">
        <f>ROUND($AE$15+(MIN(1500,C29)*$AE$18/100+MAX(0,C29-1500)*$AE$19/100+(A28-15)*$AE$16)*(1+$AE$21)+$AE$20,2)</f>
        <v>744.35</v>
      </c>
      <c r="F29"/>
      <c r="G29" s="22">
        <f t="shared" si="6"/>
        <v>5.54936</v>
      </c>
      <c r="I29" s="21">
        <f>ROUND($AE$26+(MIN(1500,C29)*$AE$29/100+MAX(0,C29-1500)*$AE$30/100+(A28-15)*$AE$27)*(1+$AE$32)+$AE$31,2)</f>
        <v>821.68</v>
      </c>
      <c r="K29" s="22">
        <f t="shared" si="8"/>
        <v>6.57344</v>
      </c>
      <c r="M29" s="14">
        <f t="shared" si="2"/>
        <v>77.32999999999993</v>
      </c>
      <c r="O29" s="24">
        <f t="shared" si="9"/>
        <v>0.10388929938872837</v>
      </c>
      <c r="P29" s="35">
        <f>C29/A28/730</f>
        <v>0.5707762557077626</v>
      </c>
      <c r="Q29" s="21">
        <f>ROUND($AF$15+(MIN(1500,C29)*$AF$18/100+MAX(0,C29-1500)*$AF$19/100+(A28-15)*$AF$16)*(1+$AF$21)+$AF$20,2)</f>
        <v>693.67</v>
      </c>
      <c r="R29"/>
      <c r="S29" s="22">
        <f t="shared" si="7"/>
        <v>5.54936</v>
      </c>
      <c r="U29" s="21">
        <f>ROUND($AF$26+(MIN(1500,C29)*$AF$29/100+MAX(0,C29-1500)*$AF$30/100+(A28-15)*$AF$27)*(1+$AF$32)+$AF$31,2)</f>
        <v>765.62</v>
      </c>
      <c r="W29" s="22">
        <f t="shared" si="10"/>
        <v>6.12496</v>
      </c>
      <c r="Y29" s="14">
        <f t="shared" si="5"/>
        <v>71.95000000000005</v>
      </c>
      <c r="AA29" s="24">
        <f t="shared" si="11"/>
        <v>0.10372367263972793</v>
      </c>
      <c r="AD29" s="5" t="s">
        <v>34</v>
      </c>
      <c r="AE29" s="5">
        <v>9.036600000000002</v>
      </c>
      <c r="AF29" s="5">
        <v>8.3176</v>
      </c>
    </row>
    <row r="30" spans="1:32" ht="12.75">
      <c r="A30"/>
      <c r="B30"/>
      <c r="C30" s="9">
        <v>15000</v>
      </c>
      <c r="D30" s="35" t="e">
        <f>#REF!/#REF!/730</f>
        <v>#REF!</v>
      </c>
      <c r="E30" s="21">
        <f>ROUND($AE$15+(MIN(1500,C30)*$AE$18/100+MAX(0,C30-1500)*$AE$19/100+(A28-15)*$AE$16)*(1+$AE$21)+$AE$20,2)</f>
        <v>862.61</v>
      </c>
      <c r="F30"/>
      <c r="G30" s="22">
        <f t="shared" si="6"/>
        <v>5.350133333333333</v>
      </c>
      <c r="I30" s="21">
        <f>ROUND($AE$26+(MIN(1500,C30)*$AE$29/100+MAX(0,C30-1500)*$AE$30/100+(A28-15)*$AE$27)*(1+$AE$32)+$AE$31,2)</f>
        <v>952.28</v>
      </c>
      <c r="K30" s="22">
        <f t="shared" si="8"/>
        <v>6.348533333333334</v>
      </c>
      <c r="M30" s="14">
        <f t="shared" si="2"/>
        <v>89.66999999999996</v>
      </c>
      <c r="O30" s="24">
        <f t="shared" si="9"/>
        <v>0.10395195975006088</v>
      </c>
      <c r="P30" s="35">
        <f>C30/A28/730</f>
        <v>0.684931506849315</v>
      </c>
      <c r="Q30" s="21">
        <f>ROUND($AF$15+(MIN(1500,C30)*$AF$18/100+MAX(0,C30-1500)*$AF$19/100+(A28-15)*$AF$16)*(1+$AF$21)+$AF$20,2)</f>
        <v>802.52</v>
      </c>
      <c r="R30"/>
      <c r="S30" s="22">
        <f t="shared" si="7"/>
        <v>5.350133333333333</v>
      </c>
      <c r="U30" s="21">
        <f>ROUND($AF$26+(MIN(1500,C30)*$AF$29/100+MAX(0,C30-1500)*$AF$30/100+(A28-15)*$AF$27)*(1+$AF$32)+$AF$31,2)</f>
        <v>885.83</v>
      </c>
      <c r="W30" s="22">
        <f t="shared" si="10"/>
        <v>5.9055333333333335</v>
      </c>
      <c r="Y30" s="14">
        <f t="shared" si="5"/>
        <v>83.31000000000006</v>
      </c>
      <c r="AA30" s="24">
        <f t="shared" si="11"/>
        <v>0.10381049693465583</v>
      </c>
      <c r="AD30" s="5" t="s">
        <v>35</v>
      </c>
      <c r="AE30" s="5">
        <v>5.0664</v>
      </c>
      <c r="AF30" s="5">
        <v>4.6634</v>
      </c>
    </row>
    <row r="31" spans="1:32" ht="12.75">
      <c r="A31"/>
      <c r="B31"/>
      <c r="C31"/>
      <c r="D31" s="35"/>
      <c r="F31" s="33"/>
      <c r="G31" s="22">
        <f>IF(E31="","",E31/$C31*100)</f>
      </c>
      <c r="K31" s="22">
        <f t="shared" si="8"/>
      </c>
      <c r="M31" s="14"/>
      <c r="O31" s="24"/>
      <c r="P31" s="35"/>
      <c r="R31" s="33"/>
      <c r="S31" s="22">
        <f t="shared" si="7"/>
      </c>
      <c r="W31" s="22">
        <f t="shared" si="10"/>
      </c>
      <c r="Y31" s="14"/>
      <c r="AA31" s="24"/>
      <c r="AD31" s="5" t="s">
        <v>21</v>
      </c>
      <c r="AE31" s="14">
        <v>0.27</v>
      </c>
      <c r="AF31" s="14">
        <v>0.27</v>
      </c>
    </row>
    <row r="32" spans="1:32" ht="15.75">
      <c r="A32" s="27" t="s">
        <v>48</v>
      </c>
      <c r="D32" s="35"/>
      <c r="F32" s="33"/>
      <c r="G32" s="22"/>
      <c r="K32" s="22"/>
      <c r="M32" s="14"/>
      <c r="O32" s="24"/>
      <c r="P32" s="35"/>
      <c r="R32" s="33"/>
      <c r="S32" s="22"/>
      <c r="W32" s="22"/>
      <c r="Y32" s="14"/>
      <c r="AA32" s="24"/>
      <c r="AD32" s="5" t="s">
        <v>22</v>
      </c>
      <c r="AE32" s="34">
        <v>0.0311</v>
      </c>
      <c r="AF32" s="34">
        <v>0.0311</v>
      </c>
    </row>
    <row r="33" spans="6:27" ht="12.75">
      <c r="F33" s="33"/>
      <c r="G33" s="22"/>
      <c r="K33" s="22"/>
      <c r="M33" s="14"/>
      <c r="O33" s="24"/>
      <c r="R33" s="33"/>
      <c r="S33" s="22"/>
      <c r="W33" s="22"/>
      <c r="Y33" s="14"/>
      <c r="AA33" s="24"/>
    </row>
    <row r="34" spans="6:27" ht="12.75">
      <c r="F34" s="33"/>
      <c r="G34" s="22"/>
      <c r="K34" s="22"/>
      <c r="M34" s="14"/>
      <c r="O34" s="24"/>
      <c r="R34" s="33"/>
      <c r="S34" s="22"/>
      <c r="W34" s="22"/>
      <c r="Y34" s="14"/>
      <c r="AA34" s="24"/>
    </row>
    <row r="35" spans="6:27" ht="12.75">
      <c r="F35" s="33"/>
      <c r="G35" s="22"/>
      <c r="K35" s="22"/>
      <c r="M35" s="14"/>
      <c r="O35" s="24"/>
      <c r="R35" s="33"/>
      <c r="S35" s="22"/>
      <c r="W35" s="22"/>
      <c r="Y35" s="14"/>
      <c r="AA35" s="24"/>
    </row>
    <row r="36" spans="6:27" ht="12.75">
      <c r="F36" s="33"/>
      <c r="G36" s="22"/>
      <c r="K36" s="22"/>
      <c r="M36" s="14"/>
      <c r="O36" s="24"/>
      <c r="R36" s="33"/>
      <c r="S36" s="22"/>
      <c r="W36" s="22"/>
      <c r="Y36" s="14"/>
      <c r="AA36" s="24"/>
    </row>
  </sheetData>
  <mergeCells count="2">
    <mergeCell ref="Y7:AA7"/>
    <mergeCell ref="M7:O7"/>
  </mergeCells>
  <printOptions horizontalCentered="1"/>
  <pageMargins left="0.75" right="0.75" top="1" bottom="1" header="0.5" footer="0.5"/>
  <pageSetup fitToHeight="1" fitToWidth="1" horizontalDpi="600" verticalDpi="600" orientation="landscape" scale="74" r:id="rId1"/>
  <headerFooter alignWithMargins="0">
    <oddFooter>&amp;CBill Comparison Exhibit
(WRG-3)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workbookViewId="0" topLeftCell="A1">
      <selection activeCell="A14" sqref="A14"/>
    </sheetView>
  </sheetViews>
  <sheetFormatPr defaultColWidth="9.140625" defaultRowHeight="12.75"/>
  <cols>
    <col min="1" max="1" width="9.140625" style="9" customWidth="1"/>
    <col min="2" max="2" width="5.28125" style="9" customWidth="1"/>
    <col min="3" max="3" width="10.8515625" style="9" bestFit="1" customWidth="1"/>
    <col min="4" max="4" width="7.140625" style="5" customWidth="1"/>
    <col min="5" max="5" width="11.421875" style="21" customWidth="1"/>
    <col min="6" max="6" width="9.57421875" style="21" hidden="1" customWidth="1"/>
    <col min="7" max="7" width="10.421875" style="21" hidden="1" customWidth="1"/>
    <col min="8" max="8" width="9.140625" style="5" customWidth="1"/>
    <col min="9" max="9" width="11.421875" style="21" customWidth="1"/>
    <col min="10" max="10" width="7.57421875" style="21" hidden="1" customWidth="1"/>
    <col min="11" max="11" width="10.421875" style="21" hidden="1" customWidth="1"/>
    <col min="12" max="12" width="9.140625" style="5" customWidth="1"/>
    <col min="13" max="13" width="10.57421875" style="5" bestFit="1" customWidth="1"/>
    <col min="14" max="15" width="9.140625" style="5" customWidth="1"/>
    <col min="16" max="16" width="7.140625" style="5" customWidth="1"/>
    <col min="17" max="17" width="11.421875" style="21" customWidth="1"/>
    <col min="18" max="18" width="9.57421875" style="21" hidden="1" customWidth="1"/>
    <col min="19" max="19" width="10.421875" style="21" hidden="1" customWidth="1"/>
    <col min="20" max="20" width="9.140625" style="5" customWidth="1"/>
    <col min="21" max="21" width="11.421875" style="21" customWidth="1"/>
    <col min="22" max="22" width="7.57421875" style="21" hidden="1" customWidth="1"/>
    <col min="23" max="23" width="10.421875" style="21" hidden="1" customWidth="1"/>
    <col min="24" max="24" width="9.140625" style="5" customWidth="1"/>
    <col min="25" max="25" width="10.57421875" style="5" bestFit="1" customWidth="1"/>
    <col min="26" max="16384" width="9.140625" style="5" customWidth="1"/>
  </cols>
  <sheetData>
    <row r="1" spans="1:27" ht="16.5">
      <c r="A1" s="1" t="s">
        <v>0</v>
      </c>
      <c r="B1" s="1"/>
      <c r="C1" s="1"/>
      <c r="D1" s="2"/>
      <c r="E1" s="3"/>
      <c r="F1" s="3"/>
      <c r="G1" s="3"/>
      <c r="H1" s="2"/>
      <c r="I1" s="3"/>
      <c r="J1" s="3"/>
      <c r="K1" s="3"/>
      <c r="L1" s="2"/>
      <c r="M1" s="2"/>
      <c r="N1" s="2"/>
      <c r="O1" s="2"/>
      <c r="P1" s="2"/>
      <c r="Q1" s="3"/>
      <c r="R1" s="3"/>
      <c r="S1" s="3"/>
      <c r="T1" s="2"/>
      <c r="U1" s="3"/>
      <c r="V1" s="3"/>
      <c r="W1" s="3"/>
      <c r="X1" s="2"/>
      <c r="Y1" s="2"/>
      <c r="Z1" s="2"/>
      <c r="AA1" s="2"/>
    </row>
    <row r="2" spans="1:27" ht="16.5">
      <c r="A2" s="1" t="s">
        <v>1</v>
      </c>
      <c r="B2" s="1"/>
      <c r="C2" s="1"/>
      <c r="D2" s="2"/>
      <c r="E2" s="3"/>
      <c r="F2" s="3"/>
      <c r="G2" s="3"/>
      <c r="H2" s="2"/>
      <c r="I2" s="3"/>
      <c r="J2" s="3"/>
      <c r="K2" s="3"/>
      <c r="L2" s="2"/>
      <c r="M2" s="2"/>
      <c r="N2" s="2"/>
      <c r="O2" s="2"/>
      <c r="P2" s="2"/>
      <c r="Q2" s="3"/>
      <c r="R2" s="3"/>
      <c r="S2" s="3"/>
      <c r="T2" s="2"/>
      <c r="U2" s="3"/>
      <c r="V2" s="3"/>
      <c r="W2" s="3"/>
      <c r="X2" s="2"/>
      <c r="Y2" s="2"/>
      <c r="Z2" s="2"/>
      <c r="AA2" s="2"/>
    </row>
    <row r="3" spans="1:27" ht="16.5">
      <c r="A3" s="1" t="s">
        <v>36</v>
      </c>
      <c r="B3" s="1"/>
      <c r="C3" s="1"/>
      <c r="D3" s="2"/>
      <c r="E3" s="3"/>
      <c r="F3" s="3"/>
      <c r="G3" s="3"/>
      <c r="H3" s="2"/>
      <c r="I3" s="3"/>
      <c r="J3" s="3"/>
      <c r="K3" s="3"/>
      <c r="L3" s="2"/>
      <c r="M3" s="2"/>
      <c r="N3" s="2"/>
      <c r="O3" s="2"/>
      <c r="P3" s="2"/>
      <c r="Q3" s="3"/>
      <c r="R3" s="3"/>
      <c r="S3" s="3"/>
      <c r="T3" s="2"/>
      <c r="U3" s="3"/>
      <c r="V3" s="3"/>
      <c r="W3" s="3"/>
      <c r="X3" s="2"/>
      <c r="Y3" s="2"/>
      <c r="Z3" s="2"/>
      <c r="AA3" s="2"/>
    </row>
    <row r="4" spans="1:27" ht="16.5">
      <c r="A4" s="1" t="s">
        <v>24</v>
      </c>
      <c r="B4" s="1"/>
      <c r="C4" s="1"/>
      <c r="D4" s="2"/>
      <c r="E4" s="3"/>
      <c r="F4" s="3"/>
      <c r="G4" s="3"/>
      <c r="H4" s="2"/>
      <c r="I4" s="3"/>
      <c r="J4" s="3"/>
      <c r="K4" s="3"/>
      <c r="L4" s="2"/>
      <c r="M4" s="2"/>
      <c r="N4" s="2"/>
      <c r="O4" s="2"/>
      <c r="P4" s="2"/>
      <c r="Q4" s="3"/>
      <c r="R4" s="3"/>
      <c r="S4" s="3"/>
      <c r="T4" s="2"/>
      <c r="U4" s="3"/>
      <c r="V4" s="3"/>
      <c r="W4" s="3"/>
      <c r="X4" s="2"/>
      <c r="Y4" s="2"/>
      <c r="Z4" s="2"/>
      <c r="AA4" s="2"/>
    </row>
    <row r="5" spans="1:26" ht="12.75">
      <c r="A5" s="6"/>
      <c r="B5" s="6"/>
      <c r="C5" s="6"/>
      <c r="D5" s="2"/>
      <c r="E5" s="3"/>
      <c r="F5" s="3"/>
      <c r="G5" s="3"/>
      <c r="H5" s="2"/>
      <c r="I5" s="3"/>
      <c r="J5" s="3"/>
      <c r="K5" s="3"/>
      <c r="L5" s="2"/>
      <c r="N5" s="2"/>
      <c r="P5" s="2"/>
      <c r="Q5" s="3"/>
      <c r="R5" s="3"/>
      <c r="S5" s="3"/>
      <c r="T5" s="2"/>
      <c r="U5" s="3"/>
      <c r="V5" s="3"/>
      <c r="W5" s="3"/>
      <c r="X5" s="2"/>
      <c r="Z5" s="2"/>
    </row>
    <row r="6" spans="1:27" ht="12.75">
      <c r="A6" s="6"/>
      <c r="B6" s="2"/>
      <c r="C6" s="5"/>
      <c r="E6" s="7" t="s">
        <v>4</v>
      </c>
      <c r="F6" s="7"/>
      <c r="G6" s="7"/>
      <c r="H6" s="8"/>
      <c r="I6" s="7"/>
      <c r="J6" s="7"/>
      <c r="K6" s="7"/>
      <c r="L6" s="8"/>
      <c r="M6" s="8"/>
      <c r="N6" s="8"/>
      <c r="O6" s="8"/>
      <c r="Q6" s="7" t="s">
        <v>5</v>
      </c>
      <c r="R6" s="7"/>
      <c r="S6" s="7"/>
      <c r="T6" s="8"/>
      <c r="U6" s="7"/>
      <c r="V6" s="7"/>
      <c r="W6" s="7"/>
      <c r="X6" s="8"/>
      <c r="Y6" s="8"/>
      <c r="Z6" s="8"/>
      <c r="AA6" s="8"/>
    </row>
    <row r="7" spans="5:32" ht="15.75">
      <c r="E7" s="10" t="s">
        <v>47</v>
      </c>
      <c r="F7" s="10"/>
      <c r="G7" s="10"/>
      <c r="H7" s="11"/>
      <c r="I7" s="10"/>
      <c r="J7" s="10"/>
      <c r="K7" s="10"/>
      <c r="M7" s="41" t="s">
        <v>6</v>
      </c>
      <c r="N7" s="41"/>
      <c r="O7" s="41"/>
      <c r="Q7" s="10" t="s">
        <v>47</v>
      </c>
      <c r="R7" s="10"/>
      <c r="S7" s="10"/>
      <c r="T7" s="11"/>
      <c r="U7" s="10"/>
      <c r="V7" s="10"/>
      <c r="W7" s="10"/>
      <c r="Y7" s="41" t="s">
        <v>6</v>
      </c>
      <c r="Z7" s="41"/>
      <c r="AA7" s="41"/>
      <c r="AF7" s="31" t="s">
        <v>37</v>
      </c>
    </row>
    <row r="8" spans="5:26" ht="12.75">
      <c r="E8"/>
      <c r="F8"/>
      <c r="G8"/>
      <c r="H8"/>
      <c r="I8"/>
      <c r="J8"/>
      <c r="K8"/>
      <c r="L8" s="13"/>
      <c r="N8" s="13"/>
      <c r="Q8"/>
      <c r="R8"/>
      <c r="S8"/>
      <c r="T8"/>
      <c r="U8"/>
      <c r="V8"/>
      <c r="W8"/>
      <c r="X8" s="13"/>
      <c r="Z8" s="13"/>
    </row>
    <row r="9" spans="1:39" ht="12.75">
      <c r="A9" s="28" t="s">
        <v>25</v>
      </c>
      <c r="E9" s="12" t="s">
        <v>37</v>
      </c>
      <c r="F9" s="12"/>
      <c r="G9" s="12"/>
      <c r="I9" s="12" t="s">
        <v>38</v>
      </c>
      <c r="J9" s="12"/>
      <c r="K9" s="12"/>
      <c r="M9" s="16" t="s">
        <v>9</v>
      </c>
      <c r="O9" s="16" t="s">
        <v>10</v>
      </c>
      <c r="Q9" s="12" t="s">
        <v>37</v>
      </c>
      <c r="R9" s="12"/>
      <c r="S9" s="12"/>
      <c r="U9" s="12" t="s">
        <v>38</v>
      </c>
      <c r="V9" s="12"/>
      <c r="W9" s="12"/>
      <c r="Y9" s="16" t="s">
        <v>9</v>
      </c>
      <c r="AA9" s="16" t="s">
        <v>10</v>
      </c>
      <c r="AF9" s="5" t="s">
        <v>31</v>
      </c>
      <c r="AG9" s="14">
        <v>14.74</v>
      </c>
      <c r="AH9" s="14">
        <v>14.74</v>
      </c>
      <c r="AL9" s="14"/>
      <c r="AM9" s="14"/>
    </row>
    <row r="10" spans="1:39" ht="12.75">
      <c r="A10" s="20" t="s">
        <v>28</v>
      </c>
      <c r="B10" s="17"/>
      <c r="C10" s="29" t="s">
        <v>11</v>
      </c>
      <c r="E10" s="18" t="s">
        <v>12</v>
      </c>
      <c r="F10" s="18"/>
      <c r="G10" s="18" t="s">
        <v>13</v>
      </c>
      <c r="I10" s="18" t="s">
        <v>12</v>
      </c>
      <c r="J10" s="18"/>
      <c r="K10" s="18" t="s">
        <v>13</v>
      </c>
      <c r="M10" s="20" t="s">
        <v>14</v>
      </c>
      <c r="O10" s="20" t="s">
        <v>14</v>
      </c>
      <c r="Q10" s="18" t="s">
        <v>12</v>
      </c>
      <c r="R10" s="18"/>
      <c r="S10" s="18" t="s">
        <v>13</v>
      </c>
      <c r="U10" s="18" t="s">
        <v>12</v>
      </c>
      <c r="V10" s="18"/>
      <c r="W10" s="18" t="s">
        <v>13</v>
      </c>
      <c r="Y10" s="20" t="s">
        <v>14</v>
      </c>
      <c r="AA10" s="20" t="s">
        <v>14</v>
      </c>
      <c r="AF10" s="5" t="s">
        <v>32</v>
      </c>
      <c r="AG10" s="14">
        <v>10.66</v>
      </c>
      <c r="AH10" s="14">
        <v>8.56</v>
      </c>
      <c r="AI10" s="5" t="s">
        <v>39</v>
      </c>
      <c r="AJ10" s="32">
        <v>0</v>
      </c>
      <c r="AK10" s="5" t="s">
        <v>25</v>
      </c>
      <c r="AL10" s="14"/>
      <c r="AM10" s="14"/>
    </row>
    <row r="11" spans="1:39" ht="12.75">
      <c r="A11"/>
      <c r="B11"/>
      <c r="C11"/>
      <c r="I11"/>
      <c r="J11"/>
      <c r="K11"/>
      <c r="U11"/>
      <c r="V11"/>
      <c r="W11"/>
      <c r="AF11" s="5" t="s">
        <v>33</v>
      </c>
      <c r="AG11" s="14">
        <v>-0.54</v>
      </c>
      <c r="AH11" s="14">
        <v>-0.54</v>
      </c>
      <c r="AJ11" s="32"/>
      <c r="AL11" s="14"/>
      <c r="AM11" s="14"/>
    </row>
    <row r="12" spans="32:37" ht="12.75">
      <c r="AF12" s="5" t="s">
        <v>40</v>
      </c>
      <c r="AG12" s="5">
        <v>2.7737</v>
      </c>
      <c r="AH12" s="5">
        <v>2.7737</v>
      </c>
      <c r="AJ12" s="32" t="s">
        <v>41</v>
      </c>
      <c r="AK12" s="5" t="s">
        <v>11</v>
      </c>
    </row>
    <row r="13" spans="1:36" ht="12.75">
      <c r="A13" s="9">
        <v>50</v>
      </c>
      <c r="C13" s="9">
        <v>5000</v>
      </c>
      <c r="E13" s="21">
        <f>ROUND(AG$9+(AG$10*MAX(A13-AJ$10)+AG$12/100*C13)*(1+$AG$14)+$AG$13,2)</f>
        <v>712.35</v>
      </c>
      <c r="F13"/>
      <c r="G13" s="22">
        <f aca="true" t="shared" si="0" ref="G13:G39">IF(Q13="","",Q13/$C13*100)</f>
        <v>12.084</v>
      </c>
      <c r="I13" s="21">
        <f>ROUND(AG$17+(AG$18*MAX(A13-AJ$18)+AG$20/100*C13)*(1+$AG$22)+$AG$21,2)</f>
        <v>795.94</v>
      </c>
      <c r="K13" s="22">
        <f aca="true" t="shared" si="1" ref="K13:K39">IF(I13="","",I13/$C13*100)</f>
        <v>15.918800000000003</v>
      </c>
      <c r="M13" s="14">
        <f aca="true" t="shared" si="2" ref="M13:M39">IF(I13="","",I13-E13)</f>
        <v>83.59000000000003</v>
      </c>
      <c r="O13" s="24">
        <f aca="true" t="shared" si="3" ref="O13:O39">IF(K13="","",I13/E13-1)</f>
        <v>0.11734400224608699</v>
      </c>
      <c r="Q13" s="21">
        <f>ROUND(AH$9+(AH$10*MAX(A13-AJ$10)+AH$12/100*C13)*(1+$AH$14)+$AH$13,2)</f>
        <v>604.2</v>
      </c>
      <c r="R13"/>
      <c r="S13" s="22">
        <f aca="true" t="shared" si="4" ref="S13:S39">IF(Q13="","",Q13/$C13*100)</f>
        <v>12.084</v>
      </c>
      <c r="U13" s="21">
        <f>ROUND(AH$17+(AH$18*MAX(A13-AJ$18)+AH$20/100*C13)*(1+$AH$22)+$AH$21,2)</f>
        <v>672.34</v>
      </c>
      <c r="W13" s="22">
        <f aca="true" t="shared" si="5" ref="W13:W39">IF(U13="","",U13/$C13*100)</f>
        <v>13.4468</v>
      </c>
      <c r="Y13" s="14">
        <f aca="true" t="shared" si="6" ref="Y13:Y39">IF(U13="","",U13-Q13)</f>
        <v>68.13999999999999</v>
      </c>
      <c r="AA13" s="24">
        <f aca="true" t="shared" si="7" ref="AA13:AA39">IF(W13="","",U13/Q13-1)</f>
        <v>0.11277722608407803</v>
      </c>
      <c r="AF13" s="5" t="s">
        <v>21</v>
      </c>
      <c r="AG13" s="14">
        <v>5.77</v>
      </c>
      <c r="AH13" s="14">
        <v>5.77</v>
      </c>
      <c r="AJ13" s="32"/>
    </row>
    <row r="14" spans="3:36" ht="12.75">
      <c r="C14" s="9">
        <v>10000</v>
      </c>
      <c r="E14" s="21">
        <f>ROUND(AG$9+(AG$10*MAX(A13-AJ$10)+AG$12/100*C14)*(1+$AG$14)+$AG$13,2)</f>
        <v>855.19</v>
      </c>
      <c r="F14"/>
      <c r="G14" s="22">
        <f t="shared" si="0"/>
        <v>7.4704</v>
      </c>
      <c r="I14" s="21">
        <f>ROUND(AG$17+(AG$18*MAX(A13-AJ$18)+AG$20/100*C14)*(1+$AG$22)+$AG$21,2)</f>
        <v>948.99</v>
      </c>
      <c r="K14" s="22">
        <f t="shared" si="1"/>
        <v>9.4899</v>
      </c>
      <c r="M14" s="14">
        <f t="shared" si="2"/>
        <v>93.79999999999995</v>
      </c>
      <c r="O14" s="24">
        <f t="shared" si="3"/>
        <v>0.10968322828845056</v>
      </c>
      <c r="Q14" s="21">
        <f>ROUND(AH$9+(AH$10*MAX(A13-AJ$10)+AH$12/100*C14)*(1+$AH$14)+$AH$13,2)</f>
        <v>747.04</v>
      </c>
      <c r="R14"/>
      <c r="S14" s="22">
        <f t="shared" si="4"/>
        <v>7.4704</v>
      </c>
      <c r="U14" s="21">
        <f>ROUND(AH$17+(AH$18*MAX(A13-AJ$18)+AH$20/100*C14)*(1+$AH$22)+$AH$21,2)</f>
        <v>825.39</v>
      </c>
      <c r="W14" s="22">
        <f t="shared" si="5"/>
        <v>8.2539</v>
      </c>
      <c r="Y14" s="14">
        <f t="shared" si="6"/>
        <v>78.35000000000002</v>
      </c>
      <c r="AA14" s="24">
        <f t="shared" si="7"/>
        <v>0.10488059541657746</v>
      </c>
      <c r="AF14" s="5" t="s">
        <v>22</v>
      </c>
      <c r="AG14" s="34">
        <v>0.03</v>
      </c>
      <c r="AH14" s="34">
        <v>0.03</v>
      </c>
      <c r="AJ14" s="32"/>
    </row>
    <row r="15" spans="3:32" ht="12.75">
      <c r="C15" s="9">
        <v>20000</v>
      </c>
      <c r="E15" s="21">
        <f>ROUND(AG$9+(AG$10*MAX(A13-AJ$10)+AG$12/100*C15)*(1+$AG$14)+$AG$13,2)</f>
        <v>1140.88</v>
      </c>
      <c r="F15"/>
      <c r="G15" s="22">
        <f t="shared" si="0"/>
        <v>5.1636500000000005</v>
      </c>
      <c r="I15" s="21">
        <f>ROUND(AG$17+(AG$18*MAX(A13-AJ$18)+AG$20/100*C15)*(1+$AG$22)+$AG$21,2)</f>
        <v>1255.08</v>
      </c>
      <c r="K15" s="22">
        <f t="shared" si="1"/>
        <v>6.275399999999999</v>
      </c>
      <c r="M15" s="14">
        <f t="shared" si="2"/>
        <v>114.19999999999982</v>
      </c>
      <c r="O15" s="24">
        <f t="shared" si="3"/>
        <v>0.10009816983381237</v>
      </c>
      <c r="Q15" s="21">
        <f>ROUND(AH$9+(AH$10*MAX(A13-AJ$10)+AH$12/100*C15)*(1+$AH$14)+$AH$13,2)</f>
        <v>1032.73</v>
      </c>
      <c r="R15"/>
      <c r="S15" s="22">
        <f t="shared" si="4"/>
        <v>5.1636500000000005</v>
      </c>
      <c r="U15" s="21">
        <f>ROUND(AH$17+(AH$18*MAX(A13-AJ$18)+AH$20/100*C15)*(1+$AH$22)+$AH$21,2)</f>
        <v>1131.48</v>
      </c>
      <c r="W15" s="22">
        <f t="shared" si="5"/>
        <v>5.6574</v>
      </c>
      <c r="Y15" s="14">
        <f t="shared" si="6"/>
        <v>98.75</v>
      </c>
      <c r="AA15" s="24">
        <f t="shared" si="7"/>
        <v>0.09562034607302983</v>
      </c>
      <c r="AF15" s="31" t="s">
        <v>38</v>
      </c>
    </row>
    <row r="16" spans="6:27" ht="12.75">
      <c r="F16"/>
      <c r="G16" s="22">
        <f t="shared" si="0"/>
      </c>
      <c r="K16" s="22">
        <f t="shared" si="1"/>
      </c>
      <c r="M16" s="14">
        <f t="shared" si="2"/>
      </c>
      <c r="O16" s="24">
        <f t="shared" si="3"/>
      </c>
      <c r="R16"/>
      <c r="S16" s="22">
        <f t="shared" si="4"/>
      </c>
      <c r="W16" s="22">
        <f t="shared" si="5"/>
      </c>
      <c r="Y16" s="14">
        <f t="shared" si="6"/>
      </c>
      <c r="AA16" s="24">
        <f t="shared" si="7"/>
      </c>
    </row>
    <row r="17" spans="1:34" ht="12.75">
      <c r="A17" s="9">
        <v>100</v>
      </c>
      <c r="C17" s="9">
        <v>20000</v>
      </c>
      <c r="E17" s="21">
        <f>ROUND(AG$9+(AG$10*MAX(A17-AJ$10)+AG$12/100*C17)*(1+$AG$14)+$AG$13,2)</f>
        <v>1689.87</v>
      </c>
      <c r="F17"/>
      <c r="G17" s="22">
        <f t="shared" si="0"/>
        <v>7.36785</v>
      </c>
      <c r="I17" s="21">
        <f>ROUND(AG$17+(AG$18*MAX(A17-AJ$18)+AG$20/100*C17)*(1+$AG$22)+$AG$21,2)</f>
        <v>1877.2</v>
      </c>
      <c r="K17" s="22">
        <f t="shared" si="1"/>
        <v>9.386</v>
      </c>
      <c r="M17" s="14">
        <f t="shared" si="2"/>
        <v>187.33000000000015</v>
      </c>
      <c r="O17" s="24">
        <f t="shared" si="3"/>
        <v>0.11085468112931784</v>
      </c>
      <c r="Q17" s="21">
        <f>ROUND(AH$9+(AH$10*MAX(A17-AJ$10)+AH$12/100*C17)*(1+$AH$14)+$AH$13,2)</f>
        <v>1473.57</v>
      </c>
      <c r="R17"/>
      <c r="S17" s="22">
        <f t="shared" si="4"/>
        <v>7.36785</v>
      </c>
      <c r="U17" s="21">
        <f>ROUND(AH$17+(AH$18*MAX(A17-AJ$18)+AH$20/100*C17)*(1+$AH$22)+$AH$21,2)</f>
        <v>1630</v>
      </c>
      <c r="W17" s="22">
        <f t="shared" si="5"/>
        <v>8.15</v>
      </c>
      <c r="Y17" s="14">
        <f t="shared" si="6"/>
        <v>156.43000000000006</v>
      </c>
      <c r="AA17" s="24">
        <f t="shared" si="7"/>
        <v>0.10615715575099927</v>
      </c>
      <c r="AF17" s="5" t="s">
        <v>31</v>
      </c>
      <c r="AG17" s="14">
        <v>15</v>
      </c>
      <c r="AH17" s="14">
        <v>15</v>
      </c>
    </row>
    <row r="18" spans="3:37" ht="12.75">
      <c r="C18" s="9">
        <v>40000</v>
      </c>
      <c r="E18" s="21">
        <f>ROUND(AG$9+(AG$10*MAX(A17-AJ$10)+AG$12/100*C18)*(1+$AG$14)+$AG$13,2)</f>
        <v>2261.25</v>
      </c>
      <c r="F18"/>
      <c r="G18" s="22">
        <f t="shared" si="0"/>
        <v>5.112375</v>
      </c>
      <c r="I18" s="21">
        <f>ROUND(AG$17+(AG$18*MAX(A17-AJ$18)+AG$20/100*C18)*(1+$AG$22)+$AG$21,2)</f>
        <v>2489.39</v>
      </c>
      <c r="K18" s="22">
        <f t="shared" si="1"/>
        <v>6.223475</v>
      </c>
      <c r="M18" s="14">
        <f t="shared" si="2"/>
        <v>228.13999999999987</v>
      </c>
      <c r="O18" s="24">
        <f t="shared" si="3"/>
        <v>0.10089110005527901</v>
      </c>
      <c r="Q18" s="21">
        <f>ROUND(AH$9+(AH$10*MAX(A17-AJ$10)+AH$12/100*C18)*(1+$AH$14)+$AH$13,2)</f>
        <v>2044.95</v>
      </c>
      <c r="R18"/>
      <c r="S18" s="22">
        <f t="shared" si="4"/>
        <v>5.112375</v>
      </c>
      <c r="U18" s="21">
        <f>ROUND(AH$17+(AH$18*MAX(A17-AJ$18)+AH$20/100*C18)*(1+$AH$22)+$AH$21,2)</f>
        <v>2242.19</v>
      </c>
      <c r="W18" s="22">
        <f t="shared" si="5"/>
        <v>5.605475</v>
      </c>
      <c r="Y18" s="14">
        <f t="shared" si="6"/>
        <v>197.24</v>
      </c>
      <c r="AA18" s="24">
        <f t="shared" si="7"/>
        <v>0.09645223599599007</v>
      </c>
      <c r="AF18" s="5" t="s">
        <v>32</v>
      </c>
      <c r="AG18" s="14">
        <v>12.08</v>
      </c>
      <c r="AH18" s="14">
        <v>9.68</v>
      </c>
      <c r="AI18" s="5" t="s">
        <v>39</v>
      </c>
      <c r="AJ18" s="32">
        <v>0</v>
      </c>
      <c r="AK18" s="5" t="s">
        <v>25</v>
      </c>
    </row>
    <row r="19" spans="3:36" ht="12.75">
      <c r="C19" s="9">
        <v>60000</v>
      </c>
      <c r="E19" s="21">
        <f>ROUND(AG$9+(AG$10*MAX(A17-AJ$10)+AG$12/100*C19)*(1+$AG$14)+$AG$13,2)</f>
        <v>2832.64</v>
      </c>
      <c r="F19"/>
      <c r="G19" s="22">
        <f t="shared" si="0"/>
        <v>4.360566666666667</v>
      </c>
      <c r="I19" s="21">
        <f>ROUND(AG$17+(AG$18*MAX(A17-AJ$18)+AG$20/100*C19)*(1+$AG$22)+$AG$21,2)</f>
        <v>3101.58</v>
      </c>
      <c r="K19" s="22">
        <f t="shared" si="1"/>
        <v>5.1693</v>
      </c>
      <c r="M19" s="14">
        <f t="shared" si="2"/>
        <v>268.94000000000005</v>
      </c>
      <c r="O19" s="24">
        <f t="shared" si="3"/>
        <v>0.09494323316764586</v>
      </c>
      <c r="Q19" s="21">
        <f>ROUND(AH$9+(AH$10*MAX(A17-AJ$10)+AH$12/100*C19)*(1+$AH$14)+$AH$13,2)</f>
        <v>2616.34</v>
      </c>
      <c r="R19"/>
      <c r="S19" s="22">
        <f t="shared" si="4"/>
        <v>4.360566666666667</v>
      </c>
      <c r="U19" s="21">
        <f>ROUND(AH$17+(AH$18*MAX(A17-AJ$18)+AH$20/100*C19)*(1+$AH$22)+$AH$21,2)</f>
        <v>2854.38</v>
      </c>
      <c r="W19" s="22">
        <f t="shared" si="5"/>
        <v>4.757300000000001</v>
      </c>
      <c r="Y19" s="14">
        <f t="shared" si="6"/>
        <v>238.03999999999996</v>
      </c>
      <c r="AA19" s="24">
        <f t="shared" si="7"/>
        <v>0.09098205890671696</v>
      </c>
      <c r="AF19" s="5" t="s">
        <v>33</v>
      </c>
      <c r="AG19" s="14">
        <v>-0.62</v>
      </c>
      <c r="AH19" s="14">
        <v>-0.62</v>
      </c>
      <c r="AJ19" s="32"/>
    </row>
    <row r="20" spans="6:37" ht="12.75">
      <c r="F20"/>
      <c r="G20" s="22">
        <f t="shared" si="0"/>
      </c>
      <c r="K20" s="22">
        <f t="shared" si="1"/>
      </c>
      <c r="M20" s="14">
        <f t="shared" si="2"/>
      </c>
      <c r="O20" s="24">
        <f t="shared" si="3"/>
      </c>
      <c r="R20"/>
      <c r="S20" s="22">
        <f t="shared" si="4"/>
      </c>
      <c r="W20" s="22">
        <f t="shared" si="5"/>
      </c>
      <c r="Y20" s="14">
        <f t="shared" si="6"/>
      </c>
      <c r="AA20" s="24">
        <f t="shared" si="7"/>
      </c>
      <c r="AF20" s="5" t="s">
        <v>40</v>
      </c>
      <c r="AG20" s="5">
        <v>2.9718</v>
      </c>
      <c r="AH20" s="5">
        <v>2.9718</v>
      </c>
      <c r="AJ20" s="32" t="s">
        <v>41</v>
      </c>
      <c r="AK20" s="5" t="s">
        <v>11</v>
      </c>
    </row>
    <row r="21" spans="1:34" ht="12.75">
      <c r="A21" s="9">
        <v>200</v>
      </c>
      <c r="C21" s="9">
        <v>40000</v>
      </c>
      <c r="E21" s="21">
        <f>ROUND(AG$9+(AG$10*MAX(A21-AJ$10)+AG$12/100*C21)*(1+$AG$14)+$AG$13,2)</f>
        <v>3359.23</v>
      </c>
      <c r="F21"/>
      <c r="G21" s="22">
        <f t="shared" si="0"/>
        <v>7.316575</v>
      </c>
      <c r="I21" s="21">
        <f>ROUND(AG$17+(AG$18*MAX(A21-AJ$18)+AG$20/100*C21)*(1+$AG$22)+$AG$21,2)</f>
        <v>3733.63</v>
      </c>
      <c r="K21" s="22">
        <f t="shared" si="1"/>
        <v>9.334075</v>
      </c>
      <c r="M21" s="14">
        <f t="shared" si="2"/>
        <v>374.4000000000001</v>
      </c>
      <c r="O21" s="24">
        <f t="shared" si="3"/>
        <v>0.11145411299613306</v>
      </c>
      <c r="Q21" s="21">
        <f>ROUND(AH$9+(AH$10*MAX(A21-AJ$10)+AH$12/100*C21)*(1+$AH$14)+$AH$13,2)</f>
        <v>2926.63</v>
      </c>
      <c r="R21"/>
      <c r="S21" s="22">
        <f t="shared" si="4"/>
        <v>7.316575</v>
      </c>
      <c r="U21" s="21">
        <f>ROUND(AH$17+(AH$18*MAX(A21-AJ$18)+AH$20/100*C21)*(1+$AH$22)+$AH$21,2)</f>
        <v>3239.23</v>
      </c>
      <c r="W21" s="22">
        <f t="shared" si="5"/>
        <v>8.098075</v>
      </c>
      <c r="Y21" s="14">
        <f t="shared" si="6"/>
        <v>312.5999999999999</v>
      </c>
      <c r="AA21" s="24">
        <f t="shared" si="7"/>
        <v>0.1068122721355278</v>
      </c>
      <c r="AF21" s="5" t="s">
        <v>21</v>
      </c>
      <c r="AG21" s="14">
        <v>5.77</v>
      </c>
      <c r="AH21" s="14">
        <v>5.77</v>
      </c>
    </row>
    <row r="22" spans="3:34" ht="12.75">
      <c r="C22" s="9">
        <v>80000</v>
      </c>
      <c r="E22" s="21">
        <f>ROUND(AG$9+(AG$10*MAX(A21-AJ$10)+AG$12/100*C22)*(1+$AG$14)+$AG$13,2)</f>
        <v>4502</v>
      </c>
      <c r="F22"/>
      <c r="G22" s="22">
        <f t="shared" si="0"/>
        <v>5.08675</v>
      </c>
      <c r="I22" s="21">
        <f>ROUND(AG$17+(AG$18*MAX(A21-AJ$18)+AG$20/100*C22)*(1+$AG$22)+$AG$21,2)</f>
        <v>4958.01</v>
      </c>
      <c r="K22" s="22">
        <f t="shared" si="1"/>
        <v>6.1975125</v>
      </c>
      <c r="M22" s="14">
        <f t="shared" si="2"/>
        <v>456.0100000000002</v>
      </c>
      <c r="O22" s="24">
        <f t="shared" si="3"/>
        <v>0.10129053753887174</v>
      </c>
      <c r="Q22" s="21">
        <f>ROUND(AH$9+(AH$10*MAX(A21-AJ$10)+AH$12/100*C22)*(1+$AH$14)+$AH$13,2)</f>
        <v>4069.4</v>
      </c>
      <c r="R22"/>
      <c r="S22" s="22">
        <f t="shared" si="4"/>
        <v>5.08675</v>
      </c>
      <c r="U22" s="21">
        <f>ROUND(AH$17+(AH$18*MAX(A21-AJ$18)+AH$20/100*C22)*(1+$AH$22)+$AH$21,2)</f>
        <v>4463.61</v>
      </c>
      <c r="W22" s="22">
        <f t="shared" si="5"/>
        <v>5.579512499999999</v>
      </c>
      <c r="Y22" s="14">
        <f t="shared" si="6"/>
        <v>394.2099999999996</v>
      </c>
      <c r="AA22" s="24">
        <f t="shared" si="7"/>
        <v>0.09687177470880215</v>
      </c>
      <c r="AF22" s="5" t="s">
        <v>22</v>
      </c>
      <c r="AG22" s="34">
        <v>0.03</v>
      </c>
      <c r="AH22" s="34">
        <v>0.03</v>
      </c>
    </row>
    <row r="23" spans="3:35" ht="12.75">
      <c r="C23" s="9">
        <v>120000</v>
      </c>
      <c r="E23" s="21">
        <f>ROUND(AG$9+(AG$10*MAX(A21-AJ$10)+AG$12/100*C23)*(1+$AG$14)+$AG$13,2)</f>
        <v>5644.76</v>
      </c>
      <c r="F23"/>
      <c r="G23" s="22">
        <f t="shared" si="0"/>
        <v>4.343466666666666</v>
      </c>
      <c r="I23" s="21">
        <f>ROUND(AG$17+(AG$18*MAX(A21-AJ$18)+AG$20/100*C23)*(1+$AG$22)+$AG$21,2)</f>
        <v>6182.39</v>
      </c>
      <c r="K23" s="22">
        <f t="shared" si="1"/>
        <v>5.151991666666667</v>
      </c>
      <c r="M23" s="14">
        <f t="shared" si="2"/>
        <v>537.6300000000001</v>
      </c>
      <c r="O23" s="24">
        <f t="shared" si="3"/>
        <v>0.0952440847795124</v>
      </c>
      <c r="Q23" s="21">
        <f>ROUND(AH$9+(AH$10*MAX(A21-AJ$10)+AH$12/100*C23)*(1+$AH$14)+$AH$13,2)</f>
        <v>5212.16</v>
      </c>
      <c r="R23"/>
      <c r="S23" s="22">
        <f t="shared" si="4"/>
        <v>4.343466666666666</v>
      </c>
      <c r="U23" s="21">
        <f>ROUND(AH$17+(AH$18*MAX(A21-AJ$18)+AH$20/100*C23)*(1+$AH$22)+$AH$21,2)</f>
        <v>5687.99</v>
      </c>
      <c r="W23" s="22">
        <f t="shared" si="5"/>
        <v>4.739991666666667</v>
      </c>
      <c r="Y23" s="14">
        <f t="shared" si="6"/>
        <v>475.8299999999999</v>
      </c>
      <c r="AA23" s="24">
        <f t="shared" si="7"/>
        <v>0.09129228573182702</v>
      </c>
      <c r="AI23" s="32"/>
    </row>
    <row r="24" spans="6:35" ht="12.75">
      <c r="F24"/>
      <c r="G24" s="22">
        <f t="shared" si="0"/>
      </c>
      <c r="K24" s="22">
        <f t="shared" si="1"/>
      </c>
      <c r="M24" s="14">
        <f t="shared" si="2"/>
      </c>
      <c r="O24" s="24">
        <f t="shared" si="3"/>
      </c>
      <c r="R24"/>
      <c r="S24" s="22">
        <f t="shared" si="4"/>
      </c>
      <c r="W24" s="22">
        <f t="shared" si="5"/>
      </c>
      <c r="Y24" s="14">
        <f t="shared" si="6"/>
      </c>
      <c r="AA24" s="24">
        <f t="shared" si="7"/>
      </c>
      <c r="AI24" s="32"/>
    </row>
    <row r="25" spans="1:35" ht="12.75">
      <c r="A25" s="9">
        <v>500</v>
      </c>
      <c r="C25" s="9">
        <v>100000</v>
      </c>
      <c r="E25" s="21">
        <f>ROUND(AG$9+(AG$10*MAX(A25-AJ$10)+AG$12/100*C25)*(1+$AG$14)+$AG$13,2)</f>
        <v>8367.32</v>
      </c>
      <c r="F25"/>
      <c r="G25" s="22">
        <f t="shared" si="0"/>
        <v>7.28582</v>
      </c>
      <c r="I25" s="21">
        <f>ROUND(AG$17+(AG$18*MAX(A25-AJ$18)+AG$20/100*C25)*(1+$AG$22)+$AG$21,2)</f>
        <v>9302.92</v>
      </c>
      <c r="K25" s="22">
        <f t="shared" si="1"/>
        <v>9.30292</v>
      </c>
      <c r="M25" s="14">
        <f t="shared" si="2"/>
        <v>935.6000000000004</v>
      </c>
      <c r="O25" s="24">
        <f t="shared" si="3"/>
        <v>0.11181596974897579</v>
      </c>
      <c r="Q25" s="21">
        <f>ROUND(AH$9+(AH$10*MAX(A25-AJ$10)+AH$12/100*C25)*(1+$AH$14)+$AH$13,2)</f>
        <v>7285.82</v>
      </c>
      <c r="R25"/>
      <c r="S25" s="22">
        <f t="shared" si="4"/>
        <v>7.28582</v>
      </c>
      <c r="U25" s="21">
        <f>ROUND(AH$17+(AH$18*MAX(A25-AJ$18)+AH$20/100*C25)*(1+$AH$22)+$AH$21,2)</f>
        <v>8066.92</v>
      </c>
      <c r="W25" s="22">
        <f t="shared" si="5"/>
        <v>8.06692</v>
      </c>
      <c r="Y25" s="14">
        <f t="shared" si="6"/>
        <v>781.1000000000004</v>
      </c>
      <c r="AA25" s="24">
        <f t="shared" si="7"/>
        <v>0.10720824835090625</v>
      </c>
      <c r="AI25" s="32"/>
    </row>
    <row r="26" spans="3:35" ht="12.75">
      <c r="C26" s="9">
        <v>200000</v>
      </c>
      <c r="E26" s="21">
        <f>ROUND(AG$9+(AG$10*MAX(A25-AJ$10)+AG$12/100*C26)*(1+$AG$14)+$AG$13,2)</f>
        <v>11224.23</v>
      </c>
      <c r="F26"/>
      <c r="G26" s="22">
        <f t="shared" si="0"/>
        <v>5.071365</v>
      </c>
      <c r="I26" s="21">
        <f>ROUND(AG$17+(AG$18*MAX(A25-AJ$18)+AG$20/100*C26)*(1+$AG$22)+$AG$21,2)</f>
        <v>12363.88</v>
      </c>
      <c r="K26" s="22">
        <f t="shared" si="1"/>
        <v>6.18194</v>
      </c>
      <c r="M26" s="14">
        <f t="shared" si="2"/>
        <v>1139.6499999999996</v>
      </c>
      <c r="O26" s="24">
        <f t="shared" si="3"/>
        <v>0.10153480461465958</v>
      </c>
      <c r="Q26" s="21">
        <f>ROUND(AH$9+(AH$10*MAX(A25-AJ$10)+AH$12/100*C26)*(1+$AH$14)+$AH$13,2)</f>
        <v>10142.73</v>
      </c>
      <c r="R26"/>
      <c r="S26" s="22">
        <f t="shared" si="4"/>
        <v>5.071365</v>
      </c>
      <c r="U26" s="21">
        <f>ROUND(AH$17+(AH$18*MAX(A25-AJ$18)+AH$20/100*C26)*(1+$AH$22)+$AH$21,2)</f>
        <v>11127.88</v>
      </c>
      <c r="W26" s="22">
        <f t="shared" si="5"/>
        <v>5.56394</v>
      </c>
      <c r="Y26" s="14">
        <f t="shared" si="6"/>
        <v>985.1499999999996</v>
      </c>
      <c r="AA26" s="24">
        <f t="shared" si="7"/>
        <v>0.09712868231728544</v>
      </c>
      <c r="AI26" s="32"/>
    </row>
    <row r="27" spans="3:27" ht="12.75">
      <c r="C27" s="9">
        <v>300000</v>
      </c>
      <c r="E27" s="21">
        <f>ROUND(AG$9+(AG$10*MAX(A25-AJ$10)+AG$12/100*C27)*(1+$AG$14)+$AG$13,2)</f>
        <v>14081.14</v>
      </c>
      <c r="F27"/>
      <c r="G27" s="22">
        <f t="shared" si="0"/>
        <v>4.333213333333333</v>
      </c>
      <c r="I27" s="21">
        <f>ROUND(AG$17+(AG$18*MAX(A25-AJ$18)+AG$20/100*C27)*(1+$AG$22)+$AG$21,2)</f>
        <v>15424.83</v>
      </c>
      <c r="K27" s="22">
        <f t="shared" si="1"/>
        <v>5.14161</v>
      </c>
      <c r="M27" s="14">
        <f t="shared" si="2"/>
        <v>1343.6900000000005</v>
      </c>
      <c r="O27" s="24">
        <f t="shared" si="3"/>
        <v>0.09542480225322669</v>
      </c>
      <c r="Q27" s="21">
        <f>ROUND(AH$9+(AH$10*MAX(A25-AJ$10)+AH$12/100*C27)*(1+$AH$14)+$AH$13,2)</f>
        <v>12999.64</v>
      </c>
      <c r="R27"/>
      <c r="S27" s="22">
        <f t="shared" si="4"/>
        <v>4.333213333333333</v>
      </c>
      <c r="U27" s="21">
        <f>ROUND(AH$17+(AH$18*MAX(A25-AJ$18)+AH$20/100*C27)*(1+$AH$22)+$AH$21,2)</f>
        <v>14188.83</v>
      </c>
      <c r="W27" s="22">
        <f t="shared" si="5"/>
        <v>4.72961</v>
      </c>
      <c r="Y27" s="14">
        <f t="shared" si="6"/>
        <v>1189.1900000000005</v>
      </c>
      <c r="AA27" s="24">
        <f t="shared" si="7"/>
        <v>0.0914786871021045</v>
      </c>
    </row>
    <row r="28" spans="6:27" ht="12.75">
      <c r="F28"/>
      <c r="G28" s="22">
        <f t="shared" si="0"/>
      </c>
      <c r="K28" s="22">
        <f t="shared" si="1"/>
      </c>
      <c r="M28" s="14">
        <f t="shared" si="2"/>
      </c>
      <c r="O28" s="24">
        <f t="shared" si="3"/>
      </c>
      <c r="R28"/>
      <c r="S28" s="22">
        <f t="shared" si="4"/>
      </c>
      <c r="W28" s="22">
        <f t="shared" si="5"/>
      </c>
      <c r="Y28" s="14">
        <f t="shared" si="6"/>
      </c>
      <c r="AA28" s="24">
        <f t="shared" si="7"/>
      </c>
    </row>
    <row r="29" spans="1:27" ht="12.75">
      <c r="A29" s="9">
        <v>1000</v>
      </c>
      <c r="C29" s="9">
        <v>200000</v>
      </c>
      <c r="E29" s="21">
        <f>ROUND(AG$9+(AG$10*MAX(A29-AJ$10)+AG$12/100*C29)*(1+$AG$14)+$AG$13,2)</f>
        <v>16714.13</v>
      </c>
      <c r="F29"/>
      <c r="G29" s="22">
        <f t="shared" si="0"/>
        <v>7.275564999999999</v>
      </c>
      <c r="I29" s="21">
        <f>ROUND(AG$17+(AG$18*MAX(A29-AJ$18)+AG$20/100*C29)*(1+$AG$22)+$AG$21,2)</f>
        <v>18585.08</v>
      </c>
      <c r="K29" s="22">
        <f t="shared" si="1"/>
        <v>9.29254</v>
      </c>
      <c r="M29" s="14">
        <f t="shared" si="2"/>
        <v>1870.9500000000007</v>
      </c>
      <c r="O29" s="24">
        <f t="shared" si="3"/>
        <v>0.11193822233044748</v>
      </c>
      <c r="Q29" s="21">
        <f>ROUND(AH$9+(AH$10*MAX(A29-AJ$10)+AH$12/100*C29)*(1+$AH$14)+$AH$13,2)</f>
        <v>14551.13</v>
      </c>
      <c r="R29"/>
      <c r="S29" s="22">
        <f t="shared" si="4"/>
        <v>7.275564999999999</v>
      </c>
      <c r="U29" s="21">
        <f>ROUND(AH$17+(AH$18*MAX(A29-AJ$18)+AH$20/100*C29)*(1+$AH$22)+$AH$21,2)</f>
        <v>16113.08</v>
      </c>
      <c r="W29" s="22">
        <f t="shared" si="5"/>
        <v>8.05654</v>
      </c>
      <c r="Y29" s="14">
        <f t="shared" si="6"/>
        <v>1561.9500000000007</v>
      </c>
      <c r="AA29" s="24">
        <f t="shared" si="7"/>
        <v>0.10734217892356135</v>
      </c>
    </row>
    <row r="30" spans="3:27" ht="12.75">
      <c r="C30" s="9">
        <v>400000</v>
      </c>
      <c r="E30" s="21">
        <f>ROUND(AG$9+(AG$10*MAX(A29-AJ$10)+AG$12/100*C30)*(1+$AG$14)+$AG$13,2)</f>
        <v>22427.95</v>
      </c>
      <c r="F30"/>
      <c r="G30" s="22">
        <f t="shared" si="0"/>
        <v>5.066237500000001</v>
      </c>
      <c r="I30" s="21">
        <f>ROUND(AG$17+(AG$18*MAX(A29-AJ$18)+AG$20/100*C30)*(1+$AG$22)+$AG$21,2)</f>
        <v>24706.99</v>
      </c>
      <c r="K30" s="22">
        <f t="shared" si="1"/>
        <v>6.1767475</v>
      </c>
      <c r="M30" s="14">
        <f t="shared" si="2"/>
        <v>2279.040000000001</v>
      </c>
      <c r="O30" s="24">
        <f t="shared" si="3"/>
        <v>0.10161606388457267</v>
      </c>
      <c r="Q30" s="21">
        <f>ROUND(AH$9+(AH$10*MAX(A29-AJ$10)+AH$12/100*C30)*(1+$AH$14)+$AH$13,2)</f>
        <v>20264.95</v>
      </c>
      <c r="R30"/>
      <c r="S30" s="22">
        <f t="shared" si="4"/>
        <v>5.066237500000001</v>
      </c>
      <c r="U30" s="21">
        <f>ROUND(AH$17+(AH$18*MAX(A29-AJ$18)+AH$20/100*C30)*(1+$AH$22)+$AH$21,2)</f>
        <v>22234.99</v>
      </c>
      <c r="W30" s="22">
        <f t="shared" si="5"/>
        <v>5.558747500000001</v>
      </c>
      <c r="Y30" s="14">
        <f t="shared" si="6"/>
        <v>1970.0400000000009</v>
      </c>
      <c r="AA30" s="24">
        <f t="shared" si="7"/>
        <v>0.09721415547534051</v>
      </c>
    </row>
    <row r="31" spans="3:27" ht="12.75">
      <c r="C31" s="9">
        <v>600000</v>
      </c>
      <c r="E31" s="21">
        <f>ROUND(AG$9+(AG$10*MAX(A29-AJ$10)+AG$12/100*C31)*(1+$AG$14)+$AG$13,2)</f>
        <v>28141.78</v>
      </c>
      <c r="F31"/>
      <c r="G31" s="22">
        <f t="shared" si="0"/>
        <v>4.329796666666667</v>
      </c>
      <c r="I31" s="21">
        <f>ROUND(AG$17+(AG$18*MAX(A29-AJ$18)+AG$20/100*C31)*(1+$AG$22)+$AG$21,2)</f>
        <v>30828.89</v>
      </c>
      <c r="K31" s="22">
        <f t="shared" si="1"/>
        <v>5.1381483333333335</v>
      </c>
      <c r="M31" s="14">
        <f t="shared" si="2"/>
        <v>2687.1100000000006</v>
      </c>
      <c r="O31" s="24">
        <f t="shared" si="3"/>
        <v>0.09548472058270652</v>
      </c>
      <c r="Q31" s="21">
        <f>ROUND(AH$9+(AH$10*MAX(A29-AJ$10)+AH$12/100*C31)*(1+$AH$14)+$AH$13,2)</f>
        <v>25978.78</v>
      </c>
      <c r="R31"/>
      <c r="S31" s="22">
        <f t="shared" si="4"/>
        <v>4.329796666666667</v>
      </c>
      <c r="U31" s="21">
        <f>ROUND(AH$17+(AH$18*MAX(A29-AJ$18)+AH$20/100*C31)*(1+$AH$22)+$AH$21,2)</f>
        <v>28356.89</v>
      </c>
      <c r="W31" s="22">
        <f t="shared" si="5"/>
        <v>4.726148333333334</v>
      </c>
      <c r="Y31" s="14">
        <f t="shared" si="6"/>
        <v>2378.1100000000006</v>
      </c>
      <c r="AA31" s="24">
        <f t="shared" si="7"/>
        <v>0.09154048034588236</v>
      </c>
    </row>
    <row r="32" spans="6:27" ht="12.75">
      <c r="F32"/>
      <c r="G32" s="22">
        <f t="shared" si="0"/>
      </c>
      <c r="K32" s="22">
        <f t="shared" si="1"/>
      </c>
      <c r="M32" s="14">
        <f t="shared" si="2"/>
      </c>
      <c r="O32" s="24">
        <f t="shared" si="3"/>
      </c>
      <c r="R32"/>
      <c r="S32" s="22">
        <f t="shared" si="4"/>
      </c>
      <c r="W32" s="22">
        <f t="shared" si="5"/>
      </c>
      <c r="Y32" s="14">
        <f t="shared" si="6"/>
      </c>
      <c r="AA32" s="24">
        <f t="shared" si="7"/>
      </c>
    </row>
    <row r="33" spans="1:27" ht="12.75">
      <c r="A33" s="9">
        <v>2000</v>
      </c>
      <c r="C33" s="9">
        <v>400000</v>
      </c>
      <c r="E33" s="21">
        <f>ROUND(AG$9+(AG$10*MAX(A33-AJ$10)+AG$12/100*C33)*(1+$AG$14)+$AG$13,2)</f>
        <v>33407.75</v>
      </c>
      <c r="F33"/>
      <c r="G33" s="22">
        <f t="shared" si="0"/>
        <v>7.2704375</v>
      </c>
      <c r="I33" s="21">
        <f>ROUND(AG$17+(AG$18*MAX(A33-AJ$18)+AG$20/100*C33)*(1+$AG$22)+$AG$21,2)</f>
        <v>37149.39</v>
      </c>
      <c r="K33" s="22">
        <f t="shared" si="1"/>
        <v>9.2873475</v>
      </c>
      <c r="M33" s="14">
        <f t="shared" si="2"/>
        <v>3741.6399999999994</v>
      </c>
      <c r="O33" s="24">
        <f t="shared" si="3"/>
        <v>0.11199916187112269</v>
      </c>
      <c r="Q33" s="21">
        <f>ROUND(AH$9+(AH$10*MAX(A33-AJ$10)+AH$12/100*C33)*(1+$AH$14)+$AH$13,2)</f>
        <v>29081.75</v>
      </c>
      <c r="R33"/>
      <c r="S33" s="22">
        <f t="shared" si="4"/>
        <v>7.2704375</v>
      </c>
      <c r="U33" s="21">
        <f>ROUND(AH$17+(AH$18*MAX(A33-AJ$18)+AH$20/100*C33)*(1+$AH$22)+$AH$21,2)</f>
        <v>32205.39</v>
      </c>
      <c r="W33" s="22">
        <f t="shared" si="5"/>
        <v>8.0513475</v>
      </c>
      <c r="Y33" s="14">
        <f t="shared" si="6"/>
        <v>3123.6399999999994</v>
      </c>
      <c r="AA33" s="24">
        <f t="shared" si="7"/>
        <v>0.10740894203409357</v>
      </c>
    </row>
    <row r="34" spans="3:34" ht="12.75">
      <c r="C34" s="9">
        <v>800000</v>
      </c>
      <c r="E34" s="21">
        <f>ROUND(AG$9+(AG$10*MAX(A33-AJ$10)+AG$12/100*C34)*(1+$AG$14)+$AG$13,2)</f>
        <v>44835.4</v>
      </c>
      <c r="F34"/>
      <c r="G34" s="22">
        <f t="shared" si="0"/>
        <v>5.063675</v>
      </c>
      <c r="I34" s="21">
        <f>ROUND(AG$17+(AG$18*MAX(A33-AJ$18)+AG$20/100*C34)*(1+$AG$22)+$AG$21,2)</f>
        <v>49393.2</v>
      </c>
      <c r="K34" s="22">
        <f t="shared" si="1"/>
        <v>6.17415</v>
      </c>
      <c r="M34" s="14">
        <f t="shared" si="2"/>
        <v>4557.799999999996</v>
      </c>
      <c r="O34" s="24">
        <f t="shared" si="3"/>
        <v>0.10165628052833253</v>
      </c>
      <c r="Q34" s="21">
        <f>ROUND(AH$9+(AH$10*MAX(A33-AJ$10)+AH$12/100*C34)*(1+$AH$14)+$AH$13,2)</f>
        <v>40509.4</v>
      </c>
      <c r="R34"/>
      <c r="S34" s="22">
        <f t="shared" si="4"/>
        <v>5.063675</v>
      </c>
      <c r="U34" s="21">
        <f>ROUND(AH$17+(AH$18*MAX(A33-AJ$18)+AH$20/100*C34)*(1+$AH$22)+$AH$21,2)</f>
        <v>44449.2</v>
      </c>
      <c r="W34" s="22">
        <f t="shared" si="5"/>
        <v>5.55615</v>
      </c>
      <c r="Y34" s="14">
        <f t="shared" si="6"/>
        <v>3939.7999999999956</v>
      </c>
      <c r="AA34" s="24">
        <f t="shared" si="7"/>
        <v>0.09725643924619964</v>
      </c>
      <c r="AG34"/>
      <c r="AH34"/>
    </row>
    <row r="35" spans="3:34" ht="12.75">
      <c r="C35" s="9">
        <v>1200000</v>
      </c>
      <c r="E35" s="21">
        <f>ROUND(AG$9+(AG$10*MAX(A33-AJ$10)+AG$12/100*C35)*(1+$AG$14)+$AG$13,2)</f>
        <v>56263.04</v>
      </c>
      <c r="F35"/>
      <c r="G35" s="22">
        <f t="shared" si="0"/>
        <v>4.328086666666667</v>
      </c>
      <c r="I35" s="21">
        <f>ROUND(AG$17+(AG$18*MAX(A33-AJ$18)+AG$20/100*C35)*(1+$AG$22)+$AG$21,2)</f>
        <v>61637.02</v>
      </c>
      <c r="K35" s="22">
        <f t="shared" si="1"/>
        <v>5.136418333333333</v>
      </c>
      <c r="M35" s="14">
        <f t="shared" si="2"/>
        <v>5373.979999999996</v>
      </c>
      <c r="O35" s="24">
        <f t="shared" si="3"/>
        <v>0.0955152796578358</v>
      </c>
      <c r="Q35" s="21">
        <f>ROUND(AH$9+(AH$10*MAX(A33-AJ$10)+AH$12/100*C35)*(1+$AH$14)+$AH$13,2)</f>
        <v>51937.04</v>
      </c>
      <c r="R35"/>
      <c r="S35" s="22">
        <f t="shared" si="4"/>
        <v>4.328086666666667</v>
      </c>
      <c r="U35" s="21">
        <f>ROUND(AH$17+(AH$18*MAX(A33-AJ$18)+AH$20/100*C35)*(1+$AH$22)+$AH$21,2)</f>
        <v>56693.02</v>
      </c>
      <c r="W35" s="22">
        <f t="shared" si="5"/>
        <v>4.7244183333333325</v>
      </c>
      <c r="Y35" s="14">
        <f t="shared" si="6"/>
        <v>4755.979999999996</v>
      </c>
      <c r="AA35" s="24">
        <f t="shared" si="7"/>
        <v>0.09157202643816431</v>
      </c>
      <c r="AG35"/>
      <c r="AH35"/>
    </row>
    <row r="36" spans="6:34" ht="12.75">
      <c r="F36"/>
      <c r="G36" s="22">
        <f t="shared" si="0"/>
      </c>
      <c r="K36" s="22">
        <f t="shared" si="1"/>
      </c>
      <c r="M36" s="14">
        <f t="shared" si="2"/>
      </c>
      <c r="O36" s="24">
        <f t="shared" si="3"/>
      </c>
      <c r="R36"/>
      <c r="S36" s="22">
        <f t="shared" si="4"/>
      </c>
      <c r="W36" s="22">
        <f t="shared" si="5"/>
      </c>
      <c r="Y36" s="14">
        <f t="shared" si="6"/>
      </c>
      <c r="AA36" s="24">
        <f t="shared" si="7"/>
      </c>
      <c r="AG36"/>
      <c r="AH36"/>
    </row>
    <row r="37" spans="1:34" ht="12.75">
      <c r="A37" s="9">
        <v>4000</v>
      </c>
      <c r="C37" s="9">
        <v>800000</v>
      </c>
      <c r="E37" s="21">
        <f>ROUND(AG$9+(AG$10*MAX(A37-AJ$10)+AG$12/100*C37)*(1+$AG$14)+$AG$13,2)</f>
        <v>66795</v>
      </c>
      <c r="F37"/>
      <c r="G37" s="22">
        <f t="shared" si="0"/>
        <v>7.267875</v>
      </c>
      <c r="I37" s="21">
        <f>ROUND(AG$17+(AG$18*MAX(A37-AJ$18)+AG$20/100*C37)*(1+$AG$22)+$AG$21,2)</f>
        <v>74278</v>
      </c>
      <c r="K37" s="22">
        <f t="shared" si="1"/>
        <v>9.28475</v>
      </c>
      <c r="M37" s="14">
        <f t="shared" si="2"/>
        <v>7483</v>
      </c>
      <c r="O37" s="24">
        <f t="shared" si="3"/>
        <v>0.11202934351373606</v>
      </c>
      <c r="Q37" s="21">
        <f>ROUND(AH$9+(AH$10*MAX(A37-AJ$10)+AH$12/100*C37)*(1+$AH$14)+$AH$13,2)</f>
        <v>58143</v>
      </c>
      <c r="R37"/>
      <c r="S37" s="22">
        <f t="shared" si="4"/>
        <v>7.267875</v>
      </c>
      <c r="U37" s="21">
        <f>ROUND(AH$17+(AH$18*MAX(A37-AJ$18)+AH$20/100*C37)*(1+$AH$22)+$AH$21,2)</f>
        <v>64390</v>
      </c>
      <c r="W37" s="22">
        <f t="shared" si="5"/>
        <v>8.04875</v>
      </c>
      <c r="Y37" s="14">
        <f t="shared" si="6"/>
        <v>6247</v>
      </c>
      <c r="AA37" s="24">
        <f t="shared" si="7"/>
        <v>0.10744199645701125</v>
      </c>
      <c r="AG37"/>
      <c r="AH37"/>
    </row>
    <row r="38" spans="3:34" ht="12.75">
      <c r="C38" s="9">
        <v>1600000</v>
      </c>
      <c r="E38" s="21">
        <f>ROUND(AG$9+(AG$10*MAX(A37-AJ$10)+AG$12/100*C38)*(1+$AG$14)+$AG$13,2)</f>
        <v>89650.29</v>
      </c>
      <c r="F38"/>
      <c r="G38" s="22">
        <f t="shared" si="0"/>
        <v>5.062393125</v>
      </c>
      <c r="I38" s="21">
        <f>ROUND(AG$17+(AG$18*MAX(A37-AJ$18)+AG$20/100*C38)*(1+$AG$22)+$AG$21,2)</f>
        <v>98765.63</v>
      </c>
      <c r="K38" s="22">
        <f t="shared" si="1"/>
        <v>6.172851875</v>
      </c>
      <c r="M38" s="14">
        <f t="shared" si="2"/>
        <v>9115.340000000011</v>
      </c>
      <c r="O38" s="24">
        <f t="shared" si="3"/>
        <v>0.10167663707501684</v>
      </c>
      <c r="Q38" s="21">
        <f>ROUND(AH$9+(AH$10*MAX(A37-AJ$10)+AH$12/100*C38)*(1+$AH$14)+$AH$13,2)</f>
        <v>80998.29</v>
      </c>
      <c r="R38"/>
      <c r="S38" s="22">
        <f t="shared" si="4"/>
        <v>5.062393125</v>
      </c>
      <c r="U38" s="21">
        <f>ROUND(AH$17+(AH$18*MAX(A37-AJ$18)+AH$20/100*C38)*(1+$AH$22)+$AH$21,2)</f>
        <v>88877.63</v>
      </c>
      <c r="W38" s="22">
        <f t="shared" si="5"/>
        <v>5.554851875000001</v>
      </c>
      <c r="Y38" s="14">
        <f t="shared" si="6"/>
        <v>7879.340000000011</v>
      </c>
      <c r="AA38" s="24">
        <f t="shared" si="7"/>
        <v>0.09727785611276496</v>
      </c>
      <c r="AG38"/>
      <c r="AH38"/>
    </row>
    <row r="39" spans="3:34" ht="12.75">
      <c r="C39" s="9">
        <v>2400000</v>
      </c>
      <c r="E39" s="21">
        <f>ROUND(AG$9+(AG$10*MAX(A37-AJ$10)+AG$12/100*C39)*(1+$AG$14)+$AG$13,2)</f>
        <v>112505.57</v>
      </c>
      <c r="F39"/>
      <c r="G39" s="22">
        <f t="shared" si="0"/>
        <v>4.3272320833333335</v>
      </c>
      <c r="I39" s="21">
        <f>ROUND(AG$17+(AG$18*MAX(A37-AJ$18)+AG$20/100*C39)*(1+$AG$22)+$AG$21,2)</f>
        <v>123253.27</v>
      </c>
      <c r="K39" s="22">
        <f t="shared" si="1"/>
        <v>5.135552916666667</v>
      </c>
      <c r="M39" s="14">
        <f t="shared" si="2"/>
        <v>10747.699999999997</v>
      </c>
      <c r="O39" s="24">
        <f t="shared" si="3"/>
        <v>0.09553038129578817</v>
      </c>
      <c r="Q39" s="21">
        <f>ROUND(AH$9+(AH$10*MAX(A37-AJ$10)+AH$12/100*C39)*(1+$AH$14)+$AH$13,2)</f>
        <v>103853.57</v>
      </c>
      <c r="R39"/>
      <c r="S39" s="22">
        <f t="shared" si="4"/>
        <v>4.3272320833333335</v>
      </c>
      <c r="U39" s="21">
        <f>ROUND(AH$17+(AH$18*MAX(A37-AJ$18)+AH$20/100*C39)*(1+$AH$22)+$AH$21,2)</f>
        <v>113365.27</v>
      </c>
      <c r="W39" s="22">
        <f t="shared" si="5"/>
        <v>4.723552916666667</v>
      </c>
      <c r="Y39" s="14">
        <f t="shared" si="6"/>
        <v>9511.699999999997</v>
      </c>
      <c r="AA39" s="24">
        <f t="shared" si="7"/>
        <v>0.09158760743612371</v>
      </c>
      <c r="AG39"/>
      <c r="AH39"/>
    </row>
    <row r="41" ht="15.75">
      <c r="A41" s="27" t="s">
        <v>48</v>
      </c>
    </row>
  </sheetData>
  <mergeCells count="2">
    <mergeCell ref="Y7:AA7"/>
    <mergeCell ref="M7:O7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Footer>&amp;CBill Comparison Exhibit
(WRG-3)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SheetLayoutView="75" workbookViewId="0" topLeftCell="A1">
      <selection activeCell="K16" sqref="K16"/>
    </sheetView>
  </sheetViews>
  <sheetFormatPr defaultColWidth="9.140625" defaultRowHeight="12.75"/>
  <cols>
    <col min="1" max="1" width="9.140625" style="9" customWidth="1"/>
    <col min="2" max="2" width="5.28125" style="9" customWidth="1"/>
    <col min="3" max="3" width="10.8515625" style="9" bestFit="1" customWidth="1"/>
    <col min="4" max="4" width="7.140625" style="5" customWidth="1"/>
    <col min="5" max="5" width="11.140625" style="9" bestFit="1" customWidth="1"/>
    <col min="6" max="6" width="7.140625" style="5" customWidth="1"/>
    <col min="7" max="7" width="12.140625" style="21" customWidth="1"/>
    <col min="8" max="8" width="9.57421875" style="21" hidden="1" customWidth="1"/>
    <col min="9" max="9" width="10.421875" style="21" hidden="1" customWidth="1"/>
    <col min="10" max="10" width="9.140625" style="5" customWidth="1"/>
    <col min="11" max="11" width="11.57421875" style="21" customWidth="1"/>
    <col min="12" max="12" width="7.57421875" style="21" hidden="1" customWidth="1"/>
    <col min="13" max="13" width="10.421875" style="21" hidden="1" customWidth="1"/>
    <col min="14" max="14" width="9.140625" style="5" customWidth="1"/>
    <col min="15" max="15" width="10.8515625" style="5" customWidth="1"/>
    <col min="16" max="17" width="9.140625" style="5" customWidth="1"/>
    <col min="18" max="18" width="7.140625" style="5" customWidth="1"/>
    <col min="19" max="19" width="12.140625" style="21" customWidth="1"/>
    <col min="20" max="20" width="9.57421875" style="21" hidden="1" customWidth="1"/>
    <col min="21" max="21" width="10.421875" style="21" hidden="1" customWidth="1"/>
    <col min="22" max="22" width="9.140625" style="5" customWidth="1"/>
    <col min="23" max="23" width="11.57421875" style="21" customWidth="1"/>
    <col min="24" max="24" width="7.57421875" style="21" hidden="1" customWidth="1"/>
    <col min="25" max="25" width="10.421875" style="21" hidden="1" customWidth="1"/>
    <col min="26" max="26" width="9.140625" style="5" customWidth="1"/>
    <col min="27" max="27" width="10.8515625" style="5" bestFit="1" customWidth="1"/>
    <col min="28" max="16384" width="9.140625" style="5" customWidth="1"/>
  </cols>
  <sheetData>
    <row r="1" spans="1:29" ht="16.5">
      <c r="A1" s="1" t="s">
        <v>0</v>
      </c>
      <c r="B1" s="1"/>
      <c r="C1" s="1"/>
      <c r="D1" s="2"/>
      <c r="E1" s="1"/>
      <c r="F1" s="2"/>
      <c r="G1" s="3"/>
      <c r="H1" s="3"/>
      <c r="I1" s="3"/>
      <c r="J1" s="2"/>
      <c r="K1" s="3"/>
      <c r="L1" s="3"/>
      <c r="M1" s="3"/>
      <c r="N1" s="2"/>
      <c r="O1" s="2"/>
      <c r="P1" s="2"/>
      <c r="Q1" s="2"/>
      <c r="R1" s="2"/>
      <c r="S1" s="3"/>
      <c r="T1" s="3"/>
      <c r="U1" s="3"/>
      <c r="V1" s="2"/>
      <c r="W1" s="3"/>
      <c r="X1" s="3"/>
      <c r="Y1" s="3"/>
      <c r="Z1" s="2"/>
      <c r="AA1" s="2"/>
      <c r="AB1" s="2"/>
      <c r="AC1" s="2"/>
    </row>
    <row r="2" spans="1:29" ht="16.5">
      <c r="A2" s="1" t="s">
        <v>1</v>
      </c>
      <c r="B2" s="1"/>
      <c r="C2" s="1"/>
      <c r="D2" s="2"/>
      <c r="E2" s="1"/>
      <c r="F2" s="2"/>
      <c r="G2" s="3"/>
      <c r="H2" s="3"/>
      <c r="I2" s="3"/>
      <c r="J2" s="2"/>
      <c r="K2" s="3"/>
      <c r="L2" s="3"/>
      <c r="M2" s="3"/>
      <c r="N2" s="2"/>
      <c r="O2" s="2"/>
      <c r="P2" s="2"/>
      <c r="Q2" s="2"/>
      <c r="R2" s="2"/>
      <c r="S2" s="3"/>
      <c r="T2" s="3"/>
      <c r="U2" s="3"/>
      <c r="V2" s="2"/>
      <c r="W2" s="3"/>
      <c r="X2" s="3"/>
      <c r="Y2" s="3"/>
      <c r="Z2" s="2"/>
      <c r="AA2" s="2"/>
      <c r="AB2" s="2"/>
      <c r="AC2" s="2"/>
    </row>
    <row r="3" spans="1:29" ht="16.5">
      <c r="A3" s="1" t="s">
        <v>55</v>
      </c>
      <c r="B3" s="1"/>
      <c r="C3" s="1"/>
      <c r="D3" s="2"/>
      <c r="E3" s="1"/>
      <c r="F3" s="2"/>
      <c r="G3" s="3"/>
      <c r="H3" s="3"/>
      <c r="I3" s="3"/>
      <c r="J3" s="2"/>
      <c r="K3" s="3"/>
      <c r="L3" s="3"/>
      <c r="M3" s="3"/>
      <c r="N3" s="2"/>
      <c r="O3" s="2"/>
      <c r="P3" s="2"/>
      <c r="Q3" s="2"/>
      <c r="R3" s="2"/>
      <c r="S3" s="3"/>
      <c r="T3" s="3"/>
      <c r="U3" s="3"/>
      <c r="V3" s="2"/>
      <c r="W3" s="3"/>
      <c r="X3" s="3"/>
      <c r="Y3" s="3"/>
      <c r="Z3" s="2"/>
      <c r="AA3" s="2"/>
      <c r="AB3" s="2"/>
      <c r="AC3" s="2"/>
    </row>
    <row r="4" spans="1:29" ht="16.5">
      <c r="A4" s="1" t="s">
        <v>56</v>
      </c>
      <c r="B4" s="1"/>
      <c r="C4" s="1"/>
      <c r="D4" s="2"/>
      <c r="E4" s="1"/>
      <c r="F4" s="2"/>
      <c r="G4" s="3"/>
      <c r="H4" s="3"/>
      <c r="I4" s="3"/>
      <c r="J4" s="2"/>
      <c r="K4" s="3"/>
      <c r="L4" s="3"/>
      <c r="M4" s="3"/>
      <c r="N4" s="2"/>
      <c r="O4" s="2"/>
      <c r="P4" s="2"/>
      <c r="Q4" s="2"/>
      <c r="R4" s="2"/>
      <c r="S4" s="3"/>
      <c r="T4" s="3"/>
      <c r="U4" s="3"/>
      <c r="V4" s="2"/>
      <c r="W4" s="3"/>
      <c r="X4" s="3"/>
      <c r="Y4" s="3"/>
      <c r="Z4" s="2"/>
      <c r="AA4" s="2"/>
      <c r="AB4" s="2"/>
      <c r="AC4" s="2"/>
    </row>
    <row r="5" spans="1:28" ht="12.75">
      <c r="A5" s="6"/>
      <c r="B5" s="6"/>
      <c r="C5" s="6"/>
      <c r="D5" s="2"/>
      <c r="E5" s="6"/>
      <c r="F5" s="2"/>
      <c r="G5" s="3"/>
      <c r="H5" s="3"/>
      <c r="I5" s="3"/>
      <c r="J5" s="2"/>
      <c r="K5" s="3"/>
      <c r="L5" s="3"/>
      <c r="M5" s="3"/>
      <c r="N5" s="2"/>
      <c r="P5" s="2"/>
      <c r="R5" s="2"/>
      <c r="S5" s="3"/>
      <c r="T5" s="3"/>
      <c r="U5" s="3"/>
      <c r="V5" s="2"/>
      <c r="W5" s="3"/>
      <c r="X5" s="3"/>
      <c r="Y5" s="3"/>
      <c r="Z5" s="2"/>
      <c r="AB5" s="2"/>
    </row>
    <row r="6" spans="1:36" ht="12.75">
      <c r="A6" s="6"/>
      <c r="B6" s="6"/>
      <c r="C6" s="6"/>
      <c r="D6" s="2"/>
      <c r="E6" s="6"/>
      <c r="F6" s="2"/>
      <c r="G6" s="7" t="s">
        <v>4</v>
      </c>
      <c r="H6" s="3"/>
      <c r="I6" s="3"/>
      <c r="J6" s="2"/>
      <c r="K6" s="3"/>
      <c r="L6" s="3"/>
      <c r="M6" s="3"/>
      <c r="N6" s="2"/>
      <c r="O6" s="2"/>
      <c r="P6" s="2"/>
      <c r="Q6" s="2"/>
      <c r="R6" s="2"/>
      <c r="S6" s="7" t="s">
        <v>5</v>
      </c>
      <c r="T6" s="3"/>
      <c r="U6" s="3"/>
      <c r="V6" s="2"/>
      <c r="W6" s="3"/>
      <c r="X6" s="3"/>
      <c r="Y6" s="3"/>
      <c r="Z6" s="2"/>
      <c r="AA6" s="2"/>
      <c r="AB6" s="2"/>
      <c r="AC6" s="2"/>
      <c r="AI6" s="5" t="s">
        <v>4</v>
      </c>
      <c r="AJ6" s="5" t="s">
        <v>5</v>
      </c>
    </row>
    <row r="7" spans="7:34" ht="15.75">
      <c r="G7" s="10" t="s">
        <v>47</v>
      </c>
      <c r="H7" s="10"/>
      <c r="I7" s="10"/>
      <c r="J7" s="11"/>
      <c r="K7" s="10"/>
      <c r="L7" s="10"/>
      <c r="M7" s="10"/>
      <c r="O7" s="41" t="s">
        <v>6</v>
      </c>
      <c r="P7" s="41"/>
      <c r="Q7" s="41"/>
      <c r="S7" s="10" t="s">
        <v>47</v>
      </c>
      <c r="T7" s="10"/>
      <c r="U7" s="10"/>
      <c r="V7" s="11"/>
      <c r="W7" s="10"/>
      <c r="X7" s="10"/>
      <c r="Y7" s="10"/>
      <c r="AA7" s="41" t="s">
        <v>6</v>
      </c>
      <c r="AB7" s="41"/>
      <c r="AC7" s="41"/>
      <c r="AH7" s="31" t="s">
        <v>37</v>
      </c>
    </row>
    <row r="8" spans="7:28" ht="12.75">
      <c r="G8"/>
      <c r="H8"/>
      <c r="I8"/>
      <c r="J8"/>
      <c r="K8"/>
      <c r="L8"/>
      <c r="M8"/>
      <c r="N8" s="13"/>
      <c r="P8" s="13"/>
      <c r="S8"/>
      <c r="T8"/>
      <c r="U8"/>
      <c r="V8"/>
      <c r="W8"/>
      <c r="X8"/>
      <c r="Y8"/>
      <c r="Z8" s="13"/>
      <c r="AB8" s="13"/>
    </row>
    <row r="9" spans="1:41" ht="12.75">
      <c r="A9" s="28" t="s">
        <v>25</v>
      </c>
      <c r="E9" s="28" t="s">
        <v>50</v>
      </c>
      <c r="G9" s="12" t="s">
        <v>37</v>
      </c>
      <c r="H9" s="12"/>
      <c r="I9" s="12"/>
      <c r="K9" s="12" t="s">
        <v>54</v>
      </c>
      <c r="L9" s="12"/>
      <c r="M9" s="12"/>
      <c r="O9" s="16" t="s">
        <v>9</v>
      </c>
      <c r="Q9" s="16" t="s">
        <v>10</v>
      </c>
      <c r="S9" s="12" t="s">
        <v>37</v>
      </c>
      <c r="T9" s="12"/>
      <c r="U9" s="12"/>
      <c r="W9" s="12" t="s">
        <v>54</v>
      </c>
      <c r="X9" s="12"/>
      <c r="Y9" s="12"/>
      <c r="AA9" s="16" t="s">
        <v>9</v>
      </c>
      <c r="AC9" s="16" t="s">
        <v>10</v>
      </c>
      <c r="AF9"/>
      <c r="AG9" s="14"/>
      <c r="AH9" s="5" t="s">
        <v>31</v>
      </c>
      <c r="AI9" s="14">
        <v>14.74</v>
      </c>
      <c r="AJ9" s="14">
        <v>14.74</v>
      </c>
      <c r="AN9" s="14"/>
      <c r="AO9" s="14"/>
    </row>
    <row r="10" spans="1:41" ht="15.75">
      <c r="A10" s="20" t="s">
        <v>49</v>
      </c>
      <c r="B10" s="17"/>
      <c r="C10" s="29" t="s">
        <v>11</v>
      </c>
      <c r="E10" s="29" t="s">
        <v>59</v>
      </c>
      <c r="G10" s="18" t="s">
        <v>12</v>
      </c>
      <c r="H10" s="18"/>
      <c r="I10" s="18" t="s">
        <v>13</v>
      </c>
      <c r="K10" s="18" t="s">
        <v>12</v>
      </c>
      <c r="L10" s="18"/>
      <c r="M10" s="18" t="s">
        <v>13</v>
      </c>
      <c r="O10" s="20" t="s">
        <v>14</v>
      </c>
      <c r="Q10" s="20" t="s">
        <v>14</v>
      </c>
      <c r="S10" s="18" t="s">
        <v>12</v>
      </c>
      <c r="T10" s="18"/>
      <c r="U10" s="18" t="s">
        <v>13</v>
      </c>
      <c r="W10" s="18" t="s">
        <v>12</v>
      </c>
      <c r="X10" s="18"/>
      <c r="Y10" s="18" t="s">
        <v>13</v>
      </c>
      <c r="AA10" s="20" t="s">
        <v>14</v>
      </c>
      <c r="AC10" s="20" t="s">
        <v>14</v>
      </c>
      <c r="AF10"/>
      <c r="AG10" s="14"/>
      <c r="AH10" s="5" t="s">
        <v>32</v>
      </c>
      <c r="AI10" s="14">
        <v>10.66</v>
      </c>
      <c r="AJ10" s="14">
        <v>8.56</v>
      </c>
      <c r="AK10" s="5" t="s">
        <v>41</v>
      </c>
      <c r="AL10" s="32">
        <v>0</v>
      </c>
      <c r="AM10" s="5" t="s">
        <v>25</v>
      </c>
      <c r="AN10" s="14"/>
      <c r="AO10" s="14"/>
    </row>
    <row r="11" spans="1:39" ht="12.75">
      <c r="A11"/>
      <c r="B11"/>
      <c r="C11"/>
      <c r="E11"/>
      <c r="K11"/>
      <c r="L11"/>
      <c r="M11"/>
      <c r="W11"/>
      <c r="X11"/>
      <c r="Y11"/>
      <c r="AF11"/>
      <c r="AG11" s="14"/>
      <c r="AH11" s="5" t="s">
        <v>33</v>
      </c>
      <c r="AI11" s="14">
        <v>-0.54</v>
      </c>
      <c r="AJ11" s="14">
        <v>-0.54</v>
      </c>
      <c r="AK11" s="5" t="s">
        <v>41</v>
      </c>
      <c r="AL11" s="32">
        <v>0</v>
      </c>
      <c r="AM11" s="5" t="s">
        <v>25</v>
      </c>
    </row>
    <row r="12" spans="32:39" ht="12.75">
      <c r="AF12"/>
      <c r="AH12" s="5" t="s">
        <v>40</v>
      </c>
      <c r="AI12" s="5">
        <v>2.7737</v>
      </c>
      <c r="AJ12" s="5">
        <v>2.7737</v>
      </c>
      <c r="AK12" s="5" t="s">
        <v>41</v>
      </c>
      <c r="AL12" s="32">
        <v>0</v>
      </c>
      <c r="AM12" s="5" t="s">
        <v>11</v>
      </c>
    </row>
    <row r="13" spans="1:36" ht="12.75">
      <c r="A13" s="9">
        <v>1000</v>
      </c>
      <c r="C13" s="9">
        <f>A13*0.5*730</f>
        <v>365000</v>
      </c>
      <c r="E13" s="40">
        <v>0.6</v>
      </c>
      <c r="G13" s="21">
        <f>ROUND($AI$9+((($AI$10+$AI$11)*$A13)+($AI$12/100*C13))*(1+$AI$14)+$AI$13,2)</f>
        <v>20871.84</v>
      </c>
      <c r="H13" s="33"/>
      <c r="I13" s="22">
        <f aca="true" t="shared" si="0" ref="I13:I51">IF(G13="","",G13/$C13*100)</f>
        <v>5.718312328767124</v>
      </c>
      <c r="K13" s="21">
        <f>ROUND(AI$17+(($AI$18+$AI$19+$AI$20)*A13+(AI$21*E13+AI$22*(1-E13))/100*C13)*(1+$AI$24)+$AI$23,2)</f>
        <v>24450.43</v>
      </c>
      <c r="M13" s="22">
        <f aca="true" t="shared" si="1" ref="M13:M51">IF(K13="","",K13/$C13*100)</f>
        <v>6.69874794520548</v>
      </c>
      <c r="O13" s="14">
        <f aca="true" t="shared" si="2" ref="O13:O44">IF(K13="","",K13-G13)</f>
        <v>3578.59</v>
      </c>
      <c r="Q13" s="37">
        <f aca="true" t="shared" si="3" ref="Q13:Q51">IF(M13="","",K13/G13-1)</f>
        <v>0.17145541552637433</v>
      </c>
      <c r="S13" s="21">
        <f aca="true" t="shared" si="4" ref="S13:S21">ROUND($AJ$9+((($AJ$10+$AJ$11)*$A13)+($AJ$12/100*C13))*(1+$AJ$14)+$AJ$13,2)</f>
        <v>18708.84</v>
      </c>
      <c r="T13" s="33"/>
      <c r="U13" s="22">
        <f aca="true" t="shared" si="5" ref="U13:U51">IF(S13="","",S13/$C13*100)</f>
        <v>5.125709589041096</v>
      </c>
      <c r="W13" s="21">
        <f aca="true" t="shared" si="6" ref="W13:W61">ROUND(AJ$17+(($AJ$18+$AJ$19+$AJ$20)*A13+(AJ$21*E13+AJ$22*(1-E13))/100*C13)*(1+$AJ$24)+$AJ$23,2)</f>
        <v>20141.94</v>
      </c>
      <c r="Y13" s="22">
        <f aca="true" t="shared" si="7" ref="Y13:Y51">IF(W13="","",W13/$C13*100)</f>
        <v>5.518339726027397</v>
      </c>
      <c r="AA13" s="14">
        <f aca="true" t="shared" si="8" ref="AA13:AA44">IF(W13="","",W13-S13)</f>
        <v>1433.0999999999985</v>
      </c>
      <c r="AC13" s="37">
        <f aca="true" t="shared" si="9" ref="AC13:AC51">IF(Y13="","",W13/S13-1)</f>
        <v>0.07660015265510833</v>
      </c>
      <c r="AE13" s="37"/>
      <c r="AF13"/>
      <c r="AG13"/>
      <c r="AH13" s="5" t="s">
        <v>21</v>
      </c>
      <c r="AI13" s="14">
        <v>5.77</v>
      </c>
      <c r="AJ13" s="14">
        <v>5.77</v>
      </c>
    </row>
    <row r="14" spans="1:36" ht="12.75">
      <c r="A14" s="39">
        <f>A13</f>
        <v>1000</v>
      </c>
      <c r="C14" s="39">
        <f>C13</f>
        <v>365000</v>
      </c>
      <c r="E14" s="40">
        <v>0.5</v>
      </c>
      <c r="G14" s="21">
        <f>ROUND($AI$9+((($AI$10+$AI$11)*$A14)+($AI$12/100*C14))*(1+$AI$14)+$AI$13,2)</f>
        <v>20871.84</v>
      </c>
      <c r="H14" s="33"/>
      <c r="I14" s="22">
        <f t="shared" si="0"/>
        <v>5.718312328767124</v>
      </c>
      <c r="K14" s="21">
        <f aca="true" t="shared" si="10" ref="K14:K21">ROUND(AI$17+(($AI$18+$AI$19+$AI$20)*A14+(AI$21*E14+AI$22*(1-E14))/100*C14)*(1+$AI$24)+$AI$23,2)</f>
        <v>24074.48</v>
      </c>
      <c r="M14" s="22">
        <f t="shared" si="1"/>
        <v>6.5957479452054795</v>
      </c>
      <c r="O14" s="14">
        <f t="shared" si="2"/>
        <v>3202.6399999999994</v>
      </c>
      <c r="Q14" s="37">
        <f t="shared" si="3"/>
        <v>0.15344310803455752</v>
      </c>
      <c r="S14" s="21">
        <f t="shared" si="4"/>
        <v>18708.84</v>
      </c>
      <c r="T14" s="33"/>
      <c r="U14" s="22">
        <f t="shared" si="5"/>
        <v>5.125709589041096</v>
      </c>
      <c r="W14" s="21">
        <f t="shared" si="6"/>
        <v>20029.15</v>
      </c>
      <c r="Y14" s="22">
        <f t="shared" si="7"/>
        <v>5.487438356164384</v>
      </c>
      <c r="AA14" s="14">
        <f t="shared" si="8"/>
        <v>1320.3100000000013</v>
      </c>
      <c r="AC14" s="37">
        <f t="shared" si="9"/>
        <v>0.07057145178429036</v>
      </c>
      <c r="AE14" s="37"/>
      <c r="AF14"/>
      <c r="AG14"/>
      <c r="AH14" s="5" t="s">
        <v>22</v>
      </c>
      <c r="AI14" s="34">
        <v>0.03</v>
      </c>
      <c r="AJ14" s="34">
        <v>0.03</v>
      </c>
    </row>
    <row r="15" spans="1:33" ht="12.75">
      <c r="A15" s="39">
        <f>A14</f>
        <v>1000</v>
      </c>
      <c r="C15" s="39">
        <f>C14</f>
        <v>365000</v>
      </c>
      <c r="E15" s="40">
        <v>0.4</v>
      </c>
      <c r="G15" s="21">
        <f>ROUND($AI$9+((($AI$10+$AI$11)*$A15)+($AI$12/100*C15))*(1+$AI$14)+$AI$13,2)</f>
        <v>20871.84</v>
      </c>
      <c r="H15" s="33"/>
      <c r="I15" s="22">
        <f t="shared" si="0"/>
        <v>5.718312328767124</v>
      </c>
      <c r="K15" s="21">
        <f t="shared" si="10"/>
        <v>23698.53</v>
      </c>
      <c r="M15" s="22">
        <f t="shared" si="1"/>
        <v>6.49274794520548</v>
      </c>
      <c r="O15" s="14">
        <f t="shared" si="2"/>
        <v>2826.6899999999987</v>
      </c>
      <c r="Q15" s="37">
        <f t="shared" si="3"/>
        <v>0.1354308005427407</v>
      </c>
      <c r="S15" s="21">
        <f t="shared" si="4"/>
        <v>18708.84</v>
      </c>
      <c r="T15" s="33"/>
      <c r="U15" s="22">
        <f t="shared" si="5"/>
        <v>5.125709589041096</v>
      </c>
      <c r="W15" s="21">
        <f t="shared" si="6"/>
        <v>19916.37</v>
      </c>
      <c r="Y15" s="22">
        <f t="shared" si="7"/>
        <v>5.456539726027397</v>
      </c>
      <c r="AA15" s="14">
        <f t="shared" si="8"/>
        <v>1207.5299999999988</v>
      </c>
      <c r="AC15" s="37">
        <f t="shared" si="9"/>
        <v>0.0645432854201542</v>
      </c>
      <c r="AE15" s="37"/>
      <c r="AF15"/>
      <c r="AG15"/>
    </row>
    <row r="16" spans="1:34" ht="12.75">
      <c r="A16" s="39">
        <f>A15</f>
        <v>1000</v>
      </c>
      <c r="C16" s="9">
        <f>A13*0.7*730</f>
        <v>511000</v>
      </c>
      <c r="E16" s="40">
        <f aca="true" t="shared" si="11" ref="E16:E21">E13</f>
        <v>0.6</v>
      </c>
      <c r="G16" s="21">
        <f>ROUND($AI$9+((($AI$10+$AI$11)*$A13)+($AI$12/100*C16))*(1+$AI$14)+$AI$13,2)</f>
        <v>25042.93</v>
      </c>
      <c r="H16" s="33"/>
      <c r="I16" s="22">
        <f t="shared" si="0"/>
        <v>4.900769080234834</v>
      </c>
      <c r="K16" s="21">
        <f t="shared" si="10"/>
        <v>29315.37</v>
      </c>
      <c r="M16" s="22">
        <f t="shared" si="1"/>
        <v>5.73686301369863</v>
      </c>
      <c r="O16" s="14">
        <f t="shared" si="2"/>
        <v>4272.439999999999</v>
      </c>
      <c r="Q16" s="37">
        <f t="shared" si="3"/>
        <v>0.1706046377161139</v>
      </c>
      <c r="S16" s="21">
        <f t="shared" si="4"/>
        <v>22879.93</v>
      </c>
      <c r="T16" s="33"/>
      <c r="U16" s="22">
        <f t="shared" si="5"/>
        <v>4.477481409001957</v>
      </c>
      <c r="W16" s="21">
        <f t="shared" si="6"/>
        <v>24375.29</v>
      </c>
      <c r="Y16" s="22">
        <f t="shared" si="7"/>
        <v>4.770115459882583</v>
      </c>
      <c r="AA16" s="14">
        <f t="shared" si="8"/>
        <v>1495.3600000000006</v>
      </c>
      <c r="AC16" s="37">
        <f t="shared" si="9"/>
        <v>0.06535684331202063</v>
      </c>
      <c r="AE16" s="37"/>
      <c r="AF16"/>
      <c r="AG16"/>
      <c r="AH16" s="31" t="s">
        <v>54</v>
      </c>
    </row>
    <row r="17" spans="1:36" ht="12.75">
      <c r="A17" s="39">
        <f>A16</f>
        <v>1000</v>
      </c>
      <c r="C17" s="39">
        <f>C16</f>
        <v>511000</v>
      </c>
      <c r="E17" s="40">
        <f t="shared" si="11"/>
        <v>0.5</v>
      </c>
      <c r="G17" s="21">
        <f>ROUND($AI$9+((($AI$10+$AI$11)*$A14)+($AI$12/100*C17))*(1+$AI$14)+$AI$13,2)</f>
        <v>25042.93</v>
      </c>
      <c r="H17" s="33"/>
      <c r="I17" s="22">
        <f t="shared" si="0"/>
        <v>4.900769080234834</v>
      </c>
      <c r="K17" s="21">
        <f t="shared" si="10"/>
        <v>28789.04</v>
      </c>
      <c r="M17" s="22">
        <f t="shared" si="1"/>
        <v>5.6338630136986305</v>
      </c>
      <c r="O17" s="14">
        <f t="shared" si="2"/>
        <v>3746.1100000000006</v>
      </c>
      <c r="Q17" s="37">
        <f t="shared" si="3"/>
        <v>0.14958752829640942</v>
      </c>
      <c r="S17" s="21">
        <f t="shared" si="4"/>
        <v>22879.93</v>
      </c>
      <c r="T17" s="33"/>
      <c r="U17" s="22">
        <f t="shared" si="5"/>
        <v>4.477481409001957</v>
      </c>
      <c r="W17" s="21">
        <f t="shared" si="6"/>
        <v>24217.39</v>
      </c>
      <c r="Y17" s="22">
        <f t="shared" si="7"/>
        <v>4.739215264187867</v>
      </c>
      <c r="AA17" s="14">
        <f t="shared" si="8"/>
        <v>1337.4599999999991</v>
      </c>
      <c r="AC17" s="37">
        <f t="shared" si="9"/>
        <v>0.05845559842184822</v>
      </c>
      <c r="AE17" s="37"/>
      <c r="AH17" s="5" t="s">
        <v>31</v>
      </c>
      <c r="AI17" s="14">
        <v>15</v>
      </c>
      <c r="AJ17" s="14">
        <v>15</v>
      </c>
    </row>
    <row r="18" spans="1:39" ht="12.75">
      <c r="A18" s="39">
        <f>A17</f>
        <v>1000</v>
      </c>
      <c r="C18" s="39">
        <f>C17</f>
        <v>511000</v>
      </c>
      <c r="E18" s="40">
        <f t="shared" si="11"/>
        <v>0.4</v>
      </c>
      <c r="G18" s="21">
        <f>ROUND($AI$9+((($AI$10+$AI$11)*$A15)+($AI$12/100*C18))*(1+$AI$14)+$AI$13,2)</f>
        <v>25042.93</v>
      </c>
      <c r="H18" s="33"/>
      <c r="I18" s="22">
        <f t="shared" si="0"/>
        <v>4.900769080234834</v>
      </c>
      <c r="K18" s="21">
        <f t="shared" si="10"/>
        <v>28262.71</v>
      </c>
      <c r="M18" s="22">
        <f t="shared" si="1"/>
        <v>5.53086301369863</v>
      </c>
      <c r="O18" s="14">
        <f t="shared" si="2"/>
        <v>3219.779999999999</v>
      </c>
      <c r="Q18" s="37">
        <f t="shared" si="3"/>
        <v>0.12857041887670495</v>
      </c>
      <c r="S18" s="21">
        <f t="shared" si="4"/>
        <v>22879.93</v>
      </c>
      <c r="T18" s="33"/>
      <c r="U18" s="22">
        <f t="shared" si="5"/>
        <v>4.477481409001957</v>
      </c>
      <c r="W18" s="21">
        <f t="shared" si="6"/>
        <v>24059.49</v>
      </c>
      <c r="Y18" s="22">
        <f t="shared" si="7"/>
        <v>4.708315068493151</v>
      </c>
      <c r="AA18" s="14">
        <f t="shared" si="8"/>
        <v>1179.5600000000013</v>
      </c>
      <c r="AC18" s="37">
        <f t="shared" si="9"/>
        <v>0.051554353531676034</v>
      </c>
      <c r="AE18" s="37"/>
      <c r="AH18" s="5" t="s">
        <v>46</v>
      </c>
      <c r="AI18" s="14">
        <v>9.27</v>
      </c>
      <c r="AJ18" s="14">
        <v>6.62</v>
      </c>
      <c r="AK18" s="5" t="s">
        <v>41</v>
      </c>
      <c r="AL18" s="32">
        <v>0</v>
      </c>
      <c r="AM18" s="5" t="s">
        <v>25</v>
      </c>
    </row>
    <row r="19" spans="1:39" ht="12.75">
      <c r="A19" s="39">
        <f>A16</f>
        <v>1000</v>
      </c>
      <c r="C19" s="9">
        <f>A13*0.9*730</f>
        <v>657000</v>
      </c>
      <c r="E19" s="40">
        <f t="shared" si="11"/>
        <v>0.6</v>
      </c>
      <c r="G19" s="21">
        <f>ROUND($AI$9+((($AI$10+$AI$11)*$A13)+($AI$12/100*C19))*(1+$AI$14)+$AI$13,2)</f>
        <v>29214.02</v>
      </c>
      <c r="H19" s="33"/>
      <c r="I19" s="22">
        <f t="shared" si="0"/>
        <v>4.4465783866057835</v>
      </c>
      <c r="K19" s="21">
        <f t="shared" si="10"/>
        <v>34180.32</v>
      </c>
      <c r="M19" s="22">
        <f t="shared" si="1"/>
        <v>5.2024840182648395</v>
      </c>
      <c r="O19" s="14">
        <f t="shared" si="2"/>
        <v>4966.299999999999</v>
      </c>
      <c r="Q19" s="37">
        <f t="shared" si="3"/>
        <v>0.1699971452063085</v>
      </c>
      <c r="S19" s="21">
        <f t="shared" si="4"/>
        <v>27051.02</v>
      </c>
      <c r="T19" s="33"/>
      <c r="U19" s="22">
        <f t="shared" si="5"/>
        <v>4.117354642313546</v>
      </c>
      <c r="W19" s="21">
        <f t="shared" si="6"/>
        <v>28608.63</v>
      </c>
      <c r="Y19" s="22">
        <f t="shared" si="7"/>
        <v>4.354433789954338</v>
      </c>
      <c r="AA19" s="14">
        <f t="shared" si="8"/>
        <v>1557.6100000000006</v>
      </c>
      <c r="AC19" s="37">
        <f t="shared" si="9"/>
        <v>0.05758045352818497</v>
      </c>
      <c r="AE19" s="37"/>
      <c r="AH19" s="5" t="s">
        <v>51</v>
      </c>
      <c r="AI19" s="14">
        <v>3.32</v>
      </c>
      <c r="AJ19" s="14">
        <v>3.32</v>
      </c>
      <c r="AK19" s="5" t="s">
        <v>41</v>
      </c>
      <c r="AL19" s="32">
        <v>0</v>
      </c>
      <c r="AM19" s="5" t="s">
        <v>25</v>
      </c>
    </row>
    <row r="20" spans="1:39" ht="12.75">
      <c r="A20" s="39">
        <f>A17</f>
        <v>1000</v>
      </c>
      <c r="C20" s="39">
        <f>C19</f>
        <v>657000</v>
      </c>
      <c r="E20" s="40">
        <f t="shared" si="11"/>
        <v>0.5</v>
      </c>
      <c r="G20" s="21">
        <f>ROUND($AI$9+((($AI$10+$AI$11)*$A14)+($AI$12/100*C20))*(1+$AI$14)+$AI$13,2)</f>
        <v>29214.02</v>
      </c>
      <c r="H20" s="33"/>
      <c r="I20" s="22">
        <f t="shared" si="0"/>
        <v>4.4465783866057835</v>
      </c>
      <c r="K20" s="21">
        <f t="shared" si="10"/>
        <v>33503.61</v>
      </c>
      <c r="M20" s="22">
        <f t="shared" si="1"/>
        <v>5.099484018264841</v>
      </c>
      <c r="O20" s="14">
        <f t="shared" si="2"/>
        <v>4289.59</v>
      </c>
      <c r="Q20" s="37">
        <f t="shared" si="3"/>
        <v>0.14683326704096178</v>
      </c>
      <c r="S20" s="21">
        <f t="shared" si="4"/>
        <v>27051.02</v>
      </c>
      <c r="T20" s="33"/>
      <c r="U20" s="22">
        <f t="shared" si="5"/>
        <v>4.117354642313546</v>
      </c>
      <c r="W20" s="21">
        <f t="shared" si="6"/>
        <v>28405.62</v>
      </c>
      <c r="Y20" s="22">
        <f t="shared" si="7"/>
        <v>4.323534246575343</v>
      </c>
      <c r="AA20" s="14">
        <f t="shared" si="8"/>
        <v>1354.5999999999985</v>
      </c>
      <c r="AC20" s="37">
        <f t="shared" si="9"/>
        <v>0.05007574575746121</v>
      </c>
      <c r="AE20" s="37"/>
      <c r="AH20" s="5" t="s">
        <v>33</v>
      </c>
      <c r="AI20" s="14">
        <v>-0.68</v>
      </c>
      <c r="AJ20" s="14">
        <v>-0.68</v>
      </c>
      <c r="AK20" s="5" t="s">
        <v>41</v>
      </c>
      <c r="AL20" s="32">
        <v>0</v>
      </c>
      <c r="AM20" s="5" t="s">
        <v>25</v>
      </c>
    </row>
    <row r="21" spans="1:39" ht="12.75">
      <c r="A21" s="39">
        <f>A18</f>
        <v>1000</v>
      </c>
      <c r="C21" s="39">
        <f>C20</f>
        <v>657000</v>
      </c>
      <c r="E21" s="40">
        <f t="shared" si="11"/>
        <v>0.4</v>
      </c>
      <c r="G21" s="21">
        <f>ROUND($AI$9+((($AI$10+$AI$11)*$A15)+($AI$12/100*C21))*(1+$AI$14)+$AI$13,2)</f>
        <v>29214.02</v>
      </c>
      <c r="H21" s="33"/>
      <c r="I21" s="22">
        <f t="shared" si="0"/>
        <v>4.4465783866057835</v>
      </c>
      <c r="K21" s="21">
        <f t="shared" si="10"/>
        <v>32826.9</v>
      </c>
      <c r="M21" s="22">
        <f t="shared" si="1"/>
        <v>4.996484018264841</v>
      </c>
      <c r="O21" s="14">
        <f t="shared" si="2"/>
        <v>3612.880000000001</v>
      </c>
      <c r="Q21" s="37">
        <f t="shared" si="3"/>
        <v>0.1236693888756153</v>
      </c>
      <c r="S21" s="21">
        <f t="shared" si="4"/>
        <v>27051.02</v>
      </c>
      <c r="T21" s="33"/>
      <c r="U21" s="22">
        <f t="shared" si="5"/>
        <v>4.117354642313546</v>
      </c>
      <c r="W21" s="21">
        <f t="shared" si="6"/>
        <v>28202.61</v>
      </c>
      <c r="Y21" s="22">
        <f t="shared" si="7"/>
        <v>4.292634703196347</v>
      </c>
      <c r="AA21" s="14">
        <f t="shared" si="8"/>
        <v>1151.5900000000001</v>
      </c>
      <c r="AC21" s="37">
        <f t="shared" si="9"/>
        <v>0.04257103798673767</v>
      </c>
      <c r="AE21" s="37"/>
      <c r="AH21" s="5" t="s">
        <v>52</v>
      </c>
      <c r="AI21" s="5">
        <v>3.6351</v>
      </c>
      <c r="AJ21" s="5">
        <v>2.9351</v>
      </c>
      <c r="AK21" s="5" t="s">
        <v>41</v>
      </c>
      <c r="AL21" s="32">
        <v>0</v>
      </c>
      <c r="AM21" s="5" t="s">
        <v>11</v>
      </c>
    </row>
    <row r="22" spans="8:39" ht="12.75">
      <c r="H22" s="33"/>
      <c r="I22" s="22">
        <f t="shared" si="0"/>
      </c>
      <c r="M22" s="22">
        <f t="shared" si="1"/>
      </c>
      <c r="O22" s="14">
        <f t="shared" si="2"/>
      </c>
      <c r="Q22" s="37">
        <f t="shared" si="3"/>
      </c>
      <c r="T22" s="33"/>
      <c r="U22" s="22">
        <f t="shared" si="5"/>
      </c>
      <c r="Y22" s="22">
        <f t="shared" si="7"/>
      </c>
      <c r="AA22" s="14">
        <f t="shared" si="8"/>
      </c>
      <c r="AC22" s="37">
        <f t="shared" si="9"/>
      </c>
      <c r="AE22" s="37"/>
      <c r="AH22" s="5" t="s">
        <v>53</v>
      </c>
      <c r="AI22" s="5">
        <v>2.6351</v>
      </c>
      <c r="AJ22" s="5">
        <v>2.6351</v>
      </c>
      <c r="AK22" s="5" t="s">
        <v>41</v>
      </c>
      <c r="AL22" s="32">
        <v>0</v>
      </c>
      <c r="AM22" s="5" t="s">
        <v>11</v>
      </c>
    </row>
    <row r="23" spans="1:38" ht="12.75">
      <c r="A23" s="9">
        <v>2000</v>
      </c>
      <c r="C23" s="9">
        <f>A23*0.5*730</f>
        <v>730000</v>
      </c>
      <c r="E23" s="40">
        <v>0.6</v>
      </c>
      <c r="G23" s="21">
        <f>ROUND($AI$9+((($AI$10+$AI$11)*$A23)+($AI$12/100*C23))*(1+$AI$14)+$AI$13,2)</f>
        <v>41723.16</v>
      </c>
      <c r="H23" s="33"/>
      <c r="I23" s="22">
        <f t="shared" si="0"/>
        <v>5.715501369863015</v>
      </c>
      <c r="K23" s="21">
        <f aca="true" t="shared" si="12" ref="K23:K31">ROUND(AI$17+(($AI$18+$AI$19+$AI$20)*A23+(AI$21*E23+AI$22*(1-E23))/100*C23)*(1+$AI$24)+$AI$23,2)</f>
        <v>48880.09</v>
      </c>
      <c r="M23" s="22">
        <f t="shared" si="1"/>
        <v>6.695902739726027</v>
      </c>
      <c r="O23" s="14">
        <f t="shared" si="2"/>
        <v>7156.929999999993</v>
      </c>
      <c r="Q23" s="37">
        <f t="shared" si="3"/>
        <v>0.17153374768354057</v>
      </c>
      <c r="S23" s="21">
        <f aca="true" t="shared" si="13" ref="S23:S31">ROUND($AJ$9+((($AJ$10+$AJ$11)*$A23)+($AJ$12/100*C23))*(1+$AJ$14)+$AJ$13,2)</f>
        <v>37397.16</v>
      </c>
      <c r="T23" s="33"/>
      <c r="U23" s="22">
        <f t="shared" si="5"/>
        <v>5.122898630136987</v>
      </c>
      <c r="W23" s="21">
        <f t="shared" si="6"/>
        <v>40263.11</v>
      </c>
      <c r="Y23" s="22">
        <f t="shared" si="7"/>
        <v>5.515494520547945</v>
      </c>
      <c r="AA23" s="14">
        <f t="shared" si="8"/>
        <v>2865.949999999997</v>
      </c>
      <c r="AC23" s="37">
        <f t="shared" si="9"/>
        <v>0.07663549852448681</v>
      </c>
      <c r="AE23" s="37"/>
      <c r="AH23" s="5" t="s">
        <v>21</v>
      </c>
      <c r="AI23" s="14">
        <v>5.77</v>
      </c>
      <c r="AJ23" s="14">
        <v>5.77</v>
      </c>
      <c r="AL23" s="32"/>
    </row>
    <row r="24" spans="1:38" ht="12.75">
      <c r="A24" s="39">
        <f>A23</f>
        <v>2000</v>
      </c>
      <c r="C24" s="39">
        <f>C23</f>
        <v>730000</v>
      </c>
      <c r="E24" s="40">
        <v>0.5</v>
      </c>
      <c r="G24" s="21">
        <f>ROUND($AI$9+((($AI$10+$AI$11)*$A24)+($AI$12/100*C24))*(1+$AI$14)+$AI$13,2)</f>
        <v>41723.16</v>
      </c>
      <c r="H24" s="33"/>
      <c r="I24" s="22">
        <f t="shared" si="0"/>
        <v>5.715501369863015</v>
      </c>
      <c r="K24" s="21">
        <f t="shared" si="12"/>
        <v>48128.19</v>
      </c>
      <c r="M24" s="22">
        <f t="shared" si="1"/>
        <v>6.5929027397260285</v>
      </c>
      <c r="O24" s="14">
        <f t="shared" si="2"/>
        <v>6405.029999999999</v>
      </c>
      <c r="Q24" s="37">
        <f t="shared" si="3"/>
        <v>0.15351258150149705</v>
      </c>
      <c r="S24" s="21">
        <f t="shared" si="13"/>
        <v>37397.16</v>
      </c>
      <c r="T24" s="33"/>
      <c r="U24" s="22">
        <f t="shared" si="5"/>
        <v>5.122898630136987</v>
      </c>
      <c r="W24" s="21">
        <f t="shared" si="6"/>
        <v>40037.54</v>
      </c>
      <c r="Y24" s="22">
        <f t="shared" si="7"/>
        <v>5.484594520547946</v>
      </c>
      <c r="AA24" s="14">
        <f t="shared" si="8"/>
        <v>2640.3799999999974</v>
      </c>
      <c r="AC24" s="37">
        <f t="shared" si="9"/>
        <v>0.0706037570767406</v>
      </c>
      <c r="AE24" s="37"/>
      <c r="AH24" s="5" t="s">
        <v>22</v>
      </c>
      <c r="AI24" s="34">
        <v>0.03</v>
      </c>
      <c r="AJ24" s="34">
        <v>0.03</v>
      </c>
      <c r="AL24" s="32"/>
    </row>
    <row r="25" spans="1:31" ht="12.75">
      <c r="A25" s="39">
        <f>A24</f>
        <v>2000</v>
      </c>
      <c r="C25" s="39">
        <f>C24</f>
        <v>730000</v>
      </c>
      <c r="E25" s="40">
        <v>0.4</v>
      </c>
      <c r="G25" s="21">
        <f>ROUND($AI$9+((($AI$10+$AI$11)*$A25)+($AI$12/100*C25))*(1+$AI$14)+$AI$13,2)</f>
        <v>41723.16</v>
      </c>
      <c r="H25" s="33"/>
      <c r="I25" s="22">
        <f t="shared" si="0"/>
        <v>5.715501369863015</v>
      </c>
      <c r="K25" s="21">
        <f t="shared" si="12"/>
        <v>47376.29</v>
      </c>
      <c r="M25" s="22">
        <f t="shared" si="1"/>
        <v>6.489902739726028</v>
      </c>
      <c r="O25" s="14">
        <f t="shared" si="2"/>
        <v>5653.129999999997</v>
      </c>
      <c r="Q25" s="37">
        <f t="shared" si="3"/>
        <v>0.1354914153194533</v>
      </c>
      <c r="S25" s="21">
        <f t="shared" si="13"/>
        <v>37397.16</v>
      </c>
      <c r="T25" s="33"/>
      <c r="U25" s="22">
        <f t="shared" si="5"/>
        <v>5.122898630136987</v>
      </c>
      <c r="W25" s="21">
        <f t="shared" si="6"/>
        <v>39811.97</v>
      </c>
      <c r="Y25" s="22">
        <f t="shared" si="7"/>
        <v>5.453694520547946</v>
      </c>
      <c r="AA25" s="14">
        <f t="shared" si="8"/>
        <v>2414.8099999999977</v>
      </c>
      <c r="AC25" s="37">
        <f t="shared" si="9"/>
        <v>0.06457201562899417</v>
      </c>
      <c r="AE25" s="37"/>
    </row>
    <row r="26" spans="1:31" ht="12.75">
      <c r="A26" s="39">
        <f>A25</f>
        <v>2000</v>
      </c>
      <c r="C26" s="9">
        <f>A23*0.7*730</f>
        <v>1022000</v>
      </c>
      <c r="E26" s="40">
        <f aca="true" t="shared" si="14" ref="E26:E31">E23</f>
        <v>0.6</v>
      </c>
      <c r="G26" s="21">
        <f>ROUND($AI$9+((($AI$10+$AI$11)*$A23)+($AI$12/100*C26))*(1+$AI$14)+$AI$13,2)</f>
        <v>50065.34</v>
      </c>
      <c r="H26" s="33"/>
      <c r="I26" s="22">
        <f t="shared" si="0"/>
        <v>4.898761252446183</v>
      </c>
      <c r="K26" s="21">
        <f t="shared" si="12"/>
        <v>58609.97</v>
      </c>
      <c r="M26" s="22">
        <f t="shared" si="1"/>
        <v>5.73483072407045</v>
      </c>
      <c r="O26" s="14">
        <f t="shared" si="2"/>
        <v>8544.630000000005</v>
      </c>
      <c r="Q26" s="37">
        <f t="shared" si="3"/>
        <v>0.17066956900722152</v>
      </c>
      <c r="S26" s="21">
        <f t="shared" si="13"/>
        <v>45739.34</v>
      </c>
      <c r="T26" s="33"/>
      <c r="U26" s="22">
        <f t="shared" si="5"/>
        <v>4.475473581213307</v>
      </c>
      <c r="W26" s="21">
        <f t="shared" si="6"/>
        <v>48729.8</v>
      </c>
      <c r="Y26" s="22">
        <f t="shared" si="7"/>
        <v>4.768082191780822</v>
      </c>
      <c r="AA26" s="14">
        <f t="shared" si="8"/>
        <v>2990.4600000000064</v>
      </c>
      <c r="AC26" s="37">
        <f t="shared" si="9"/>
        <v>0.06538047991072915</v>
      </c>
      <c r="AE26" s="37"/>
    </row>
    <row r="27" spans="1:31" ht="12.75">
      <c r="A27" s="39">
        <f>A26</f>
        <v>2000</v>
      </c>
      <c r="C27" s="39">
        <f>C26</f>
        <v>1022000</v>
      </c>
      <c r="E27" s="40">
        <f t="shared" si="14"/>
        <v>0.5</v>
      </c>
      <c r="G27" s="21">
        <f>ROUND($AI$9+((($AI$10+$AI$11)*$A24)+($AI$12/100*C27))*(1+$AI$14)+$AI$13,2)</f>
        <v>50065.34</v>
      </c>
      <c r="H27" s="33"/>
      <c r="I27" s="22">
        <f t="shared" si="0"/>
        <v>4.898761252446183</v>
      </c>
      <c r="K27" s="21">
        <f t="shared" si="12"/>
        <v>57557.31</v>
      </c>
      <c r="M27" s="22">
        <f t="shared" si="1"/>
        <v>5.63183072407045</v>
      </c>
      <c r="O27" s="14">
        <f t="shared" si="2"/>
        <v>7491.970000000001</v>
      </c>
      <c r="Q27" s="37">
        <f t="shared" si="3"/>
        <v>0.1496438454228015</v>
      </c>
      <c r="S27" s="21">
        <f t="shared" si="13"/>
        <v>45739.34</v>
      </c>
      <c r="T27" s="33"/>
      <c r="U27" s="22">
        <f t="shared" si="5"/>
        <v>4.475473581213307</v>
      </c>
      <c r="W27" s="21">
        <f t="shared" si="6"/>
        <v>48414</v>
      </c>
      <c r="Y27" s="22">
        <f t="shared" si="7"/>
        <v>4.737181996086106</v>
      </c>
      <c r="AA27" s="14">
        <f t="shared" si="8"/>
        <v>2674.6600000000035</v>
      </c>
      <c r="AC27" s="37">
        <f t="shared" si="9"/>
        <v>0.058476138921112586</v>
      </c>
      <c r="AE27" s="37"/>
    </row>
    <row r="28" spans="1:31" ht="12.75">
      <c r="A28" s="39">
        <f>A27</f>
        <v>2000</v>
      </c>
      <c r="C28" s="39">
        <f>C27</f>
        <v>1022000</v>
      </c>
      <c r="E28" s="40">
        <f t="shared" si="14"/>
        <v>0.4</v>
      </c>
      <c r="G28" s="21">
        <f>ROUND($AI$9+((($AI$10+$AI$11)*$A25)+($AI$12/100*C28))*(1+$AI$14)+$AI$13,2)</f>
        <v>50065.34</v>
      </c>
      <c r="H28" s="33"/>
      <c r="I28" s="22">
        <f t="shared" si="0"/>
        <v>4.898761252446183</v>
      </c>
      <c r="K28" s="21">
        <f t="shared" si="12"/>
        <v>56504.65</v>
      </c>
      <c r="M28" s="22">
        <f t="shared" si="1"/>
        <v>5.52883072407045</v>
      </c>
      <c r="O28" s="14">
        <f t="shared" si="2"/>
        <v>6439.310000000005</v>
      </c>
      <c r="Q28" s="37">
        <f t="shared" si="3"/>
        <v>0.12861812183838173</v>
      </c>
      <c r="S28" s="21">
        <f t="shared" si="13"/>
        <v>45739.34</v>
      </c>
      <c r="T28" s="33"/>
      <c r="U28" s="22">
        <f t="shared" si="5"/>
        <v>4.475473581213307</v>
      </c>
      <c r="W28" s="21">
        <f t="shared" si="6"/>
        <v>48098.21</v>
      </c>
      <c r="Y28" s="22">
        <f t="shared" si="7"/>
        <v>4.706282778864971</v>
      </c>
      <c r="AA28" s="14">
        <f t="shared" si="8"/>
        <v>2358.8700000000026</v>
      </c>
      <c r="AC28" s="37">
        <f t="shared" si="9"/>
        <v>0.05157201656167332</v>
      </c>
      <c r="AE28" s="37"/>
    </row>
    <row r="29" spans="1:31" ht="12.75">
      <c r="A29" s="39">
        <f>A26</f>
        <v>2000</v>
      </c>
      <c r="C29" s="9">
        <f>A23*0.9*730</f>
        <v>1314000</v>
      </c>
      <c r="E29" s="40">
        <f t="shared" si="14"/>
        <v>0.6</v>
      </c>
      <c r="G29" s="21">
        <f>ROUND($AI$9+((($AI$10+$AI$11)*$A23)+($AI$12/100*C29))*(1+$AI$14)+$AI$13,2)</f>
        <v>58407.52</v>
      </c>
      <c r="H29" s="33"/>
      <c r="I29" s="22">
        <f t="shared" si="0"/>
        <v>4.445016742770167</v>
      </c>
      <c r="K29" s="21">
        <f t="shared" si="12"/>
        <v>68339.86</v>
      </c>
      <c r="M29" s="22">
        <f t="shared" si="1"/>
        <v>5.2009025875190265</v>
      </c>
      <c r="O29" s="14">
        <f t="shared" si="2"/>
        <v>9932.340000000004</v>
      </c>
      <c r="Q29" s="37">
        <f t="shared" si="3"/>
        <v>0.1700524179078311</v>
      </c>
      <c r="S29" s="21">
        <f t="shared" si="13"/>
        <v>54081.52</v>
      </c>
      <c r="T29" s="33"/>
      <c r="U29" s="22">
        <f t="shared" si="5"/>
        <v>4.11579299847793</v>
      </c>
      <c r="W29" s="21">
        <f t="shared" si="6"/>
        <v>57196.5</v>
      </c>
      <c r="Y29" s="22">
        <f t="shared" si="7"/>
        <v>4.352853881278539</v>
      </c>
      <c r="AA29" s="14">
        <f t="shared" si="8"/>
        <v>3114.980000000003</v>
      </c>
      <c r="AC29" s="37">
        <f t="shared" si="9"/>
        <v>0.05759786337366268</v>
      </c>
      <c r="AE29" s="37"/>
    </row>
    <row r="30" spans="1:31" ht="12.75">
      <c r="A30" s="39">
        <f>A27</f>
        <v>2000</v>
      </c>
      <c r="C30" s="39">
        <f>C29</f>
        <v>1314000</v>
      </c>
      <c r="E30" s="40">
        <f t="shared" si="14"/>
        <v>0.5</v>
      </c>
      <c r="G30" s="21">
        <f>ROUND($AI$9+((($AI$10+$AI$11)*$A24)+($AI$12/100*C30))*(1+$AI$14)+$AI$13,2)</f>
        <v>58407.52</v>
      </c>
      <c r="H30" s="33"/>
      <c r="I30" s="22">
        <f t="shared" si="0"/>
        <v>4.445016742770167</v>
      </c>
      <c r="K30" s="21">
        <f t="shared" si="12"/>
        <v>66986.44</v>
      </c>
      <c r="M30" s="22">
        <f t="shared" si="1"/>
        <v>5.097902587519026</v>
      </c>
      <c r="O30" s="14">
        <f t="shared" si="2"/>
        <v>8578.920000000006</v>
      </c>
      <c r="Q30" s="37">
        <f t="shared" si="3"/>
        <v>0.1468804017016987</v>
      </c>
      <c r="S30" s="21">
        <f t="shared" si="13"/>
        <v>54081.52</v>
      </c>
      <c r="T30" s="33"/>
      <c r="U30" s="22">
        <f t="shared" si="5"/>
        <v>4.11579299847793</v>
      </c>
      <c r="W30" s="21">
        <f t="shared" si="6"/>
        <v>56790.47</v>
      </c>
      <c r="Y30" s="22">
        <f t="shared" si="7"/>
        <v>4.321953576864536</v>
      </c>
      <c r="AA30" s="14">
        <f t="shared" si="8"/>
        <v>2708.9500000000044</v>
      </c>
      <c r="AC30" s="37">
        <f t="shared" si="9"/>
        <v>0.05009012320659645</v>
      </c>
      <c r="AE30" s="37"/>
    </row>
    <row r="31" spans="1:31" ht="12.75">
      <c r="A31" s="39">
        <f>A28</f>
        <v>2000</v>
      </c>
      <c r="C31" s="39">
        <f>C30</f>
        <v>1314000</v>
      </c>
      <c r="E31" s="40">
        <f t="shared" si="14"/>
        <v>0.4</v>
      </c>
      <c r="G31" s="21">
        <f>ROUND($AI$9+((($AI$10+$AI$11)*$A25)+($AI$12/100*C31))*(1+$AI$14)+$AI$13,2)</f>
        <v>58407.52</v>
      </c>
      <c r="H31" s="33"/>
      <c r="I31" s="22">
        <f t="shared" si="0"/>
        <v>4.445016742770167</v>
      </c>
      <c r="K31" s="21">
        <f t="shared" si="12"/>
        <v>65633.02</v>
      </c>
      <c r="M31" s="22">
        <f t="shared" si="1"/>
        <v>4.994902587519026</v>
      </c>
      <c r="O31" s="14">
        <f t="shared" si="2"/>
        <v>7225.500000000007</v>
      </c>
      <c r="Q31" s="37">
        <f t="shared" si="3"/>
        <v>0.12370838549556651</v>
      </c>
      <c r="S31" s="21">
        <f t="shared" si="13"/>
        <v>54081.52</v>
      </c>
      <c r="T31" s="33"/>
      <c r="U31" s="22">
        <f t="shared" si="5"/>
        <v>4.11579299847793</v>
      </c>
      <c r="W31" s="21">
        <f t="shared" si="6"/>
        <v>56384.44</v>
      </c>
      <c r="Y31" s="22">
        <f t="shared" si="7"/>
        <v>4.291053272450533</v>
      </c>
      <c r="AA31" s="14">
        <f t="shared" si="8"/>
        <v>2302.9200000000055</v>
      </c>
      <c r="AC31" s="37">
        <f t="shared" si="9"/>
        <v>0.04258238303952999</v>
      </c>
      <c r="AE31" s="37"/>
    </row>
    <row r="32" spans="8:31" ht="12.75">
      <c r="H32" s="33"/>
      <c r="I32" s="22">
        <f t="shared" si="0"/>
      </c>
      <c r="M32" s="22">
        <f t="shared" si="1"/>
      </c>
      <c r="O32" s="14">
        <f t="shared" si="2"/>
      </c>
      <c r="Q32" s="37">
        <f t="shared" si="3"/>
      </c>
      <c r="T32" s="33"/>
      <c r="U32" s="22">
        <f t="shared" si="5"/>
      </c>
      <c r="Y32" s="22">
        <f t="shared" si="7"/>
      </c>
      <c r="AA32" s="14">
        <f t="shared" si="8"/>
      </c>
      <c r="AC32" s="37">
        <f t="shared" si="9"/>
      </c>
      <c r="AE32" s="37"/>
    </row>
    <row r="33" spans="1:31" ht="12.75">
      <c r="A33" s="9">
        <v>4000</v>
      </c>
      <c r="C33" s="9">
        <f>A33*0.5*730</f>
        <v>1460000</v>
      </c>
      <c r="E33" s="40">
        <v>0.6</v>
      </c>
      <c r="G33" s="21">
        <f>ROUND($AI$9+((($AI$10+$AI$11)*$A33)+($AI$12/100*C33))*(1+$AI$14)+$AI$13,2)</f>
        <v>83425.81</v>
      </c>
      <c r="H33" s="33"/>
      <c r="I33" s="22">
        <f t="shared" si="0"/>
        <v>5.714096575342466</v>
      </c>
      <c r="K33" s="21">
        <f aca="true" t="shared" si="15" ref="K33:K41">ROUND(AI$17+(($AI$18+$AI$19+$AI$20)*A33+(AI$21*E33+AI$22*(1-E33))/100*C33)*(1+$AI$24)+$AI$23,2)</f>
        <v>97739.4</v>
      </c>
      <c r="M33" s="22">
        <f t="shared" si="1"/>
        <v>6.694479452054794</v>
      </c>
      <c r="O33" s="14">
        <f t="shared" si="2"/>
        <v>14313.589999999997</v>
      </c>
      <c r="Q33" s="37">
        <f t="shared" si="3"/>
        <v>0.17157268236292822</v>
      </c>
      <c r="S33" s="21">
        <f aca="true" t="shared" si="16" ref="S33:S41">ROUND($AJ$9+((($AJ$10+$AJ$11)*$A33)+($AJ$12/100*C33))*(1+$AJ$14)+$AJ$13,2)</f>
        <v>74773.81</v>
      </c>
      <c r="T33" s="33"/>
      <c r="U33" s="22">
        <f t="shared" si="5"/>
        <v>5.121493835616438</v>
      </c>
      <c r="W33" s="21">
        <f t="shared" si="6"/>
        <v>80505.44</v>
      </c>
      <c r="Y33" s="22">
        <f t="shared" si="7"/>
        <v>5.514071232876713</v>
      </c>
      <c r="AA33" s="14">
        <f t="shared" si="8"/>
        <v>5731.630000000005</v>
      </c>
      <c r="AC33" s="37">
        <f t="shared" si="9"/>
        <v>0.07665290828433124</v>
      </c>
      <c r="AE33" s="37"/>
    </row>
    <row r="34" spans="1:31" ht="12.75">
      <c r="A34" s="39">
        <f>A33</f>
        <v>4000</v>
      </c>
      <c r="C34" s="39">
        <f>C33</f>
        <v>1460000</v>
      </c>
      <c r="E34" s="40">
        <v>0.5</v>
      </c>
      <c r="G34" s="21">
        <f>ROUND($AI$9+((($AI$10+$AI$11)*$A34)+($AI$12/100*C34))*(1+$AI$14)+$AI$13,2)</f>
        <v>83425.81</v>
      </c>
      <c r="H34" s="33"/>
      <c r="I34" s="22">
        <f t="shared" si="0"/>
        <v>5.714096575342466</v>
      </c>
      <c r="K34" s="21">
        <f t="shared" si="15"/>
        <v>96235.6</v>
      </c>
      <c r="M34" s="22">
        <f t="shared" si="1"/>
        <v>6.591479452054795</v>
      </c>
      <c r="O34" s="14">
        <f t="shared" si="2"/>
        <v>12809.790000000008</v>
      </c>
      <c r="Q34" s="37">
        <f t="shared" si="3"/>
        <v>0.1535470857280259</v>
      </c>
      <c r="S34" s="21">
        <f t="shared" si="16"/>
        <v>74773.81</v>
      </c>
      <c r="T34" s="33"/>
      <c r="U34" s="22">
        <f t="shared" si="5"/>
        <v>5.121493835616438</v>
      </c>
      <c r="W34" s="21">
        <f t="shared" si="6"/>
        <v>80054.3</v>
      </c>
      <c r="Y34" s="22">
        <f t="shared" si="7"/>
        <v>5.483171232876712</v>
      </c>
      <c r="AA34" s="14">
        <f t="shared" si="8"/>
        <v>5280.490000000005</v>
      </c>
      <c r="AC34" s="37">
        <f t="shared" si="9"/>
        <v>0.07061951236669639</v>
      </c>
      <c r="AE34" s="37"/>
    </row>
    <row r="35" spans="1:31" ht="12.75">
      <c r="A35" s="39">
        <f>A34</f>
        <v>4000</v>
      </c>
      <c r="C35" s="39">
        <f>C34</f>
        <v>1460000</v>
      </c>
      <c r="E35" s="40">
        <v>0.4</v>
      </c>
      <c r="G35" s="21">
        <f>ROUND($AI$9+((($AI$10+$AI$11)*$A35)+($AI$12/100*C35))*(1+$AI$14)+$AI$13,2)</f>
        <v>83425.81</v>
      </c>
      <c r="H35" s="33"/>
      <c r="I35" s="22">
        <f t="shared" si="0"/>
        <v>5.714096575342466</v>
      </c>
      <c r="K35" s="21">
        <f t="shared" si="15"/>
        <v>94731.8</v>
      </c>
      <c r="M35" s="22">
        <f t="shared" si="1"/>
        <v>6.488479452054794</v>
      </c>
      <c r="O35" s="14">
        <f t="shared" si="2"/>
        <v>11305.990000000005</v>
      </c>
      <c r="Q35" s="37">
        <f t="shared" si="3"/>
        <v>0.13552148909312356</v>
      </c>
      <c r="S35" s="21">
        <f t="shared" si="16"/>
        <v>74773.81</v>
      </c>
      <c r="T35" s="33"/>
      <c r="U35" s="22">
        <f t="shared" si="5"/>
        <v>5.121493835616438</v>
      </c>
      <c r="W35" s="21">
        <f t="shared" si="6"/>
        <v>79603.16</v>
      </c>
      <c r="Y35" s="22">
        <f t="shared" si="7"/>
        <v>5.452271232876712</v>
      </c>
      <c r="AA35" s="14">
        <f t="shared" si="8"/>
        <v>4829.350000000006</v>
      </c>
      <c r="AC35" s="37">
        <f t="shared" si="9"/>
        <v>0.06458611644906154</v>
      </c>
      <c r="AE35" s="37"/>
    </row>
    <row r="36" spans="1:31" ht="12.75">
      <c r="A36" s="39">
        <f>A35</f>
        <v>4000</v>
      </c>
      <c r="C36" s="9">
        <f>A33*0.7*730</f>
        <v>2044000</v>
      </c>
      <c r="E36" s="40">
        <f aca="true" t="shared" si="17" ref="E36:E41">E33</f>
        <v>0.6</v>
      </c>
      <c r="G36" s="21">
        <f>ROUND($AI$9+((($AI$10+$AI$11)*$A33)+($AI$12/100*C36))*(1+$AI$14)+$AI$13,2)</f>
        <v>100110.17</v>
      </c>
      <c r="H36" s="33"/>
      <c r="I36" s="22">
        <f t="shared" si="0"/>
        <v>4.8977578277886495</v>
      </c>
      <c r="K36" s="21">
        <f t="shared" si="15"/>
        <v>117199.18</v>
      </c>
      <c r="M36" s="22">
        <f t="shared" si="1"/>
        <v>5.733815068493151</v>
      </c>
      <c r="O36" s="14">
        <f t="shared" si="2"/>
        <v>17089.009999999995</v>
      </c>
      <c r="Q36" s="37">
        <f t="shared" si="3"/>
        <v>0.1707020375652144</v>
      </c>
      <c r="S36" s="21">
        <f t="shared" si="16"/>
        <v>91458.17</v>
      </c>
      <c r="T36" s="33"/>
      <c r="U36" s="22">
        <f t="shared" si="5"/>
        <v>4.474470156555773</v>
      </c>
      <c r="W36" s="21">
        <f t="shared" si="6"/>
        <v>97438.83</v>
      </c>
      <c r="Y36" s="22">
        <f t="shared" si="7"/>
        <v>4.7670660469667325</v>
      </c>
      <c r="AA36" s="14">
        <f t="shared" si="8"/>
        <v>5980.6600000000035</v>
      </c>
      <c r="AC36" s="37">
        <f t="shared" si="9"/>
        <v>0.0653922990149487</v>
      </c>
      <c r="AE36" s="37"/>
    </row>
    <row r="37" spans="1:31" ht="12.75">
      <c r="A37" s="39">
        <f>A36</f>
        <v>4000</v>
      </c>
      <c r="C37" s="39">
        <f>C36</f>
        <v>2044000</v>
      </c>
      <c r="E37" s="40">
        <f t="shared" si="17"/>
        <v>0.5</v>
      </c>
      <c r="G37" s="21">
        <f>ROUND($AI$9+((($AI$10+$AI$11)*$A34)+($AI$12/100*C37))*(1+$AI$14)+$AI$13,2)</f>
        <v>100110.17</v>
      </c>
      <c r="H37" s="33"/>
      <c r="I37" s="22">
        <f t="shared" si="0"/>
        <v>4.8977578277886495</v>
      </c>
      <c r="K37" s="21">
        <f t="shared" si="15"/>
        <v>115093.86</v>
      </c>
      <c r="M37" s="22">
        <f t="shared" si="1"/>
        <v>5.630815068493151</v>
      </c>
      <c r="O37" s="14">
        <f t="shared" si="2"/>
        <v>14983.690000000002</v>
      </c>
      <c r="Q37" s="37">
        <f t="shared" si="3"/>
        <v>0.14967200635060363</v>
      </c>
      <c r="S37" s="21">
        <f t="shared" si="16"/>
        <v>91458.17</v>
      </c>
      <c r="T37" s="33"/>
      <c r="U37" s="22">
        <f t="shared" si="5"/>
        <v>4.474470156555773</v>
      </c>
      <c r="W37" s="21">
        <f t="shared" si="6"/>
        <v>96807.24</v>
      </c>
      <c r="Y37" s="22">
        <f t="shared" si="7"/>
        <v>4.736166340508807</v>
      </c>
      <c r="AA37" s="14">
        <f t="shared" si="8"/>
        <v>5349.070000000007</v>
      </c>
      <c r="AC37" s="37">
        <f t="shared" si="9"/>
        <v>0.058486519028316586</v>
      </c>
      <c r="AE37" s="37"/>
    </row>
    <row r="38" spans="1:31" ht="12.75">
      <c r="A38" s="39">
        <f>A37</f>
        <v>4000</v>
      </c>
      <c r="C38" s="39">
        <f>C37</f>
        <v>2044000</v>
      </c>
      <c r="E38" s="40">
        <f t="shared" si="17"/>
        <v>0.4</v>
      </c>
      <c r="G38" s="21">
        <f>ROUND($AI$9+((($AI$10+$AI$11)*$A35)+($AI$12/100*C38))*(1+$AI$14)+$AI$13,2)</f>
        <v>100110.17</v>
      </c>
      <c r="H38" s="33"/>
      <c r="I38" s="22">
        <f t="shared" si="0"/>
        <v>4.8977578277886495</v>
      </c>
      <c r="K38" s="21">
        <f t="shared" si="15"/>
        <v>112988.54</v>
      </c>
      <c r="M38" s="22">
        <f t="shared" si="1"/>
        <v>5.52781506849315</v>
      </c>
      <c r="O38" s="14">
        <f t="shared" si="2"/>
        <v>12878.369999999995</v>
      </c>
      <c r="Q38" s="37">
        <f t="shared" si="3"/>
        <v>0.12864197513599263</v>
      </c>
      <c r="S38" s="21">
        <f t="shared" si="16"/>
        <v>91458.17</v>
      </c>
      <c r="T38" s="33"/>
      <c r="U38" s="22">
        <f t="shared" si="5"/>
        <v>4.474470156555773</v>
      </c>
      <c r="W38" s="21">
        <f t="shared" si="6"/>
        <v>96175.64</v>
      </c>
      <c r="Y38" s="22">
        <f t="shared" si="7"/>
        <v>4.7052661448140904</v>
      </c>
      <c r="AA38" s="14">
        <f t="shared" si="8"/>
        <v>4717.470000000001</v>
      </c>
      <c r="AC38" s="37">
        <f t="shared" si="9"/>
        <v>0.051580629702081326</v>
      </c>
      <c r="AE38" s="37"/>
    </row>
    <row r="39" spans="1:31" ht="12.75">
      <c r="A39" s="39">
        <f>A36</f>
        <v>4000</v>
      </c>
      <c r="C39" s="9">
        <f>A33*0.9*730</f>
        <v>2628000</v>
      </c>
      <c r="E39" s="40">
        <f t="shared" si="17"/>
        <v>0.6</v>
      </c>
      <c r="G39" s="21">
        <f>ROUND($AI$9+((($AI$10+$AI$11)*$A33)+($AI$12/100*C39))*(1+$AI$14)+$AI$13,2)</f>
        <v>116794.53</v>
      </c>
      <c r="H39" s="33"/>
      <c r="I39" s="22">
        <f t="shared" si="0"/>
        <v>4.444236301369863</v>
      </c>
      <c r="K39" s="21">
        <f t="shared" si="15"/>
        <v>136658.95</v>
      </c>
      <c r="M39" s="22">
        <f t="shared" si="1"/>
        <v>5.200112252663623</v>
      </c>
      <c r="O39" s="14">
        <f t="shared" si="2"/>
        <v>19864.420000000013</v>
      </c>
      <c r="Q39" s="37">
        <f t="shared" si="3"/>
        <v>0.17008005426281536</v>
      </c>
      <c r="S39" s="21">
        <f t="shared" si="16"/>
        <v>108142.53</v>
      </c>
      <c r="T39" s="33"/>
      <c r="U39" s="22">
        <f t="shared" si="5"/>
        <v>4.115012557077626</v>
      </c>
      <c r="W39" s="21">
        <f t="shared" si="6"/>
        <v>114372.22</v>
      </c>
      <c r="Y39" s="22">
        <f t="shared" si="7"/>
        <v>4.352063165905632</v>
      </c>
      <c r="AA39" s="14">
        <f t="shared" si="8"/>
        <v>6229.690000000002</v>
      </c>
      <c r="AC39" s="37">
        <f t="shared" si="9"/>
        <v>0.05760629051308497</v>
      </c>
      <c r="AE39" s="37"/>
    </row>
    <row r="40" spans="1:31" ht="12.75">
      <c r="A40" s="39">
        <f>A37</f>
        <v>4000</v>
      </c>
      <c r="C40" s="39">
        <f>C39</f>
        <v>2628000</v>
      </c>
      <c r="E40" s="40">
        <f t="shared" si="17"/>
        <v>0.5</v>
      </c>
      <c r="G40" s="21">
        <f>ROUND($AI$9+((($AI$10+$AI$11)*$A34)+($AI$12/100*C40))*(1+$AI$14)+$AI$13,2)</f>
        <v>116794.53</v>
      </c>
      <c r="H40" s="33"/>
      <c r="I40" s="22">
        <f t="shared" si="0"/>
        <v>4.444236301369863</v>
      </c>
      <c r="K40" s="21">
        <f t="shared" si="15"/>
        <v>133952.11</v>
      </c>
      <c r="M40" s="22">
        <f t="shared" si="1"/>
        <v>5.0971122526636226</v>
      </c>
      <c r="O40" s="14">
        <f t="shared" si="2"/>
        <v>17157.579999999987</v>
      </c>
      <c r="Q40" s="37">
        <f t="shared" si="3"/>
        <v>0.14690396887593948</v>
      </c>
      <c r="S40" s="21">
        <f t="shared" si="16"/>
        <v>108142.53</v>
      </c>
      <c r="T40" s="33"/>
      <c r="U40" s="22">
        <f t="shared" si="5"/>
        <v>4.115012557077626</v>
      </c>
      <c r="W40" s="21">
        <f t="shared" si="6"/>
        <v>113560.17</v>
      </c>
      <c r="Y40" s="22">
        <f t="shared" si="7"/>
        <v>4.321163242009132</v>
      </c>
      <c r="AA40" s="14">
        <f t="shared" si="8"/>
        <v>5417.639999999999</v>
      </c>
      <c r="AC40" s="37">
        <f t="shared" si="9"/>
        <v>0.05009721892025265</v>
      </c>
      <c r="AE40" s="37"/>
    </row>
    <row r="41" spans="1:31" ht="12.75">
      <c r="A41" s="39">
        <f>A38</f>
        <v>4000</v>
      </c>
      <c r="C41" s="39">
        <f>C40</f>
        <v>2628000</v>
      </c>
      <c r="E41" s="40">
        <f t="shared" si="17"/>
        <v>0.4</v>
      </c>
      <c r="G41" s="21">
        <f>ROUND($AI$9+((($AI$10+$AI$11)*$A35)+($AI$12/100*C41))*(1+$AI$14)+$AI$13,2)</f>
        <v>116794.53</v>
      </c>
      <c r="H41" s="33"/>
      <c r="I41" s="22">
        <f t="shared" si="0"/>
        <v>4.444236301369863</v>
      </c>
      <c r="K41" s="21">
        <f t="shared" si="15"/>
        <v>131245.27</v>
      </c>
      <c r="M41" s="22">
        <f t="shared" si="1"/>
        <v>4.994112252663622</v>
      </c>
      <c r="O41" s="14">
        <f t="shared" si="2"/>
        <v>14450.73999999999</v>
      </c>
      <c r="Q41" s="37">
        <f t="shared" si="3"/>
        <v>0.12372788348906405</v>
      </c>
      <c r="S41" s="21">
        <f t="shared" si="16"/>
        <v>108142.53</v>
      </c>
      <c r="T41" s="33"/>
      <c r="U41" s="22">
        <f t="shared" si="5"/>
        <v>4.115012557077626</v>
      </c>
      <c r="W41" s="21">
        <f t="shared" si="6"/>
        <v>112748.12</v>
      </c>
      <c r="Y41" s="22">
        <f t="shared" si="7"/>
        <v>4.2902633181126335</v>
      </c>
      <c r="AA41" s="14">
        <f t="shared" si="8"/>
        <v>4605.5899999999965</v>
      </c>
      <c r="AC41" s="37">
        <f t="shared" si="9"/>
        <v>0.042588147327420556</v>
      </c>
      <c r="AE41" s="37"/>
    </row>
    <row r="42" spans="8:31" ht="12.75">
      <c r="H42" s="33"/>
      <c r="I42" s="22">
        <f t="shared" si="0"/>
      </c>
      <c r="M42" s="22">
        <f t="shared" si="1"/>
      </c>
      <c r="O42" s="14">
        <f t="shared" si="2"/>
      </c>
      <c r="Q42" s="37">
        <f t="shared" si="3"/>
      </c>
      <c r="T42" s="33"/>
      <c r="U42" s="22">
        <f t="shared" si="5"/>
      </c>
      <c r="Y42" s="22">
        <f t="shared" si="7"/>
      </c>
      <c r="AA42" s="14">
        <f t="shared" si="8"/>
      </c>
      <c r="AC42" s="37">
        <f t="shared" si="9"/>
      </c>
      <c r="AE42" s="37"/>
    </row>
    <row r="43" spans="1:31" ht="12.75">
      <c r="A43" s="9">
        <v>6000</v>
      </c>
      <c r="C43" s="9">
        <f>A43*0.5*730</f>
        <v>2190000</v>
      </c>
      <c r="E43" s="40">
        <v>0.6</v>
      </c>
      <c r="G43" s="21">
        <f>ROUND($AI$9+((($AI$10+$AI$11)*$A43)+($AI$12/100*C43))*(1+$AI$14)+$AI$13,2)</f>
        <v>125128.46</v>
      </c>
      <c r="H43" s="33"/>
      <c r="I43" s="22">
        <f t="shared" si="0"/>
        <v>5.713628310502283</v>
      </c>
      <c r="K43" s="21">
        <f aca="true" t="shared" si="18" ref="K43:K51">ROUND(AI$17+(($AI$18+$AI$19+$AI$20)*A43+(AI$21*E43+AI$22*(1-E43))/100*C43)*(1+$AI$24)+$AI$23,2)</f>
        <v>146598.72</v>
      </c>
      <c r="M43" s="22">
        <f t="shared" si="1"/>
        <v>6.694005479452055</v>
      </c>
      <c r="O43" s="14">
        <f t="shared" si="2"/>
        <v>21470.259999999995</v>
      </c>
      <c r="Q43" s="37">
        <f t="shared" si="3"/>
        <v>0.1715857447618232</v>
      </c>
      <c r="S43" s="21">
        <f aca="true" t="shared" si="19" ref="S43:S51">ROUND($AJ$9+((($AJ$10+$AJ$11)*$A43)+($AJ$12/100*C43))*(1+$AJ$14)+$AJ$13,2)</f>
        <v>112150.46</v>
      </c>
      <c r="T43" s="33"/>
      <c r="U43" s="22">
        <f t="shared" si="5"/>
        <v>5.121025570776256</v>
      </c>
      <c r="W43" s="21">
        <f t="shared" si="6"/>
        <v>120747.78</v>
      </c>
      <c r="Y43" s="22">
        <f t="shared" si="7"/>
        <v>5.513597260273972</v>
      </c>
      <c r="AA43" s="14">
        <f t="shared" si="8"/>
        <v>8597.319999999992</v>
      </c>
      <c r="AC43" s="37">
        <f t="shared" si="9"/>
        <v>0.07665880282613191</v>
      </c>
      <c r="AE43" s="37"/>
    </row>
    <row r="44" spans="1:31" ht="12.75">
      <c r="A44" s="39">
        <f>A43</f>
        <v>6000</v>
      </c>
      <c r="C44" s="39">
        <f>C43</f>
        <v>2190000</v>
      </c>
      <c r="E44" s="40">
        <v>0.5</v>
      </c>
      <c r="G44" s="21">
        <f>ROUND($AI$9+((($AI$10+$AI$11)*$A44)+($AI$12/100*C44))*(1+$AI$14)+$AI$13,2)</f>
        <v>125128.46</v>
      </c>
      <c r="H44" s="33"/>
      <c r="I44" s="22">
        <f t="shared" si="0"/>
        <v>5.713628310502283</v>
      </c>
      <c r="K44" s="21">
        <f t="shared" si="18"/>
        <v>144343.02</v>
      </c>
      <c r="M44" s="22">
        <f t="shared" si="1"/>
        <v>6.591005479452054</v>
      </c>
      <c r="O44" s="14">
        <f t="shared" si="2"/>
        <v>19214.559999999983</v>
      </c>
      <c r="Q44" s="37">
        <f t="shared" si="3"/>
        <v>0.15355867082516617</v>
      </c>
      <c r="S44" s="21">
        <f t="shared" si="19"/>
        <v>112150.46</v>
      </c>
      <c r="T44" s="33"/>
      <c r="U44" s="22">
        <f t="shared" si="5"/>
        <v>5.121025570776256</v>
      </c>
      <c r="W44" s="21">
        <f t="shared" si="6"/>
        <v>120071.07</v>
      </c>
      <c r="Y44" s="22">
        <f t="shared" si="7"/>
        <v>5.482697260273973</v>
      </c>
      <c r="AA44" s="14">
        <f t="shared" si="8"/>
        <v>7920.610000000001</v>
      </c>
      <c r="AC44" s="37">
        <f t="shared" si="9"/>
        <v>0.07062485521682205</v>
      </c>
      <c r="AE44" s="37"/>
    </row>
    <row r="45" spans="1:31" ht="12.75">
      <c r="A45" s="39">
        <f>A44</f>
        <v>6000</v>
      </c>
      <c r="C45" s="39">
        <f>C44</f>
        <v>2190000</v>
      </c>
      <c r="E45" s="40">
        <v>0.4</v>
      </c>
      <c r="G45" s="21">
        <f>ROUND($AI$9+((($AI$10+$AI$11)*$A45)+($AI$12/100*C45))*(1+$AI$14)+$AI$13,2)</f>
        <v>125128.46</v>
      </c>
      <c r="H45" s="33"/>
      <c r="I45" s="22">
        <f t="shared" si="0"/>
        <v>5.713628310502283</v>
      </c>
      <c r="K45" s="21">
        <f t="shared" si="18"/>
        <v>142087.32</v>
      </c>
      <c r="M45" s="22">
        <f t="shared" si="1"/>
        <v>6.488005479452055</v>
      </c>
      <c r="O45" s="14">
        <f aca="true" t="shared" si="20" ref="O45:O61">IF(K45="","",K45-G45)</f>
        <v>16958.86</v>
      </c>
      <c r="Q45" s="37">
        <f t="shared" si="3"/>
        <v>0.13553159688850958</v>
      </c>
      <c r="S45" s="21">
        <f t="shared" si="19"/>
        <v>112150.46</v>
      </c>
      <c r="T45" s="33"/>
      <c r="U45" s="22">
        <f t="shared" si="5"/>
        <v>5.121025570776256</v>
      </c>
      <c r="W45" s="21">
        <f t="shared" si="6"/>
        <v>119394.36</v>
      </c>
      <c r="Y45" s="22">
        <f t="shared" si="7"/>
        <v>5.451797260273972</v>
      </c>
      <c r="AA45" s="14">
        <f aca="true" t="shared" si="21" ref="AA45:AA61">IF(W45="","",W45-S45)</f>
        <v>7243.899999999994</v>
      </c>
      <c r="AC45" s="37">
        <f t="shared" si="9"/>
        <v>0.06459090760751218</v>
      </c>
      <c r="AE45" s="37"/>
    </row>
    <row r="46" spans="1:31" ht="12.75">
      <c r="A46" s="39">
        <f>A45</f>
        <v>6000</v>
      </c>
      <c r="C46" s="9">
        <f>A43*0.7*730</f>
        <v>3066000</v>
      </c>
      <c r="E46" s="40">
        <f aca="true" t="shared" si="22" ref="E46:E51">E43</f>
        <v>0.6</v>
      </c>
      <c r="G46" s="21">
        <f>ROUND($AI$9+((($AI$10+$AI$11)*$A43)+($AI$12/100*C46))*(1+$AI$14)+$AI$13,2)</f>
        <v>150155</v>
      </c>
      <c r="H46" s="33"/>
      <c r="I46" s="22">
        <f t="shared" si="0"/>
        <v>4.897423352902805</v>
      </c>
      <c r="K46" s="21">
        <f t="shared" si="18"/>
        <v>175788.38</v>
      </c>
      <c r="M46" s="22">
        <f t="shared" si="1"/>
        <v>5.733476190476191</v>
      </c>
      <c r="O46" s="14">
        <f t="shared" si="20"/>
        <v>25633.380000000005</v>
      </c>
      <c r="Q46" s="37">
        <f t="shared" si="3"/>
        <v>0.17071279677666418</v>
      </c>
      <c r="S46" s="21">
        <f t="shared" si="19"/>
        <v>137177</v>
      </c>
      <c r="T46" s="33"/>
      <c r="U46" s="22">
        <f t="shared" si="5"/>
        <v>4.474135681669928</v>
      </c>
      <c r="W46" s="21">
        <f t="shared" si="6"/>
        <v>146147.86</v>
      </c>
      <c r="Y46" s="22">
        <f t="shared" si="7"/>
        <v>4.766727332028702</v>
      </c>
      <c r="AA46" s="14">
        <f t="shared" si="21"/>
        <v>8970.859999999986</v>
      </c>
      <c r="AC46" s="37">
        <f t="shared" si="9"/>
        <v>0.06539623989444276</v>
      </c>
      <c r="AE46" s="37"/>
    </row>
    <row r="47" spans="1:31" ht="12.75">
      <c r="A47" s="39">
        <f>A46</f>
        <v>6000</v>
      </c>
      <c r="C47" s="39">
        <f>C46</f>
        <v>3066000</v>
      </c>
      <c r="E47" s="40">
        <f t="shared" si="22"/>
        <v>0.5</v>
      </c>
      <c r="G47" s="21">
        <f>ROUND($AI$9+((($AI$10+$AI$11)*$A44)+($AI$12/100*C47))*(1+$AI$14)+$AI$13,2)</f>
        <v>150155</v>
      </c>
      <c r="H47" s="33"/>
      <c r="I47" s="22">
        <f t="shared" si="0"/>
        <v>4.897423352902805</v>
      </c>
      <c r="K47" s="21">
        <f t="shared" si="18"/>
        <v>172630.4</v>
      </c>
      <c r="M47" s="22">
        <f t="shared" si="1"/>
        <v>5.63047619047619</v>
      </c>
      <c r="O47" s="14">
        <f t="shared" si="20"/>
        <v>22475.399999999994</v>
      </c>
      <c r="Q47" s="37">
        <f t="shared" si="3"/>
        <v>0.14968132929306388</v>
      </c>
      <c r="S47" s="21">
        <f t="shared" si="19"/>
        <v>137177</v>
      </c>
      <c r="T47" s="33"/>
      <c r="U47" s="22">
        <f t="shared" si="5"/>
        <v>4.474135681669928</v>
      </c>
      <c r="W47" s="21">
        <f t="shared" si="6"/>
        <v>145200.47</v>
      </c>
      <c r="Y47" s="22">
        <f t="shared" si="7"/>
        <v>4.735827462491846</v>
      </c>
      <c r="AA47" s="14">
        <f t="shared" si="21"/>
        <v>8023.470000000001</v>
      </c>
      <c r="AC47" s="37">
        <f t="shared" si="9"/>
        <v>0.05848990720018654</v>
      </c>
      <c r="AE47" s="37"/>
    </row>
    <row r="48" spans="1:31" ht="12.75">
      <c r="A48" s="39">
        <f>A47</f>
        <v>6000</v>
      </c>
      <c r="C48" s="39">
        <f>C47</f>
        <v>3066000</v>
      </c>
      <c r="E48" s="40">
        <f t="shared" si="22"/>
        <v>0.4</v>
      </c>
      <c r="G48" s="21">
        <f>ROUND($AI$9+((($AI$10+$AI$11)*$A45)+($AI$12/100*C48))*(1+$AI$14)+$AI$13,2)</f>
        <v>150155</v>
      </c>
      <c r="H48" s="33"/>
      <c r="I48" s="22">
        <f t="shared" si="0"/>
        <v>4.897423352902805</v>
      </c>
      <c r="K48" s="21">
        <f t="shared" si="18"/>
        <v>169472.42</v>
      </c>
      <c r="M48" s="22">
        <f t="shared" si="1"/>
        <v>5.527476190476191</v>
      </c>
      <c r="O48" s="14">
        <f t="shared" si="20"/>
        <v>19317.420000000013</v>
      </c>
      <c r="Q48" s="37">
        <f t="shared" si="3"/>
        <v>0.12864986180946358</v>
      </c>
      <c r="S48" s="21">
        <f t="shared" si="19"/>
        <v>137177</v>
      </c>
      <c r="T48" s="33"/>
      <c r="U48" s="22">
        <f t="shared" si="5"/>
        <v>4.474135681669928</v>
      </c>
      <c r="W48" s="21">
        <f t="shared" si="6"/>
        <v>144253.08</v>
      </c>
      <c r="Y48" s="22">
        <f t="shared" si="7"/>
        <v>4.70492759295499</v>
      </c>
      <c r="AA48" s="14">
        <f t="shared" si="21"/>
        <v>7076.079999999987</v>
      </c>
      <c r="AC48" s="37">
        <f t="shared" si="9"/>
        <v>0.051583574505930097</v>
      </c>
      <c r="AE48" s="37"/>
    </row>
    <row r="49" spans="1:31" ht="12.75">
      <c r="A49" s="39">
        <f>A46</f>
        <v>6000</v>
      </c>
      <c r="C49" s="9">
        <f>A43*0.9*730</f>
        <v>3942000</v>
      </c>
      <c r="E49" s="40">
        <f t="shared" si="22"/>
        <v>0.6</v>
      </c>
      <c r="G49" s="21">
        <f>ROUND($AI$9+((($AI$10+$AI$11)*$A43)+($AI$12/100*C49))*(1+$AI$14)+$AI$13,2)</f>
        <v>175181.54</v>
      </c>
      <c r="H49" s="33"/>
      <c r="I49" s="22">
        <f t="shared" si="0"/>
        <v>4.443976154236429</v>
      </c>
      <c r="K49" s="21">
        <f t="shared" si="18"/>
        <v>204978.04</v>
      </c>
      <c r="M49" s="22">
        <f t="shared" si="1"/>
        <v>5.199848807711822</v>
      </c>
      <c r="O49" s="14">
        <f t="shared" si="20"/>
        <v>29796.5</v>
      </c>
      <c r="Q49" s="37">
        <f t="shared" si="3"/>
        <v>0.17008926853822603</v>
      </c>
      <c r="S49" s="21">
        <f t="shared" si="19"/>
        <v>162203.54</v>
      </c>
      <c r="T49" s="33"/>
      <c r="U49" s="22">
        <f t="shared" si="5"/>
        <v>4.114752409944191</v>
      </c>
      <c r="W49" s="21">
        <f t="shared" si="6"/>
        <v>171547.95</v>
      </c>
      <c r="Y49" s="22">
        <f t="shared" si="7"/>
        <v>4.351799847792999</v>
      </c>
      <c r="AA49" s="14">
        <f t="shared" si="21"/>
        <v>9344.410000000003</v>
      </c>
      <c r="AC49" s="37">
        <f t="shared" si="9"/>
        <v>0.0576091619208805</v>
      </c>
      <c r="AE49" s="37"/>
    </row>
    <row r="50" spans="1:31" ht="12.75">
      <c r="A50" s="39">
        <f>A47</f>
        <v>6000</v>
      </c>
      <c r="C50" s="39">
        <f>C49</f>
        <v>3942000</v>
      </c>
      <c r="E50" s="40">
        <f t="shared" si="22"/>
        <v>0.5</v>
      </c>
      <c r="G50" s="21">
        <f>ROUND($AI$9+((($AI$10+$AI$11)*$A44)+($AI$12/100*C50))*(1+$AI$14)+$AI$13,2)</f>
        <v>175181.54</v>
      </c>
      <c r="H50" s="33"/>
      <c r="I50" s="22">
        <f t="shared" si="0"/>
        <v>4.443976154236429</v>
      </c>
      <c r="K50" s="21">
        <f t="shared" si="18"/>
        <v>200917.78</v>
      </c>
      <c r="M50" s="22">
        <f t="shared" si="1"/>
        <v>5.0968488077118215</v>
      </c>
      <c r="O50" s="14">
        <f t="shared" si="20"/>
        <v>25736.23999999999</v>
      </c>
      <c r="Q50" s="37">
        <f t="shared" si="3"/>
        <v>0.14691182644016032</v>
      </c>
      <c r="S50" s="21">
        <f t="shared" si="19"/>
        <v>162203.54</v>
      </c>
      <c r="T50" s="33"/>
      <c r="U50" s="22">
        <f t="shared" si="5"/>
        <v>4.114752409944191</v>
      </c>
      <c r="W50" s="21">
        <f t="shared" si="6"/>
        <v>170329.87</v>
      </c>
      <c r="Y50" s="22">
        <f t="shared" si="7"/>
        <v>4.320899797057331</v>
      </c>
      <c r="AA50" s="14">
        <f t="shared" si="21"/>
        <v>8126.329999999987</v>
      </c>
      <c r="AC50" s="37">
        <f t="shared" si="9"/>
        <v>0.050099584756288174</v>
      </c>
      <c r="AE50" s="37"/>
    </row>
    <row r="51" spans="1:31" ht="12.75">
      <c r="A51" s="39">
        <f>A48</f>
        <v>6000</v>
      </c>
      <c r="C51" s="39">
        <f>C50</f>
        <v>3942000</v>
      </c>
      <c r="E51" s="40">
        <f t="shared" si="22"/>
        <v>0.4</v>
      </c>
      <c r="G51" s="21">
        <f>ROUND($AI$9+((($AI$10+$AI$11)*$A45)+($AI$12/100*C51))*(1+$AI$14)+$AI$13,2)</f>
        <v>175181.54</v>
      </c>
      <c r="H51" s="33"/>
      <c r="I51" s="22">
        <f t="shared" si="0"/>
        <v>4.443976154236429</v>
      </c>
      <c r="K51" s="21">
        <f t="shared" si="18"/>
        <v>196857.52</v>
      </c>
      <c r="M51" s="22">
        <f t="shared" si="1"/>
        <v>4.993848807711821</v>
      </c>
      <c r="O51" s="14">
        <f t="shared" si="20"/>
        <v>21675.97999999998</v>
      </c>
      <c r="Q51" s="37">
        <f t="shared" si="3"/>
        <v>0.12373438434209438</v>
      </c>
      <c r="S51" s="21">
        <f t="shared" si="19"/>
        <v>162203.54</v>
      </c>
      <c r="T51" s="33"/>
      <c r="U51" s="22">
        <f t="shared" si="5"/>
        <v>4.114752409944191</v>
      </c>
      <c r="W51" s="21">
        <f t="shared" si="6"/>
        <v>169111.79</v>
      </c>
      <c r="Y51" s="22">
        <f t="shared" si="7"/>
        <v>4.289999746321664</v>
      </c>
      <c r="AA51" s="14">
        <f t="shared" si="21"/>
        <v>6908.25</v>
      </c>
      <c r="AC51" s="37">
        <f t="shared" si="9"/>
        <v>0.04259000759169629</v>
      </c>
      <c r="AE51" s="37"/>
    </row>
    <row r="52" spans="15:31" ht="12.75">
      <c r="O52" s="14">
        <f t="shared" si="20"/>
      </c>
      <c r="Q52" s="38"/>
      <c r="AA52" s="14">
        <f t="shared" si="21"/>
      </c>
      <c r="AC52" s="38"/>
      <c r="AE52" s="37"/>
    </row>
    <row r="53" spans="1:31" ht="12.75">
      <c r="A53" s="9">
        <v>10000</v>
      </c>
      <c r="C53" s="9">
        <f>A53*0.5*730</f>
        <v>3650000</v>
      </c>
      <c r="E53" s="40">
        <v>0.6</v>
      </c>
      <c r="G53" s="21">
        <f>ROUND($AI$9+((($AI$10+$AI$11)*$A53)+($AI$12/100*C53))*(1+$AI$14)+$AI$13,2)</f>
        <v>208533.76</v>
      </c>
      <c r="H53" s="33"/>
      <c r="I53" s="22">
        <f aca="true" t="shared" si="23" ref="I53:I61">IF(G53="","",G53/$C53*100)</f>
        <v>5.713253698630137</v>
      </c>
      <c r="K53" s="21">
        <f aca="true" t="shared" si="24" ref="K53:K61">ROUND(AI$17+(($AI$18+$AI$19+$AI$20)*A53+(AI$21*E53+AI$22*(1-E53))/100*C53)*(1+$AI$24)+$AI$23,2)</f>
        <v>244317.35</v>
      </c>
      <c r="M53" s="22">
        <f aca="true" t="shared" si="25" ref="M53:M61">IF(K53="","",K53/$C53*100)</f>
        <v>6.6936260273972605</v>
      </c>
      <c r="O53" s="14">
        <f t="shared" si="20"/>
        <v>35783.59</v>
      </c>
      <c r="Q53" s="37">
        <f aca="true" t="shared" si="26" ref="Q53:Q61">IF(M53="","",K53/G53-1)</f>
        <v>0.17159614826875025</v>
      </c>
      <c r="S53" s="21">
        <f aca="true" t="shared" si="27" ref="S53:S61">ROUND($AJ$9+((($AJ$10+$AJ$11)*$A53)+($AJ$12/100*C53))*(1+$AJ$14)+$AJ$13,2)</f>
        <v>186903.76</v>
      </c>
      <c r="T53" s="33"/>
      <c r="U53" s="22">
        <f aca="true" t="shared" si="28" ref="U53:U61">IF(S53="","",S53/$C53*100)</f>
        <v>5.120650958904109</v>
      </c>
      <c r="W53" s="21">
        <f t="shared" si="6"/>
        <v>201232.45</v>
      </c>
      <c r="Y53" s="22">
        <f aca="true" t="shared" si="29" ref="Y53:Y61">IF(W53="","",W53/$C53*100)</f>
        <v>5.513217808219179</v>
      </c>
      <c r="AA53" s="14">
        <f t="shared" si="21"/>
        <v>14328.690000000002</v>
      </c>
      <c r="AC53" s="37">
        <f aca="true" t="shared" si="30" ref="AC53:AC61">IF(Y53="","",W53/S53-1)</f>
        <v>0.07666346573231064</v>
      </c>
      <c r="AE53" s="37"/>
    </row>
    <row r="54" spans="1:31" ht="12.75">
      <c r="A54" s="39">
        <f>A53</f>
        <v>10000</v>
      </c>
      <c r="C54" s="39">
        <f>C53</f>
        <v>3650000</v>
      </c>
      <c r="E54" s="40">
        <v>0.5</v>
      </c>
      <c r="G54" s="21">
        <f>ROUND($AI$9+((($AI$10+$AI$11)*$A54)+($AI$12/100*C54))*(1+$AI$14)+$AI$13,2)</f>
        <v>208533.76</v>
      </c>
      <c r="H54" s="33"/>
      <c r="I54" s="22">
        <f t="shared" si="23"/>
        <v>5.713253698630137</v>
      </c>
      <c r="K54" s="21">
        <f t="shared" si="24"/>
        <v>240557.85</v>
      </c>
      <c r="M54" s="22">
        <f t="shared" si="25"/>
        <v>6.59062602739726</v>
      </c>
      <c r="O54" s="14">
        <f t="shared" si="20"/>
        <v>32024.089999999997</v>
      </c>
      <c r="Q54" s="37">
        <f t="shared" si="26"/>
        <v>0.15356789231633283</v>
      </c>
      <c r="S54" s="21">
        <f t="shared" si="27"/>
        <v>186903.76</v>
      </c>
      <c r="T54" s="33"/>
      <c r="U54" s="22">
        <f t="shared" si="28"/>
        <v>5.120650958904109</v>
      </c>
      <c r="W54" s="21">
        <f t="shared" si="6"/>
        <v>200104.6</v>
      </c>
      <c r="Y54" s="22">
        <f t="shared" si="29"/>
        <v>5.482317808219178</v>
      </c>
      <c r="AA54" s="14">
        <f t="shared" si="21"/>
        <v>13200.839999999997</v>
      </c>
      <c r="AC54" s="37">
        <f t="shared" si="30"/>
        <v>0.07062907669701235</v>
      </c>
      <c r="AE54" s="37"/>
    </row>
    <row r="55" spans="1:31" ht="12.75">
      <c r="A55" s="39">
        <f>A54</f>
        <v>10000</v>
      </c>
      <c r="C55" s="39">
        <f>C54</f>
        <v>3650000</v>
      </c>
      <c r="E55" s="40">
        <v>0.4</v>
      </c>
      <c r="G55" s="21">
        <f>ROUND($AI$9+((($AI$10+$AI$11)*$A55)+($AI$12/100*C55))*(1+$AI$14)+$AI$13,2)</f>
        <v>208533.76</v>
      </c>
      <c r="H55" s="33"/>
      <c r="I55" s="22">
        <f t="shared" si="23"/>
        <v>5.713253698630137</v>
      </c>
      <c r="K55" s="21">
        <f t="shared" si="24"/>
        <v>236798.35</v>
      </c>
      <c r="M55" s="22">
        <f t="shared" si="25"/>
        <v>6.48762602739726</v>
      </c>
      <c r="O55" s="14">
        <f t="shared" si="20"/>
        <v>28264.589999999997</v>
      </c>
      <c r="Q55" s="37">
        <f t="shared" si="26"/>
        <v>0.13553963636391542</v>
      </c>
      <c r="S55" s="21">
        <f t="shared" si="27"/>
        <v>186903.76</v>
      </c>
      <c r="T55" s="33"/>
      <c r="U55" s="22">
        <f t="shared" si="28"/>
        <v>5.120650958904109</v>
      </c>
      <c r="W55" s="21">
        <f t="shared" si="6"/>
        <v>198976.75</v>
      </c>
      <c r="Y55" s="22">
        <f t="shared" si="29"/>
        <v>5.451417808219178</v>
      </c>
      <c r="AA55" s="14">
        <f t="shared" si="21"/>
        <v>12072.98999999999</v>
      </c>
      <c r="AC55" s="37">
        <f t="shared" si="30"/>
        <v>0.06459468766171428</v>
      </c>
      <c r="AE55" s="37"/>
    </row>
    <row r="56" spans="1:31" ht="12.75">
      <c r="A56" s="39">
        <f>A55</f>
        <v>10000</v>
      </c>
      <c r="C56" s="9">
        <f>A53*0.7*730</f>
        <v>5110000</v>
      </c>
      <c r="E56" s="40">
        <f aca="true" t="shared" si="31" ref="E56:E61">E53</f>
        <v>0.6</v>
      </c>
      <c r="G56" s="21">
        <f>ROUND($AI$9+((($AI$10+$AI$11)*$A53)+($AI$12/100*C56))*(1+$AI$14)+$AI$13,2)</f>
        <v>250244.66</v>
      </c>
      <c r="H56" s="33"/>
      <c r="I56" s="22">
        <f t="shared" si="23"/>
        <v>4.89715577299413</v>
      </c>
      <c r="K56" s="21">
        <f t="shared" si="24"/>
        <v>292966.79</v>
      </c>
      <c r="M56" s="22">
        <f t="shared" si="25"/>
        <v>5.733205283757338</v>
      </c>
      <c r="O56" s="14">
        <f t="shared" si="20"/>
        <v>42722.129999999976</v>
      </c>
      <c r="Q56" s="37">
        <f t="shared" si="26"/>
        <v>0.17072144516490373</v>
      </c>
      <c r="S56" s="21">
        <f t="shared" si="27"/>
        <v>228614.66</v>
      </c>
      <c r="T56" s="33"/>
      <c r="U56" s="22">
        <f t="shared" si="28"/>
        <v>4.473868101761252</v>
      </c>
      <c r="W56" s="21">
        <f t="shared" si="6"/>
        <v>243565.93</v>
      </c>
      <c r="Y56" s="22">
        <f t="shared" si="29"/>
        <v>4.766456555772994</v>
      </c>
      <c r="AA56" s="14">
        <f t="shared" si="21"/>
        <v>14951.26999999999</v>
      </c>
      <c r="AC56" s="37">
        <f t="shared" si="30"/>
        <v>0.06539943676402893</v>
      </c>
      <c r="AE56" s="37"/>
    </row>
    <row r="57" spans="1:31" ht="12.75">
      <c r="A57" s="39">
        <f>A56</f>
        <v>10000</v>
      </c>
      <c r="C57" s="39">
        <f>C56</f>
        <v>5110000</v>
      </c>
      <c r="E57" s="40">
        <f t="shared" si="31"/>
        <v>0.5</v>
      </c>
      <c r="G57" s="21">
        <f>ROUND($AI$9+((($AI$10+$AI$11)*$A54)+($AI$12/100*C57))*(1+$AI$14)+$AI$13,2)</f>
        <v>250244.66</v>
      </c>
      <c r="H57" s="33"/>
      <c r="I57" s="22">
        <f t="shared" si="23"/>
        <v>4.89715577299413</v>
      </c>
      <c r="K57" s="21">
        <f t="shared" si="24"/>
        <v>287703.49</v>
      </c>
      <c r="M57" s="22">
        <f t="shared" si="25"/>
        <v>5.630205283757339</v>
      </c>
      <c r="O57" s="14">
        <f t="shared" si="20"/>
        <v>37458.82999999999</v>
      </c>
      <c r="Q57" s="37">
        <f t="shared" si="26"/>
        <v>0.14968882852485232</v>
      </c>
      <c r="S57" s="21">
        <f t="shared" si="27"/>
        <v>228614.66</v>
      </c>
      <c r="T57" s="33"/>
      <c r="U57" s="22">
        <f t="shared" si="28"/>
        <v>4.473868101761252</v>
      </c>
      <c r="W57" s="21">
        <f t="shared" si="6"/>
        <v>241986.94</v>
      </c>
      <c r="Y57" s="22">
        <f t="shared" si="29"/>
        <v>4.735556555772994</v>
      </c>
      <c r="AA57" s="14">
        <f t="shared" si="21"/>
        <v>13372.279999999999</v>
      </c>
      <c r="AC57" s="37">
        <f t="shared" si="30"/>
        <v>0.058492661844170346</v>
      </c>
      <c r="AE57" s="37"/>
    </row>
    <row r="58" spans="1:31" ht="12.75">
      <c r="A58" s="39">
        <f>A57</f>
        <v>10000</v>
      </c>
      <c r="C58" s="39">
        <f>C57</f>
        <v>5110000</v>
      </c>
      <c r="E58" s="40">
        <f t="shared" si="31"/>
        <v>0.4</v>
      </c>
      <c r="G58" s="21">
        <f>ROUND($AI$9+((($AI$10+$AI$11)*$A55)+($AI$12/100*C58))*(1+$AI$14)+$AI$13,2)</f>
        <v>250244.66</v>
      </c>
      <c r="H58" s="33"/>
      <c r="I58" s="22">
        <f t="shared" si="23"/>
        <v>4.89715577299413</v>
      </c>
      <c r="K58" s="21">
        <f t="shared" si="24"/>
        <v>282440.19</v>
      </c>
      <c r="M58" s="22">
        <f t="shared" si="25"/>
        <v>5.527205283757339</v>
      </c>
      <c r="O58" s="14">
        <f t="shared" si="20"/>
        <v>32195.53</v>
      </c>
      <c r="Q58" s="37">
        <f t="shared" si="26"/>
        <v>0.12865621188480114</v>
      </c>
      <c r="S58" s="21">
        <f t="shared" si="27"/>
        <v>228614.66</v>
      </c>
      <c r="T58" s="33"/>
      <c r="U58" s="22">
        <f t="shared" si="28"/>
        <v>4.473868101761252</v>
      </c>
      <c r="W58" s="21">
        <f t="shared" si="6"/>
        <v>240407.95</v>
      </c>
      <c r="Y58" s="22">
        <f t="shared" si="29"/>
        <v>4.704656555772995</v>
      </c>
      <c r="AA58" s="14">
        <f t="shared" si="21"/>
        <v>11793.290000000008</v>
      </c>
      <c r="AC58" s="37">
        <f t="shared" si="30"/>
        <v>0.051585886924311986</v>
      </c>
      <c r="AE58" s="37"/>
    </row>
    <row r="59" spans="1:31" ht="12.75">
      <c r="A59" s="39">
        <f>A56</f>
        <v>10000</v>
      </c>
      <c r="C59" s="9">
        <f>A53*0.9*730</f>
        <v>6570000</v>
      </c>
      <c r="E59" s="40">
        <f t="shared" si="31"/>
        <v>0.6</v>
      </c>
      <c r="G59" s="21">
        <f>ROUND($AI$9+((($AI$10+$AI$11)*$A53)+($AI$12/100*C59))*(1+$AI$14)+$AI$13,2)</f>
        <v>291955.56</v>
      </c>
      <c r="H59" s="33"/>
      <c r="I59" s="22">
        <f t="shared" si="23"/>
        <v>4.44376803652968</v>
      </c>
      <c r="K59" s="21">
        <f t="shared" si="24"/>
        <v>341616.22</v>
      </c>
      <c r="M59" s="22">
        <f t="shared" si="25"/>
        <v>5.19963805175038</v>
      </c>
      <c r="O59" s="14">
        <f t="shared" si="20"/>
        <v>49660.659999999974</v>
      </c>
      <c r="Q59" s="37">
        <f t="shared" si="26"/>
        <v>0.17009664073532282</v>
      </c>
      <c r="S59" s="21">
        <f t="shared" si="27"/>
        <v>270325.56</v>
      </c>
      <c r="T59" s="33"/>
      <c r="U59" s="22">
        <f t="shared" si="28"/>
        <v>4.114544292237444</v>
      </c>
      <c r="W59" s="21">
        <f t="shared" si="6"/>
        <v>285899.4</v>
      </c>
      <c r="Y59" s="22">
        <f t="shared" si="29"/>
        <v>4.351589041095891</v>
      </c>
      <c r="AA59" s="14">
        <f t="shared" si="21"/>
        <v>15573.840000000026</v>
      </c>
      <c r="AC59" s="37">
        <f t="shared" si="30"/>
        <v>0.057611422316113936</v>
      </c>
      <c r="AE59" s="37"/>
    </row>
    <row r="60" spans="1:31" ht="12.75">
      <c r="A60" s="39">
        <f>A57</f>
        <v>10000</v>
      </c>
      <c r="C60" s="39">
        <f>C59</f>
        <v>6570000</v>
      </c>
      <c r="E60" s="40">
        <f t="shared" si="31"/>
        <v>0.5</v>
      </c>
      <c r="G60" s="21">
        <f>ROUND($AI$9+((($AI$10+$AI$11)*$A54)+($AI$12/100*C60))*(1+$AI$14)+$AI$13,2)</f>
        <v>291955.56</v>
      </c>
      <c r="H60" s="33"/>
      <c r="I60" s="22">
        <f t="shared" si="23"/>
        <v>4.44376803652968</v>
      </c>
      <c r="K60" s="21">
        <f t="shared" si="24"/>
        <v>334849.12</v>
      </c>
      <c r="M60" s="22">
        <f t="shared" si="25"/>
        <v>5.09663805175038</v>
      </c>
      <c r="O60" s="14">
        <f t="shared" si="20"/>
        <v>42893.56</v>
      </c>
      <c r="Q60" s="37">
        <f t="shared" si="26"/>
        <v>0.14691811315393344</v>
      </c>
      <c r="S60" s="21">
        <f t="shared" si="27"/>
        <v>270325.56</v>
      </c>
      <c r="T60" s="33"/>
      <c r="U60" s="22">
        <f t="shared" si="28"/>
        <v>4.114544292237444</v>
      </c>
      <c r="W60" s="21">
        <f t="shared" si="6"/>
        <v>283869.27</v>
      </c>
      <c r="Y60" s="22">
        <f t="shared" si="29"/>
        <v>4.32068904109589</v>
      </c>
      <c r="AA60" s="14">
        <f t="shared" si="21"/>
        <v>13543.710000000021</v>
      </c>
      <c r="AC60" s="37">
        <f t="shared" si="30"/>
        <v>0.0501014776405162</v>
      </c>
      <c r="AE60" s="37"/>
    </row>
    <row r="61" spans="1:31" ht="12.75">
      <c r="A61" s="39">
        <f>A58</f>
        <v>10000</v>
      </c>
      <c r="C61" s="39">
        <f>C60</f>
        <v>6570000</v>
      </c>
      <c r="E61" s="40">
        <f t="shared" si="31"/>
        <v>0.4</v>
      </c>
      <c r="G61" s="21">
        <f>ROUND($AI$9+((($AI$10+$AI$11)*$A55)+($AI$12/100*C61))*(1+$AI$14)+$AI$13,2)</f>
        <v>291955.56</v>
      </c>
      <c r="H61" s="33"/>
      <c r="I61" s="22">
        <f t="shared" si="23"/>
        <v>4.44376803652968</v>
      </c>
      <c r="K61" s="21">
        <f t="shared" si="24"/>
        <v>328082.02</v>
      </c>
      <c r="M61" s="22">
        <f t="shared" si="25"/>
        <v>4.993638051750381</v>
      </c>
      <c r="O61" s="14">
        <f t="shared" si="20"/>
        <v>36126.46000000002</v>
      </c>
      <c r="Q61" s="37">
        <f t="shared" si="26"/>
        <v>0.12373958557254405</v>
      </c>
      <c r="S61" s="21">
        <f t="shared" si="27"/>
        <v>270325.56</v>
      </c>
      <c r="T61" s="33"/>
      <c r="U61" s="22">
        <f t="shared" si="28"/>
        <v>4.114544292237444</v>
      </c>
      <c r="W61" s="21">
        <f t="shared" si="6"/>
        <v>281839.14</v>
      </c>
      <c r="Y61" s="22">
        <f t="shared" si="29"/>
        <v>4.289789041095891</v>
      </c>
      <c r="AA61" s="14">
        <f t="shared" si="21"/>
        <v>11513.580000000016</v>
      </c>
      <c r="AC61" s="37">
        <f t="shared" si="30"/>
        <v>0.042591532964918466</v>
      </c>
      <c r="AE61" s="37"/>
    </row>
    <row r="62" spans="15:27" ht="12.75">
      <c r="O62" s="14"/>
      <c r="AA62" s="14"/>
    </row>
    <row r="63" spans="1:27" ht="15.75">
      <c r="A63" s="27" t="s">
        <v>60</v>
      </c>
      <c r="O63" s="14"/>
      <c r="AA63" s="14"/>
    </row>
    <row r="64" spans="1:27" ht="15.75">
      <c r="A64" s="27" t="s">
        <v>61</v>
      </c>
      <c r="O64" s="14"/>
      <c r="AA64" s="14"/>
    </row>
    <row r="65" spans="15:27" ht="12.75">
      <c r="O65" s="14"/>
      <c r="AA65" s="14"/>
    </row>
    <row r="66" spans="15:27" ht="12.75">
      <c r="O66" s="14"/>
      <c r="AA66" s="14"/>
    </row>
    <row r="67" spans="15:27" ht="12.75">
      <c r="O67" s="14"/>
      <c r="AA67" s="14"/>
    </row>
    <row r="68" spans="15:27" ht="12.75">
      <c r="O68" s="14"/>
      <c r="AA68" s="14"/>
    </row>
    <row r="69" spans="15:27" ht="12.75">
      <c r="O69" s="14"/>
      <c r="AA69" s="14"/>
    </row>
    <row r="70" spans="15:27" ht="12.75">
      <c r="O70" s="14"/>
      <c r="AA70" s="14"/>
    </row>
  </sheetData>
  <mergeCells count="2">
    <mergeCell ref="AA7:AC7"/>
    <mergeCell ref="O7:Q7"/>
  </mergeCells>
  <printOptions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&amp;CBill Comparison Exhibit
(WRG-3)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5.28125" style="9" customWidth="1"/>
    <col min="3" max="3" width="10.8515625" style="9" bestFit="1" customWidth="1"/>
    <col min="4" max="4" width="7.140625" style="5" customWidth="1"/>
    <col min="5" max="5" width="11.140625" style="9" bestFit="1" customWidth="1"/>
    <col min="6" max="6" width="7.140625" style="5" customWidth="1"/>
    <col min="7" max="7" width="12.140625" style="21" customWidth="1"/>
    <col min="8" max="8" width="9.57421875" style="21" hidden="1" customWidth="1"/>
    <col min="9" max="9" width="10.421875" style="21" hidden="1" customWidth="1"/>
    <col min="10" max="10" width="9.140625" style="5" customWidth="1"/>
    <col min="11" max="11" width="11.57421875" style="21" customWidth="1"/>
    <col min="12" max="12" width="7.57421875" style="21" hidden="1" customWidth="1"/>
    <col min="13" max="13" width="10.421875" style="21" hidden="1" customWidth="1"/>
    <col min="14" max="14" width="9.140625" style="5" customWidth="1"/>
    <col min="15" max="15" width="10.8515625" style="5" customWidth="1"/>
    <col min="16" max="17" width="9.140625" style="5" customWidth="1"/>
    <col min="18" max="18" width="7.140625" style="5" customWidth="1"/>
    <col min="19" max="19" width="12.140625" style="21" customWidth="1"/>
    <col min="20" max="20" width="9.57421875" style="21" hidden="1" customWidth="1"/>
    <col min="21" max="21" width="10.421875" style="21" hidden="1" customWidth="1"/>
    <col min="22" max="22" width="9.140625" style="5" customWidth="1"/>
    <col min="23" max="23" width="11.57421875" style="21" customWidth="1"/>
    <col min="24" max="24" width="7.57421875" style="21" hidden="1" customWidth="1"/>
    <col min="25" max="25" width="10.421875" style="21" hidden="1" customWidth="1"/>
    <col min="26" max="26" width="9.140625" style="5" customWidth="1"/>
    <col min="27" max="27" width="10.8515625" style="5" bestFit="1" customWidth="1"/>
    <col min="28" max="16384" width="9.140625" style="5" customWidth="1"/>
  </cols>
  <sheetData>
    <row r="1" spans="1:29" ht="16.5">
      <c r="A1" s="1" t="s">
        <v>0</v>
      </c>
      <c r="B1" s="1"/>
      <c r="C1" s="1"/>
      <c r="D1" s="2"/>
      <c r="E1" s="1"/>
      <c r="F1" s="2"/>
      <c r="G1" s="3"/>
      <c r="H1" s="3"/>
      <c r="I1" s="3"/>
      <c r="J1" s="2"/>
      <c r="K1" s="3"/>
      <c r="L1" s="3"/>
      <c r="M1" s="3"/>
      <c r="N1" s="2"/>
      <c r="O1" s="2"/>
      <c r="P1" s="2"/>
      <c r="Q1" s="2"/>
      <c r="R1" s="2"/>
      <c r="S1" s="3"/>
      <c r="T1" s="3"/>
      <c r="U1" s="3"/>
      <c r="V1" s="2"/>
      <c r="W1" s="3"/>
      <c r="X1" s="3"/>
      <c r="Y1" s="3"/>
      <c r="Z1" s="2"/>
      <c r="AA1" s="2"/>
      <c r="AB1" s="2"/>
      <c r="AC1" s="2"/>
    </row>
    <row r="2" spans="1:29" ht="16.5">
      <c r="A2" s="1" t="s">
        <v>1</v>
      </c>
      <c r="B2" s="1"/>
      <c r="C2" s="1"/>
      <c r="D2" s="2"/>
      <c r="E2" s="1"/>
      <c r="F2" s="2"/>
      <c r="G2" s="3"/>
      <c r="H2" s="3"/>
      <c r="I2" s="3"/>
      <c r="J2" s="2"/>
      <c r="K2" s="3"/>
      <c r="L2" s="3"/>
      <c r="M2" s="3"/>
      <c r="N2" s="2"/>
      <c r="O2" s="2"/>
      <c r="P2" s="2"/>
      <c r="Q2" s="2"/>
      <c r="R2" s="2"/>
      <c r="S2" s="3"/>
      <c r="T2" s="3"/>
      <c r="U2" s="3"/>
      <c r="V2" s="2"/>
      <c r="W2" s="3"/>
      <c r="X2" s="3"/>
      <c r="Y2" s="3"/>
      <c r="Z2" s="2"/>
      <c r="AA2" s="2"/>
      <c r="AB2" s="2"/>
      <c r="AC2" s="2"/>
    </row>
    <row r="3" spans="1:29" ht="16.5">
      <c r="A3" s="1" t="s">
        <v>42</v>
      </c>
      <c r="B3" s="1"/>
      <c r="C3" s="1"/>
      <c r="D3" s="2"/>
      <c r="E3" s="1"/>
      <c r="F3" s="2"/>
      <c r="G3" s="3"/>
      <c r="H3" s="3"/>
      <c r="I3" s="3"/>
      <c r="J3" s="2"/>
      <c r="K3" s="3"/>
      <c r="L3" s="3"/>
      <c r="M3" s="3"/>
      <c r="N3" s="2"/>
      <c r="O3" s="2"/>
      <c r="P3" s="2"/>
      <c r="Q3" s="2"/>
      <c r="R3" s="2"/>
      <c r="S3" s="3"/>
      <c r="T3" s="3"/>
      <c r="U3" s="3"/>
      <c r="V3" s="2"/>
      <c r="W3" s="3"/>
      <c r="X3" s="3"/>
      <c r="Y3" s="3"/>
      <c r="Z3" s="2"/>
      <c r="AA3" s="2"/>
      <c r="AB3" s="2"/>
      <c r="AC3" s="2"/>
    </row>
    <row r="4" spans="1:29" ht="16.5">
      <c r="A4" s="1" t="s">
        <v>43</v>
      </c>
      <c r="B4" s="1"/>
      <c r="C4" s="1"/>
      <c r="D4" s="2"/>
      <c r="E4" s="1"/>
      <c r="F4" s="2"/>
      <c r="G4" s="3"/>
      <c r="H4" s="3"/>
      <c r="I4" s="3"/>
      <c r="J4" s="2"/>
      <c r="K4" s="3"/>
      <c r="L4" s="3"/>
      <c r="M4" s="3"/>
      <c r="N4" s="2"/>
      <c r="O4" s="2"/>
      <c r="P4" s="2"/>
      <c r="Q4" s="2"/>
      <c r="R4" s="2"/>
      <c r="S4" s="3"/>
      <c r="T4" s="3"/>
      <c r="U4" s="3"/>
      <c r="V4" s="2"/>
      <c r="W4" s="3"/>
      <c r="X4" s="3"/>
      <c r="Y4" s="3"/>
      <c r="Z4" s="2"/>
      <c r="AA4" s="2"/>
      <c r="AB4" s="2"/>
      <c r="AC4" s="2"/>
    </row>
    <row r="5" spans="1:28" ht="12.75">
      <c r="A5" s="6"/>
      <c r="B5" s="6"/>
      <c r="C5" s="6"/>
      <c r="D5" s="2"/>
      <c r="E5" s="6"/>
      <c r="F5" s="2"/>
      <c r="G5" s="3"/>
      <c r="H5" s="3"/>
      <c r="I5" s="3"/>
      <c r="J5" s="2"/>
      <c r="K5" s="3"/>
      <c r="L5" s="3"/>
      <c r="M5" s="3"/>
      <c r="N5" s="2"/>
      <c r="P5" s="2"/>
      <c r="R5" s="2"/>
      <c r="S5" s="3"/>
      <c r="T5" s="3"/>
      <c r="U5" s="3"/>
      <c r="V5" s="2"/>
      <c r="W5" s="3"/>
      <c r="X5" s="3"/>
      <c r="Y5" s="3"/>
      <c r="Z5" s="2"/>
      <c r="AB5" s="2"/>
    </row>
    <row r="6" spans="1:36" ht="12.75">
      <c r="A6" s="6"/>
      <c r="B6" s="6"/>
      <c r="C6" s="6"/>
      <c r="D6" s="2"/>
      <c r="E6" s="6"/>
      <c r="F6" s="2"/>
      <c r="G6" s="7" t="s">
        <v>4</v>
      </c>
      <c r="H6" s="3"/>
      <c r="I6" s="3"/>
      <c r="J6" s="2"/>
      <c r="K6" s="3"/>
      <c r="L6" s="3"/>
      <c r="M6" s="3"/>
      <c r="N6" s="2"/>
      <c r="O6" s="2"/>
      <c r="P6" s="2"/>
      <c r="Q6" s="2"/>
      <c r="R6" s="2"/>
      <c r="S6" s="7" t="s">
        <v>5</v>
      </c>
      <c r="T6" s="3"/>
      <c r="U6" s="3"/>
      <c r="V6" s="2"/>
      <c r="W6" s="3"/>
      <c r="X6" s="3"/>
      <c r="Y6" s="3"/>
      <c r="Z6" s="2"/>
      <c r="AA6" s="2"/>
      <c r="AB6" s="2"/>
      <c r="AC6" s="2"/>
      <c r="AI6" s="5" t="s">
        <v>4</v>
      </c>
      <c r="AJ6" s="5" t="s">
        <v>5</v>
      </c>
    </row>
    <row r="7" spans="7:34" ht="15.75">
      <c r="G7" s="10" t="s">
        <v>47</v>
      </c>
      <c r="H7" s="10"/>
      <c r="I7" s="10"/>
      <c r="J7" s="11"/>
      <c r="K7" s="10"/>
      <c r="L7" s="10"/>
      <c r="M7" s="10"/>
      <c r="O7" s="41" t="s">
        <v>6</v>
      </c>
      <c r="P7" s="41"/>
      <c r="Q7" s="41"/>
      <c r="S7" s="10" t="s">
        <v>47</v>
      </c>
      <c r="T7" s="10"/>
      <c r="U7" s="10"/>
      <c r="V7" s="11"/>
      <c r="W7" s="10"/>
      <c r="X7" s="10"/>
      <c r="Y7" s="10"/>
      <c r="AA7" s="41" t="s">
        <v>6</v>
      </c>
      <c r="AB7" s="41"/>
      <c r="AC7" s="41"/>
      <c r="AH7" s="31" t="s">
        <v>44</v>
      </c>
    </row>
    <row r="8" spans="7:28" ht="12.75">
      <c r="G8"/>
      <c r="H8"/>
      <c r="I8"/>
      <c r="J8"/>
      <c r="K8"/>
      <c r="L8"/>
      <c r="M8"/>
      <c r="N8" s="13"/>
      <c r="P8" s="13"/>
      <c r="S8"/>
      <c r="T8"/>
      <c r="U8"/>
      <c r="V8"/>
      <c r="W8"/>
      <c r="X8"/>
      <c r="Y8"/>
      <c r="Z8" s="13"/>
      <c r="AB8" s="13"/>
    </row>
    <row r="9" spans="1:41" ht="12.75">
      <c r="A9" s="28" t="s">
        <v>25</v>
      </c>
      <c r="E9" s="28" t="s">
        <v>50</v>
      </c>
      <c r="G9" s="12" t="s">
        <v>44</v>
      </c>
      <c r="H9" s="12"/>
      <c r="I9" s="12"/>
      <c r="K9" s="12" t="s">
        <v>45</v>
      </c>
      <c r="L9" s="12"/>
      <c r="M9" s="12"/>
      <c r="O9" s="16" t="s">
        <v>9</v>
      </c>
      <c r="Q9" s="16" t="s">
        <v>10</v>
      </c>
      <c r="S9" s="12" t="s">
        <v>44</v>
      </c>
      <c r="T9" s="12"/>
      <c r="U9" s="12"/>
      <c r="W9" s="12" t="s">
        <v>45</v>
      </c>
      <c r="X9" s="12"/>
      <c r="Y9" s="12"/>
      <c r="AA9" s="16" t="s">
        <v>9</v>
      </c>
      <c r="AC9" s="16" t="s">
        <v>10</v>
      </c>
      <c r="AF9"/>
      <c r="AG9"/>
      <c r="AH9" s="5" t="s">
        <v>31</v>
      </c>
      <c r="AI9" s="14">
        <v>98.29</v>
      </c>
      <c r="AJ9" s="14">
        <v>98.29</v>
      </c>
      <c r="AN9" s="14"/>
      <c r="AO9" s="14"/>
    </row>
    <row r="10" spans="1:41" ht="15.75">
      <c r="A10" s="20" t="s">
        <v>49</v>
      </c>
      <c r="B10" s="17"/>
      <c r="C10" s="29" t="s">
        <v>11</v>
      </c>
      <c r="E10" s="29" t="s">
        <v>59</v>
      </c>
      <c r="G10" s="18" t="s">
        <v>12</v>
      </c>
      <c r="H10" s="18"/>
      <c r="I10" s="18" t="s">
        <v>13</v>
      </c>
      <c r="K10" s="18" t="s">
        <v>12</v>
      </c>
      <c r="L10" s="18"/>
      <c r="M10" s="18" t="s">
        <v>13</v>
      </c>
      <c r="O10" s="20" t="s">
        <v>14</v>
      </c>
      <c r="Q10" s="20" t="s">
        <v>14</v>
      </c>
      <c r="S10" s="18" t="s">
        <v>12</v>
      </c>
      <c r="T10" s="18"/>
      <c r="U10" s="18" t="s">
        <v>13</v>
      </c>
      <c r="W10" s="18" t="s">
        <v>12</v>
      </c>
      <c r="X10" s="18"/>
      <c r="Y10" s="18" t="s">
        <v>13</v>
      </c>
      <c r="AA10" s="20" t="s">
        <v>14</v>
      </c>
      <c r="AC10" s="20" t="s">
        <v>14</v>
      </c>
      <c r="AF10"/>
      <c r="AG10"/>
      <c r="AH10" s="5" t="s">
        <v>32</v>
      </c>
      <c r="AI10" s="14">
        <v>8.72</v>
      </c>
      <c r="AJ10" s="14">
        <v>6.35</v>
      </c>
      <c r="AK10" s="5" t="s">
        <v>41</v>
      </c>
      <c r="AL10" s="32">
        <v>0</v>
      </c>
      <c r="AM10" s="5" t="s">
        <v>25</v>
      </c>
      <c r="AN10" s="14"/>
      <c r="AO10" s="14"/>
    </row>
    <row r="11" spans="1:39" ht="12.75">
      <c r="A11"/>
      <c r="B11"/>
      <c r="C11"/>
      <c r="E11"/>
      <c r="K11"/>
      <c r="L11"/>
      <c r="M11"/>
      <c r="W11"/>
      <c r="X11"/>
      <c r="Y11"/>
      <c r="AF11"/>
      <c r="AG11"/>
      <c r="AH11" s="5" t="s">
        <v>46</v>
      </c>
      <c r="AI11" s="14">
        <v>0</v>
      </c>
      <c r="AJ11" s="14">
        <v>0</v>
      </c>
      <c r="AK11" s="5" t="s">
        <v>41</v>
      </c>
      <c r="AL11" s="32">
        <v>0</v>
      </c>
      <c r="AM11" s="5" t="s">
        <v>11</v>
      </c>
    </row>
    <row r="12" spans="32:39" ht="12.75">
      <c r="AF12"/>
      <c r="AG12"/>
      <c r="AH12" s="5" t="s">
        <v>11</v>
      </c>
      <c r="AI12" s="5">
        <v>2.1279</v>
      </c>
      <c r="AJ12" s="5">
        <v>2.1279</v>
      </c>
      <c r="AK12" s="5" t="s">
        <v>41</v>
      </c>
      <c r="AL12" s="32">
        <v>0</v>
      </c>
      <c r="AM12" s="5" t="s">
        <v>11</v>
      </c>
    </row>
    <row r="13" spans="1:36" ht="12.75">
      <c r="A13" s="9">
        <v>500</v>
      </c>
      <c r="C13" s="9">
        <f>A13*0.5*730</f>
        <v>182500</v>
      </c>
      <c r="E13" s="40">
        <v>0.6</v>
      </c>
      <c r="G13" s="21">
        <f>ROUND($AI$9+((($AI$10+$AI$11)*$A13)+($AI$12/100*C13))*(1+$AI$14)+$AI$13,2)</f>
        <v>8591.96</v>
      </c>
      <c r="H13" s="33"/>
      <c r="I13" s="22">
        <f aca="true" t="shared" si="0" ref="I13:I42">IF(G13="","",G13/$C13*100)</f>
        <v>4.707923287671233</v>
      </c>
      <c r="K13" s="21">
        <f>ROUND(AI$17+(($AI$18+$AI$19)*A13+(AI$20*E13+AI$21*(1-E13))/100*C13)*(1+$AI$23)+$AI$22,2)</f>
        <v>10655.47</v>
      </c>
      <c r="M13" s="22">
        <f aca="true" t="shared" si="1" ref="M13:M42">IF(K13="","",K13/$C13*100)</f>
        <v>5.8386136986301365</v>
      </c>
      <c r="O13" s="14">
        <f aca="true" t="shared" si="2" ref="O13:O61">IF(K13="","",K13-G13)</f>
        <v>2063.51</v>
      </c>
      <c r="Q13" s="37">
        <f aca="true" t="shared" si="3" ref="Q13:Q42">IF(M13="","",K13/G13-1)</f>
        <v>0.24016755199046558</v>
      </c>
      <c r="S13" s="21">
        <f aca="true" t="shared" si="4" ref="S13:S21">ROUND($AJ$9+((($AJ$10+$AJ$11)*$A13)+($AJ$12/100*C13))*(1+$AJ$14)+$AJ$13,2)</f>
        <v>7371.89</v>
      </c>
      <c r="T13" s="33"/>
      <c r="U13" s="22">
        <f aca="true" t="shared" si="5" ref="U13:U42">IF(S13="","",S13/$C13*100)</f>
        <v>4.039391780821918</v>
      </c>
      <c r="W13" s="21">
        <f>ROUND(AJ$17+(($AJ$18+$AJ$19)*A13+(AJ$20*E13+AJ$21*(1-E13))/100*C13)*(1+$AJ$23)+$AJ$22,2)</f>
        <v>8105.67</v>
      </c>
      <c r="Y13" s="22">
        <f aca="true" t="shared" si="6" ref="Y13:Y42">IF(W13="","",W13/$C13*100)</f>
        <v>4.44146301369863</v>
      </c>
      <c r="AA13" s="14">
        <f aca="true" t="shared" si="7" ref="AA13:AA61">IF(W13="","",W13-S13)</f>
        <v>733.7799999999997</v>
      </c>
      <c r="AC13" s="37">
        <f aca="true" t="shared" si="8" ref="AC13:AC42">IF(Y13="","",W13/S13-1)</f>
        <v>0.09953756770651756</v>
      </c>
      <c r="AE13" s="37"/>
      <c r="AF13"/>
      <c r="AG13"/>
      <c r="AH13" s="5" t="s">
        <v>21</v>
      </c>
      <c r="AI13" s="14">
        <v>6.25</v>
      </c>
      <c r="AJ13" s="14">
        <v>6.25</v>
      </c>
    </row>
    <row r="14" spans="1:36" ht="12.75">
      <c r="A14" s="39">
        <f>A13</f>
        <v>500</v>
      </c>
      <c r="C14" s="39">
        <f aca="true" t="shared" si="9" ref="C14:C21">C13</f>
        <v>182500</v>
      </c>
      <c r="E14" s="40">
        <v>0.5</v>
      </c>
      <c r="G14" s="21">
        <f>ROUND($AI$9+((($AI$10+$AI$11)*$A14)+($AI$12/100*C14))*(1+$AI$14)+$AI$13,2)</f>
        <v>8591.96</v>
      </c>
      <c r="H14" s="33"/>
      <c r="I14" s="22">
        <f>IF(G14="","",G14/$C14*100)</f>
        <v>4.707923287671233</v>
      </c>
      <c r="K14" s="21">
        <f aca="true" t="shared" si="10" ref="K14:K19">ROUND(AI$17+(($AI$18+$AI$19)*A14+(AI$20*E14+AI$21*(1-E14))/100*C14)*(1+$AI$23)+$AI$22,2)</f>
        <v>10467.57</v>
      </c>
      <c r="M14" s="22">
        <f>IF(K14="","",K14/$C14*100)</f>
        <v>5.735654794520547</v>
      </c>
      <c r="O14" s="14">
        <f>IF(K14="","",K14-G14)</f>
        <v>1875.6100000000006</v>
      </c>
      <c r="Q14" s="37">
        <f>IF(M14="","",K14/G14-1)</f>
        <v>0.21829826954501663</v>
      </c>
      <c r="S14" s="21">
        <f t="shared" si="4"/>
        <v>7371.89</v>
      </c>
      <c r="T14" s="33"/>
      <c r="U14" s="22">
        <f>IF(S14="","",S14/$C14*100)</f>
        <v>4.039391780821918</v>
      </c>
      <c r="W14" s="21">
        <f aca="true" t="shared" si="11" ref="W14:W21">ROUND(AJ$17+(($AJ$18+$AJ$19)*A14+(AJ$20*E14+AJ$21*(1-E14))/100*C14)*(1+$AJ$23)+$AJ$22,2)</f>
        <v>8049.29</v>
      </c>
      <c r="Y14" s="22">
        <f>IF(W14="","",W14/$C14*100)</f>
        <v>4.4105698630136985</v>
      </c>
      <c r="AA14" s="14">
        <f>IF(W14="","",W14-S14)</f>
        <v>677.3999999999996</v>
      </c>
      <c r="AC14" s="37">
        <f>IF(Y14="","",W14/S14-1)</f>
        <v>0.09188959683337639</v>
      </c>
      <c r="AE14" s="37"/>
      <c r="AF14"/>
      <c r="AG14"/>
      <c r="AH14" s="5" t="s">
        <v>22</v>
      </c>
      <c r="AI14" s="34">
        <v>0.0296</v>
      </c>
      <c r="AJ14" s="34">
        <v>0.0296</v>
      </c>
    </row>
    <row r="15" spans="1:33" ht="12.75">
      <c r="A15" s="39">
        <f>A14</f>
        <v>500</v>
      </c>
      <c r="C15" s="39">
        <f t="shared" si="9"/>
        <v>182500</v>
      </c>
      <c r="E15" s="40">
        <v>0.4</v>
      </c>
      <c r="G15" s="21">
        <f>ROUND($AI$9+((($AI$10+$AI$11)*$A15)+($AI$12/100*C15))*(1+$AI$14)+$AI$13,2)</f>
        <v>8591.96</v>
      </c>
      <c r="H15" s="33"/>
      <c r="I15" s="22">
        <f>IF(G15="","",G15/$C15*100)</f>
        <v>4.707923287671233</v>
      </c>
      <c r="K15" s="21">
        <f t="shared" si="10"/>
        <v>10279.67</v>
      </c>
      <c r="M15" s="22">
        <f>IF(K15="","",K15/$C15*100)</f>
        <v>5.632695890410959</v>
      </c>
      <c r="O15" s="14">
        <f>IF(K15="","",K15-G15)</f>
        <v>1687.710000000001</v>
      </c>
      <c r="Q15" s="37">
        <f>IF(M15="","",K15/G15-1)</f>
        <v>0.1964289870995677</v>
      </c>
      <c r="S15" s="21">
        <f t="shared" si="4"/>
        <v>7371.89</v>
      </c>
      <c r="T15" s="33"/>
      <c r="U15" s="22">
        <f>IF(S15="","",S15/$C15*100)</f>
        <v>4.039391780821918</v>
      </c>
      <c r="W15" s="21">
        <f t="shared" si="11"/>
        <v>7992.92</v>
      </c>
      <c r="Y15" s="22">
        <f>IF(W15="","",W15/$C15*100)</f>
        <v>4.379682191780822</v>
      </c>
      <c r="AA15" s="14">
        <f>IF(W15="","",W15-S15)</f>
        <v>621.0299999999997</v>
      </c>
      <c r="AC15" s="37">
        <f>IF(Y15="","",W15/S15-1)</f>
        <v>0.0842429824644697</v>
      </c>
      <c r="AE15" s="37"/>
      <c r="AF15"/>
      <c r="AG15"/>
    </row>
    <row r="16" spans="1:34" ht="12.75">
      <c r="A16" s="39">
        <f>A15</f>
        <v>500</v>
      </c>
      <c r="C16" s="9">
        <f>A13*0.7*730</f>
        <v>255500</v>
      </c>
      <c r="E16" s="40">
        <f aca="true" t="shared" si="12" ref="E16:E21">E13</f>
        <v>0.6</v>
      </c>
      <c r="G16" s="21">
        <f>ROUND($AI$9+((($AI$10+$AI$11)*$A13)+($AI$12/100*C16))*(1+$AI$14)+$AI$13,2)</f>
        <v>10191.31</v>
      </c>
      <c r="H16" s="33"/>
      <c r="I16" s="22">
        <f t="shared" si="0"/>
        <v>3.9887710371819955</v>
      </c>
      <c r="K16" s="21">
        <f t="shared" si="10"/>
        <v>12422.65</v>
      </c>
      <c r="M16" s="22">
        <f t="shared" si="1"/>
        <v>4.862093933463797</v>
      </c>
      <c r="O16" s="14">
        <f t="shared" si="2"/>
        <v>2231.34</v>
      </c>
      <c r="Q16" s="37">
        <f t="shared" si="3"/>
        <v>0.218945356386961</v>
      </c>
      <c r="S16" s="21">
        <f t="shared" si="4"/>
        <v>8971.23</v>
      </c>
      <c r="T16" s="33"/>
      <c r="U16" s="22">
        <f t="shared" si="5"/>
        <v>3.511244618395303</v>
      </c>
      <c r="W16" s="21">
        <f t="shared" si="11"/>
        <v>9557.17</v>
      </c>
      <c r="Y16" s="22">
        <f t="shared" si="6"/>
        <v>3.7405753424657533</v>
      </c>
      <c r="AA16" s="14">
        <f t="shared" si="7"/>
        <v>585.9400000000005</v>
      </c>
      <c r="AC16" s="37">
        <f t="shared" si="8"/>
        <v>0.06531322906669446</v>
      </c>
      <c r="AE16" s="37"/>
      <c r="AF16"/>
      <c r="AG16"/>
      <c r="AH16" s="31" t="s">
        <v>45</v>
      </c>
    </row>
    <row r="17" spans="1:36" ht="12.75">
      <c r="A17" s="39">
        <f>A16</f>
        <v>500</v>
      </c>
      <c r="C17" s="39">
        <f t="shared" si="9"/>
        <v>255500</v>
      </c>
      <c r="E17" s="40">
        <f t="shared" si="12"/>
        <v>0.5</v>
      </c>
      <c r="G17" s="21">
        <f>ROUND($AI$9+((($AI$10+$AI$11)*$A14)+($AI$12/100*C17))*(1+$AI$14)+$AI$13,2)</f>
        <v>10191.31</v>
      </c>
      <c r="H17" s="33"/>
      <c r="I17" s="22">
        <f>IF(G17="","",G17/$C17*100)</f>
        <v>3.9887710371819955</v>
      </c>
      <c r="K17" s="21">
        <f>ROUND(AI$17+(($AI$18+$AI$19)*A17+(AI$20*E17+AI$21*(1-E17))/100*C17)*(1+$AI$23)+$AI$22,2)</f>
        <v>12159.59</v>
      </c>
      <c r="M17" s="22">
        <f>IF(K17="","",K17/$C17*100)</f>
        <v>4.759135029354208</v>
      </c>
      <c r="O17" s="14">
        <f>IF(K17="","",K17-G17)</f>
        <v>1968.2800000000007</v>
      </c>
      <c r="Q17" s="37">
        <f>IF(M17="","",K17/G17-1)</f>
        <v>0.1931331693374061</v>
      </c>
      <c r="S17" s="21">
        <f t="shared" si="4"/>
        <v>8971.23</v>
      </c>
      <c r="T17" s="33"/>
      <c r="U17" s="22">
        <f>IF(S17="","",S17/$C17*100)</f>
        <v>3.511244618395303</v>
      </c>
      <c r="W17" s="21">
        <f t="shared" si="11"/>
        <v>9478.25</v>
      </c>
      <c r="Y17" s="22">
        <f>IF(W17="","",W17/$C17*100)</f>
        <v>3.709686888454012</v>
      </c>
      <c r="AA17" s="14">
        <f>IF(W17="","",W17-S17)</f>
        <v>507.02000000000044</v>
      </c>
      <c r="AC17" s="37">
        <f>IF(Y17="","",W17/S17-1)</f>
        <v>0.05651621906918014</v>
      </c>
      <c r="AE17" s="37"/>
      <c r="AH17" s="5" t="s">
        <v>31</v>
      </c>
      <c r="AI17" s="14">
        <v>100</v>
      </c>
      <c r="AJ17" s="14">
        <v>100</v>
      </c>
    </row>
    <row r="18" spans="1:39" ht="12.75">
      <c r="A18" s="39">
        <f>A17</f>
        <v>500</v>
      </c>
      <c r="C18" s="39">
        <f t="shared" si="9"/>
        <v>255500</v>
      </c>
      <c r="E18" s="40">
        <f t="shared" si="12"/>
        <v>0.4</v>
      </c>
      <c r="G18" s="21">
        <f>ROUND($AI$9+((($AI$10+$AI$11)*$A15)+($AI$12/100*C18))*(1+$AI$14)+$AI$13,2)</f>
        <v>10191.31</v>
      </c>
      <c r="H18" s="33"/>
      <c r="I18" s="22">
        <f>IF(G18="","",G18/$C18*100)</f>
        <v>3.9887710371819955</v>
      </c>
      <c r="K18" s="21">
        <f>ROUND(AI$17+(($AI$18+$AI$19)*A18+(AI$20*E18+AI$21*(1-E18))/100*C18)*(1+$AI$23)+$AI$22,2)</f>
        <v>11896.52</v>
      </c>
      <c r="M18" s="22">
        <f>IF(K18="","",K18/$C18*100)</f>
        <v>4.6561722113502935</v>
      </c>
      <c r="O18" s="14">
        <f>IF(K18="","",K18-G18)</f>
        <v>1705.210000000001</v>
      </c>
      <c r="Q18" s="37">
        <f>IF(M18="","",K18/G18-1)</f>
        <v>0.16732000105972644</v>
      </c>
      <c r="S18" s="21">
        <f t="shared" si="4"/>
        <v>8971.23</v>
      </c>
      <c r="T18" s="33"/>
      <c r="U18" s="22">
        <f>IF(S18="","",S18/$C18*100)</f>
        <v>3.511244618395303</v>
      </c>
      <c r="W18" s="21">
        <f t="shared" si="11"/>
        <v>9399.33</v>
      </c>
      <c r="Y18" s="22">
        <f>IF(W18="","",W18/$C18*100)</f>
        <v>3.67879843444227</v>
      </c>
      <c r="AA18" s="14">
        <f>IF(W18="","",W18-S18)</f>
        <v>428.10000000000036</v>
      </c>
      <c r="AC18" s="37">
        <f>IF(Y18="","",W18/S18-1)</f>
        <v>0.047719209071665825</v>
      </c>
      <c r="AE18" s="37"/>
      <c r="AH18" s="5" t="s">
        <v>46</v>
      </c>
      <c r="AI18" s="14">
        <v>10.51</v>
      </c>
      <c r="AJ18" s="14">
        <v>7.09</v>
      </c>
      <c r="AK18" s="5" t="s">
        <v>41</v>
      </c>
      <c r="AL18" s="32">
        <v>0</v>
      </c>
      <c r="AM18" s="5" t="s">
        <v>25</v>
      </c>
    </row>
    <row r="19" spans="1:39" ht="12.75">
      <c r="A19" s="39">
        <f>A16</f>
        <v>500</v>
      </c>
      <c r="C19" s="9">
        <f>A13*0.9*730</f>
        <v>328500</v>
      </c>
      <c r="E19" s="40">
        <f t="shared" si="12"/>
        <v>0.6</v>
      </c>
      <c r="G19" s="21">
        <f>ROUND($AI$9+((($AI$10+$AI$11)*$A13)+($AI$12/100*C19))*(1+$AI$14)+$AI$13,2)</f>
        <v>11790.66</v>
      </c>
      <c r="H19" s="33"/>
      <c r="I19" s="22">
        <f t="shared" si="0"/>
        <v>3.5892420091324198</v>
      </c>
      <c r="K19" s="21">
        <f t="shared" si="10"/>
        <v>14189.83</v>
      </c>
      <c r="M19" s="22">
        <f t="shared" si="1"/>
        <v>4.319582952815829</v>
      </c>
      <c r="O19" s="14">
        <f t="shared" si="2"/>
        <v>2399.17</v>
      </c>
      <c r="Q19" s="37">
        <f t="shared" si="3"/>
        <v>0.20348055155521405</v>
      </c>
      <c r="S19" s="21">
        <f t="shared" si="4"/>
        <v>10570.58</v>
      </c>
      <c r="T19" s="33"/>
      <c r="U19" s="22">
        <f t="shared" si="5"/>
        <v>3.2178325722983256</v>
      </c>
      <c r="W19" s="21">
        <f t="shared" si="11"/>
        <v>11008.68</v>
      </c>
      <c r="Y19" s="22">
        <f t="shared" si="6"/>
        <v>3.3511963470319635</v>
      </c>
      <c r="AA19" s="14">
        <f t="shared" si="7"/>
        <v>438.10000000000036</v>
      </c>
      <c r="AC19" s="37">
        <f t="shared" si="8"/>
        <v>0.0414452187107992</v>
      </c>
      <c r="AE19" s="37"/>
      <c r="AH19" s="5" t="s">
        <v>51</v>
      </c>
      <c r="AI19" s="14">
        <v>1.4</v>
      </c>
      <c r="AJ19" s="14">
        <v>1.4</v>
      </c>
      <c r="AK19" s="5" t="s">
        <v>41</v>
      </c>
      <c r="AL19" s="32">
        <v>0</v>
      </c>
      <c r="AM19" s="5" t="s">
        <v>25</v>
      </c>
    </row>
    <row r="20" spans="1:39" ht="12.75">
      <c r="A20" s="39">
        <f>A17</f>
        <v>500</v>
      </c>
      <c r="C20" s="39">
        <f t="shared" si="9"/>
        <v>328500</v>
      </c>
      <c r="E20" s="40">
        <f t="shared" si="12"/>
        <v>0.5</v>
      </c>
      <c r="G20" s="21">
        <f>ROUND($AI$9+((($AI$10+$AI$11)*$A14)+($AI$12/100*C20))*(1+$AI$14)+$AI$13,2)</f>
        <v>11790.66</v>
      </c>
      <c r="H20" s="33"/>
      <c r="I20" s="22">
        <f>IF(G20="","",G20/$C20*100)</f>
        <v>3.5892420091324198</v>
      </c>
      <c r="K20" s="21">
        <f>ROUND(AI$17+(($AI$18+$AI$19)*A20+(AI$20*E20+AI$21*(1-E20))/100*C20)*(1+$AI$23)+$AI$22,2)</f>
        <v>13851.61</v>
      </c>
      <c r="M20" s="22">
        <f>IF(K20="","",K20/$C20*100)</f>
        <v>4.21662404870624</v>
      </c>
      <c r="O20" s="14">
        <f>IF(K20="","",K20-G20)</f>
        <v>2060.9500000000007</v>
      </c>
      <c r="Q20" s="37">
        <f>IF(M20="","",K20/G20-1)</f>
        <v>0.1747951344538814</v>
      </c>
      <c r="S20" s="21">
        <f t="shared" si="4"/>
        <v>10570.58</v>
      </c>
      <c r="T20" s="33"/>
      <c r="U20" s="22">
        <f>IF(S20="","",S20/$C20*100)</f>
        <v>3.2178325722983256</v>
      </c>
      <c r="W20" s="21">
        <f t="shared" si="11"/>
        <v>10907.21</v>
      </c>
      <c r="Y20" s="22">
        <f>IF(W20="","",W20/$C20*100)</f>
        <v>3.3203074581430743</v>
      </c>
      <c r="AA20" s="14">
        <f>IF(W20="","",W20-S20)</f>
        <v>336.6299999999992</v>
      </c>
      <c r="AC20" s="37">
        <f>IF(Y20="","",W20/S20-1)</f>
        <v>0.0318459346601605</v>
      </c>
      <c r="AE20" s="37"/>
      <c r="AH20" s="5" t="s">
        <v>52</v>
      </c>
      <c r="AI20" s="5">
        <v>2.7512000000000003</v>
      </c>
      <c r="AJ20" s="5">
        <v>2.0512000000000006</v>
      </c>
      <c r="AK20" s="5" t="s">
        <v>41</v>
      </c>
      <c r="AL20" s="32">
        <v>0</v>
      </c>
      <c r="AM20" s="5" t="s">
        <v>11</v>
      </c>
    </row>
    <row r="21" spans="1:39" ht="12.75">
      <c r="A21" s="39">
        <f>A18</f>
        <v>500</v>
      </c>
      <c r="C21" s="39">
        <f t="shared" si="9"/>
        <v>328500</v>
      </c>
      <c r="E21" s="40">
        <f t="shared" si="12"/>
        <v>0.4</v>
      </c>
      <c r="G21" s="21">
        <f>ROUND($AI$9+((($AI$10+$AI$11)*$A15)+($AI$12/100*C21))*(1+$AI$14)+$AI$13,2)</f>
        <v>11790.66</v>
      </c>
      <c r="H21" s="33"/>
      <c r="I21" s="22">
        <f>IF(G21="","",G21/$C21*100)</f>
        <v>3.5892420091324198</v>
      </c>
      <c r="K21" s="21">
        <f>ROUND(AI$17+(($AI$18+$AI$19)*A21+(AI$20*E21+AI$21*(1-E21))/100*C21)*(1+$AI$23)+$AI$22,2)</f>
        <v>13513.38</v>
      </c>
      <c r="M21" s="22">
        <f>IF(K21="","",K21/$C21*100)</f>
        <v>4.1136621004566205</v>
      </c>
      <c r="O21" s="14">
        <f>IF(K21="","",K21-G21)</f>
        <v>1722.7199999999993</v>
      </c>
      <c r="Q21" s="37">
        <f>IF(M21="","",K21/G21-1)</f>
        <v>0.14610886922360566</v>
      </c>
      <c r="S21" s="21">
        <f t="shared" si="4"/>
        <v>10570.58</v>
      </c>
      <c r="T21" s="33"/>
      <c r="U21" s="22">
        <f>IF(S21="","",S21/$C21*100)</f>
        <v>3.2178325722983256</v>
      </c>
      <c r="W21" s="21">
        <f t="shared" si="11"/>
        <v>10805.74</v>
      </c>
      <c r="Y21" s="22">
        <f>IF(W21="","",W21/$C21*100)</f>
        <v>3.2894185692541855</v>
      </c>
      <c r="AA21" s="14">
        <f>IF(W21="","",W21-S21)</f>
        <v>235.15999999999985</v>
      </c>
      <c r="AC21" s="37">
        <f>IF(Y21="","",W21/S21-1)</f>
        <v>0.0222466506095218</v>
      </c>
      <c r="AE21" s="37"/>
      <c r="AH21" s="5" t="s">
        <v>53</v>
      </c>
      <c r="AI21" s="5">
        <v>1.7512000000000003</v>
      </c>
      <c r="AJ21" s="5">
        <v>1.7512000000000003</v>
      </c>
      <c r="AK21" s="5" t="s">
        <v>41</v>
      </c>
      <c r="AL21" s="32">
        <v>0</v>
      </c>
      <c r="AM21" s="5" t="s">
        <v>11</v>
      </c>
    </row>
    <row r="22" spans="8:38" ht="12.75">
      <c r="H22" s="33"/>
      <c r="I22" s="22">
        <f t="shared" si="0"/>
      </c>
      <c r="M22" s="22">
        <f t="shared" si="1"/>
      </c>
      <c r="O22" s="14">
        <f t="shared" si="2"/>
      </c>
      <c r="Q22" s="37">
        <f t="shared" si="3"/>
      </c>
      <c r="T22" s="33"/>
      <c r="U22" s="22">
        <f t="shared" si="5"/>
      </c>
      <c r="Y22" s="22">
        <f t="shared" si="6"/>
      </c>
      <c r="AA22" s="14">
        <f t="shared" si="7"/>
      </c>
      <c r="AC22" s="37">
        <f t="shared" si="8"/>
      </c>
      <c r="AH22" s="5" t="s">
        <v>21</v>
      </c>
      <c r="AI22" s="14">
        <v>6.25</v>
      </c>
      <c r="AJ22" s="14">
        <v>6.25</v>
      </c>
      <c r="AL22" s="32"/>
    </row>
    <row r="23" spans="1:38" ht="12.75">
      <c r="A23" s="9">
        <v>1000</v>
      </c>
      <c r="C23" s="9">
        <f>A23*0.5*730</f>
        <v>365000</v>
      </c>
      <c r="E23" s="40">
        <v>0.6</v>
      </c>
      <c r="G23" s="21">
        <f>ROUND($AI$9+((($AI$10+$AI$11)*$A23)+($AI$12/100*C23))*(1+$AI$14)+$AI$13,2)</f>
        <v>17079.39</v>
      </c>
      <c r="H23" s="33"/>
      <c r="I23" s="22">
        <f aca="true" t="shared" si="13" ref="I23:I31">IF(G23="","",G23/$C23*100)</f>
        <v>4.6792849315068485</v>
      </c>
      <c r="K23" s="21">
        <f>ROUND(AI$17+(($AI$18+$AI$19)*A23+(AI$20*E23+AI$21*(1-E23))/100*C23)*(1+$AI$23)+$AI$22,2)</f>
        <v>21204.69</v>
      </c>
      <c r="M23" s="22">
        <f aca="true" t="shared" si="14" ref="M23:M31">IF(K23="","",K23/$C23*100)</f>
        <v>5.8095041095890405</v>
      </c>
      <c r="O23" s="14">
        <f aca="true" t="shared" si="15" ref="O23:O31">IF(K23="","",K23-G23)</f>
        <v>4125.299999999999</v>
      </c>
      <c r="Q23" s="37">
        <f aca="true" t="shared" si="16" ref="Q23:Q31">IF(M23="","",K23/G23-1)</f>
        <v>0.24153672935625914</v>
      </c>
      <c r="S23" s="21">
        <f aca="true" t="shared" si="17" ref="S23:S31">ROUND($AJ$9+((($AJ$10+$AJ$11)*$A23)+($AJ$12/100*C23))*(1+$AJ$14)+$AJ$13,2)</f>
        <v>14639.23</v>
      </c>
      <c r="T23" s="33"/>
      <c r="U23" s="22">
        <f aca="true" t="shared" si="18" ref="U23:U31">IF(S23="","",S23/$C23*100)</f>
        <v>4.0107479452054795</v>
      </c>
      <c r="W23" s="21">
        <f>ROUND(AJ$17+(($AJ$18+$AJ$19)*A23+(AJ$20*E23+AJ$21*(1-E23))/100*C23)*(1+$AJ$23)+$AJ$22,2)</f>
        <v>16105.08</v>
      </c>
      <c r="Y23" s="22">
        <f aca="true" t="shared" si="19" ref="Y23:Y31">IF(W23="","",W23/$C23*100)</f>
        <v>4.412350684931507</v>
      </c>
      <c r="AA23" s="14">
        <f aca="true" t="shared" si="20" ref="AA23:AA31">IF(W23="","",W23-S23)</f>
        <v>1465.8500000000004</v>
      </c>
      <c r="AC23" s="37">
        <f aca="true" t="shared" si="21" ref="AC23:AC31">IF(Y23="","",W23/S23-1)</f>
        <v>0.10013163260635971</v>
      </c>
      <c r="AE23" s="37"/>
      <c r="AH23" s="5" t="s">
        <v>22</v>
      </c>
      <c r="AI23" s="34">
        <v>0.0296</v>
      </c>
      <c r="AJ23" s="34">
        <v>0.0296</v>
      </c>
      <c r="AL23" s="32"/>
    </row>
    <row r="24" spans="1:31" ht="12.75">
      <c r="A24" s="39">
        <f>A23</f>
        <v>1000</v>
      </c>
      <c r="C24" s="39">
        <f>C23</f>
        <v>365000</v>
      </c>
      <c r="E24" s="40">
        <v>0.5</v>
      </c>
      <c r="G24" s="21">
        <f>ROUND($AI$9+((($AI$10+$AI$11)*$A24)+($AI$12/100*C24))*(1+$AI$14)+$AI$13,2)</f>
        <v>17079.39</v>
      </c>
      <c r="H24" s="33"/>
      <c r="I24" s="22">
        <f t="shared" si="13"/>
        <v>4.6792849315068485</v>
      </c>
      <c r="K24" s="21">
        <f aca="true" t="shared" si="22" ref="K24:K31">ROUND(AI$17+(($AI$18+$AI$19)*A24+(AI$20*E24+AI$21*(1-E24))/100*C24)*(1+$AI$23)+$AI$22,2)</f>
        <v>20828.89</v>
      </c>
      <c r="M24" s="22">
        <f t="shared" si="14"/>
        <v>5.706545205479452</v>
      </c>
      <c r="O24" s="14">
        <f t="shared" si="15"/>
        <v>3749.5</v>
      </c>
      <c r="Q24" s="37">
        <f t="shared" si="16"/>
        <v>0.21953360160989366</v>
      </c>
      <c r="S24" s="21">
        <f t="shared" si="17"/>
        <v>14639.23</v>
      </c>
      <c r="T24" s="33"/>
      <c r="U24" s="22">
        <f t="shared" si="18"/>
        <v>4.0107479452054795</v>
      </c>
      <c r="W24" s="21">
        <f aca="true" t="shared" si="23" ref="W24:W31">ROUND(AJ$17+(($AJ$18+$AJ$19)*A24+(AJ$20*E24+AJ$21*(1-E24))/100*C24)*(1+$AJ$23)+$AJ$22,2)</f>
        <v>15992.34</v>
      </c>
      <c r="Y24" s="22">
        <f t="shared" si="19"/>
        <v>4.381463013698631</v>
      </c>
      <c r="AA24" s="14">
        <f t="shared" si="20"/>
        <v>1353.1100000000006</v>
      </c>
      <c r="AC24" s="37">
        <f t="shared" si="21"/>
        <v>0.09243040788347479</v>
      </c>
      <c r="AE24" s="37"/>
    </row>
    <row r="25" spans="1:31" ht="12.75">
      <c r="A25" s="39">
        <f>A24</f>
        <v>1000</v>
      </c>
      <c r="C25" s="39">
        <f>C24</f>
        <v>365000</v>
      </c>
      <c r="E25" s="40">
        <v>0.4</v>
      </c>
      <c r="G25" s="21">
        <f>ROUND($AI$9+((($AI$10+$AI$11)*$A25)+($AI$12/100*C25))*(1+$AI$14)+$AI$13,2)</f>
        <v>17079.39</v>
      </c>
      <c r="H25" s="33"/>
      <c r="I25" s="22">
        <f t="shared" si="13"/>
        <v>4.6792849315068485</v>
      </c>
      <c r="K25" s="21">
        <f t="shared" si="22"/>
        <v>20453.08</v>
      </c>
      <c r="M25" s="22">
        <f t="shared" si="14"/>
        <v>5.603583561643836</v>
      </c>
      <c r="O25" s="14">
        <f t="shared" si="15"/>
        <v>3373.6900000000023</v>
      </c>
      <c r="Q25" s="37">
        <f t="shared" si="16"/>
        <v>0.1975298883625236</v>
      </c>
      <c r="S25" s="21">
        <f t="shared" si="17"/>
        <v>14639.23</v>
      </c>
      <c r="T25" s="33"/>
      <c r="U25" s="22">
        <f t="shared" si="18"/>
        <v>4.0107479452054795</v>
      </c>
      <c r="W25" s="21">
        <f t="shared" si="23"/>
        <v>15879.6</v>
      </c>
      <c r="Y25" s="22">
        <f t="shared" si="19"/>
        <v>4.350575342465754</v>
      </c>
      <c r="AA25" s="14">
        <f t="shared" si="20"/>
        <v>1240.3700000000008</v>
      </c>
      <c r="AC25" s="37">
        <f t="shared" si="21"/>
        <v>0.08472918316058986</v>
      </c>
      <c r="AE25" s="37"/>
    </row>
    <row r="26" spans="1:31" ht="12.75">
      <c r="A26" s="39">
        <f>A25</f>
        <v>1000</v>
      </c>
      <c r="C26" s="9">
        <f>A23*0.7*730</f>
        <v>511000</v>
      </c>
      <c r="E26" s="40">
        <f aca="true" t="shared" si="24" ref="E26:E31">E23</f>
        <v>0.6</v>
      </c>
      <c r="G26" s="21">
        <f>ROUND($AI$9+((($AI$10+$AI$11)*$A23)+($AI$12/100*C26))*(1+$AI$14)+$AI$13,2)</f>
        <v>20278.08</v>
      </c>
      <c r="H26" s="33"/>
      <c r="I26" s="22">
        <f t="shared" si="13"/>
        <v>3.9683131115459886</v>
      </c>
      <c r="K26" s="21">
        <f t="shared" si="22"/>
        <v>24739.05</v>
      </c>
      <c r="M26" s="22">
        <f t="shared" si="14"/>
        <v>4.841301369863014</v>
      </c>
      <c r="O26" s="14">
        <f t="shared" si="15"/>
        <v>4460.9699999999975</v>
      </c>
      <c r="Q26" s="37">
        <f t="shared" si="16"/>
        <v>0.21998976234436385</v>
      </c>
      <c r="S26" s="21">
        <f t="shared" si="17"/>
        <v>17837.93</v>
      </c>
      <c r="T26" s="33"/>
      <c r="U26" s="22">
        <f t="shared" si="18"/>
        <v>3.490788649706458</v>
      </c>
      <c r="W26" s="21">
        <f t="shared" si="23"/>
        <v>19008.09</v>
      </c>
      <c r="Y26" s="22">
        <f t="shared" si="19"/>
        <v>3.71978277886497</v>
      </c>
      <c r="AA26" s="14">
        <f t="shared" si="20"/>
        <v>1170.1599999999999</v>
      </c>
      <c r="AC26" s="37">
        <f t="shared" si="21"/>
        <v>0.0655995398569229</v>
      </c>
      <c r="AE26" s="37"/>
    </row>
    <row r="27" spans="1:31" ht="12.75">
      <c r="A27" s="39">
        <f>A26</f>
        <v>1000</v>
      </c>
      <c r="C27" s="39">
        <f>C26</f>
        <v>511000</v>
      </c>
      <c r="E27" s="40">
        <f t="shared" si="24"/>
        <v>0.5</v>
      </c>
      <c r="G27" s="21">
        <f>ROUND($AI$9+((($AI$10+$AI$11)*$A24)+($AI$12/100*C27))*(1+$AI$14)+$AI$13,2)</f>
        <v>20278.08</v>
      </c>
      <c r="H27" s="33"/>
      <c r="I27" s="22">
        <f t="shared" si="13"/>
        <v>3.9683131115459886</v>
      </c>
      <c r="K27" s="21">
        <f t="shared" si="22"/>
        <v>24212.93</v>
      </c>
      <c r="M27" s="22">
        <f t="shared" si="14"/>
        <v>4.7383424657534245</v>
      </c>
      <c r="O27" s="14">
        <f t="shared" si="15"/>
        <v>3934.8499999999985</v>
      </c>
      <c r="Q27" s="37">
        <f t="shared" si="16"/>
        <v>0.1940445051997033</v>
      </c>
      <c r="S27" s="21">
        <f t="shared" si="17"/>
        <v>17837.93</v>
      </c>
      <c r="T27" s="33"/>
      <c r="U27" s="22">
        <f t="shared" si="18"/>
        <v>3.490788649706458</v>
      </c>
      <c r="W27" s="21">
        <f t="shared" si="23"/>
        <v>18850.25</v>
      </c>
      <c r="Y27" s="22">
        <f t="shared" si="19"/>
        <v>3.688894324853229</v>
      </c>
      <c r="AA27" s="14">
        <f t="shared" si="20"/>
        <v>1012.3199999999997</v>
      </c>
      <c r="AC27" s="37">
        <f t="shared" si="21"/>
        <v>0.05675097951387853</v>
      </c>
      <c r="AE27" s="37"/>
    </row>
    <row r="28" spans="1:31" ht="12.75">
      <c r="A28" s="39">
        <f>A27</f>
        <v>1000</v>
      </c>
      <c r="C28" s="39">
        <f>C27</f>
        <v>511000</v>
      </c>
      <c r="E28" s="40">
        <f t="shared" si="24"/>
        <v>0.4</v>
      </c>
      <c r="G28" s="21">
        <f>ROUND($AI$9+((($AI$10+$AI$11)*$A25)+($AI$12/100*C28))*(1+$AI$14)+$AI$13,2)</f>
        <v>20278.08</v>
      </c>
      <c r="H28" s="33"/>
      <c r="I28" s="22">
        <f t="shared" si="13"/>
        <v>3.9683131115459886</v>
      </c>
      <c r="K28" s="21">
        <f t="shared" si="22"/>
        <v>23686.8</v>
      </c>
      <c r="M28" s="22">
        <f t="shared" si="14"/>
        <v>4.635381604696673</v>
      </c>
      <c r="O28" s="14">
        <f t="shared" si="15"/>
        <v>3408.7199999999975</v>
      </c>
      <c r="Q28" s="37">
        <f t="shared" si="16"/>
        <v>0.16809875491170745</v>
      </c>
      <c r="S28" s="21">
        <f t="shared" si="17"/>
        <v>17837.93</v>
      </c>
      <c r="T28" s="33"/>
      <c r="U28" s="22">
        <f t="shared" si="18"/>
        <v>3.490788649706458</v>
      </c>
      <c r="W28" s="21">
        <f t="shared" si="23"/>
        <v>18692.42</v>
      </c>
      <c r="Y28" s="22">
        <f t="shared" si="19"/>
        <v>3.658007827788649</v>
      </c>
      <c r="AA28" s="14">
        <f t="shared" si="20"/>
        <v>854.489999999998</v>
      </c>
      <c r="AC28" s="37">
        <f t="shared" si="21"/>
        <v>0.04790297977399827</v>
      </c>
      <c r="AE28" s="37"/>
    </row>
    <row r="29" spans="1:31" ht="12.75">
      <c r="A29" s="39">
        <f>A26</f>
        <v>1000</v>
      </c>
      <c r="C29" s="9">
        <f>A23*0.9*730</f>
        <v>657000</v>
      </c>
      <c r="E29" s="40">
        <f t="shared" si="24"/>
        <v>0.6</v>
      </c>
      <c r="G29" s="21">
        <f>ROUND($AI$9+((($AI$10+$AI$11)*$A23)+($AI$12/100*C29))*(1+$AI$14)+$AI$13,2)</f>
        <v>23476.77</v>
      </c>
      <c r="H29" s="33"/>
      <c r="I29" s="22">
        <f t="shared" si="13"/>
        <v>3.5733287671232876</v>
      </c>
      <c r="K29" s="21">
        <f t="shared" si="22"/>
        <v>28273.41</v>
      </c>
      <c r="M29" s="22">
        <f t="shared" si="14"/>
        <v>4.303410958904109</v>
      </c>
      <c r="O29" s="14">
        <f t="shared" si="15"/>
        <v>4796.639999999999</v>
      </c>
      <c r="Q29" s="37">
        <f t="shared" si="16"/>
        <v>0.2043143072918463</v>
      </c>
      <c r="S29" s="21">
        <f t="shared" si="17"/>
        <v>21036.62</v>
      </c>
      <c r="T29" s="33"/>
      <c r="U29" s="22">
        <f t="shared" si="18"/>
        <v>3.201920852359209</v>
      </c>
      <c r="W29" s="21">
        <f t="shared" si="23"/>
        <v>21911.1</v>
      </c>
      <c r="Y29" s="22">
        <f t="shared" si="19"/>
        <v>3.335022831050228</v>
      </c>
      <c r="AA29" s="14">
        <f t="shared" si="20"/>
        <v>874.4799999999996</v>
      </c>
      <c r="AC29" s="37">
        <f t="shared" si="21"/>
        <v>0.041569415619049144</v>
      </c>
      <c r="AE29" s="37"/>
    </row>
    <row r="30" spans="1:31" ht="12.75">
      <c r="A30" s="39">
        <f>A27</f>
        <v>1000</v>
      </c>
      <c r="C30" s="39">
        <f>C29</f>
        <v>657000</v>
      </c>
      <c r="E30" s="40">
        <f t="shared" si="24"/>
        <v>0.5</v>
      </c>
      <c r="G30" s="21">
        <f>ROUND($AI$9+((($AI$10+$AI$11)*$A24)+($AI$12/100*C30))*(1+$AI$14)+$AI$13,2)</f>
        <v>23476.77</v>
      </c>
      <c r="H30" s="33"/>
      <c r="I30" s="22">
        <f t="shared" si="13"/>
        <v>3.5733287671232876</v>
      </c>
      <c r="K30" s="21">
        <f t="shared" si="22"/>
        <v>27596.97</v>
      </c>
      <c r="M30" s="22">
        <f t="shared" si="14"/>
        <v>4.20045205479452</v>
      </c>
      <c r="O30" s="14">
        <f t="shared" si="15"/>
        <v>4120.200000000001</v>
      </c>
      <c r="Q30" s="37">
        <f t="shared" si="16"/>
        <v>0.17550114432266462</v>
      </c>
      <c r="S30" s="21">
        <f t="shared" si="17"/>
        <v>21036.62</v>
      </c>
      <c r="T30" s="33"/>
      <c r="U30" s="22">
        <f t="shared" si="18"/>
        <v>3.201920852359209</v>
      </c>
      <c r="W30" s="21">
        <f t="shared" si="23"/>
        <v>21708.17</v>
      </c>
      <c r="Y30" s="22">
        <f t="shared" si="19"/>
        <v>3.3041354642313543</v>
      </c>
      <c r="AA30" s="14">
        <f t="shared" si="20"/>
        <v>671.5499999999993</v>
      </c>
      <c r="AC30" s="37">
        <f t="shared" si="21"/>
        <v>0.03192290396461028</v>
      </c>
      <c r="AE30" s="37"/>
    </row>
    <row r="31" spans="1:31" ht="12.75">
      <c r="A31" s="39">
        <f>A28</f>
        <v>1000</v>
      </c>
      <c r="C31" s="39">
        <f>C30</f>
        <v>657000</v>
      </c>
      <c r="E31" s="40">
        <f t="shared" si="24"/>
        <v>0.4</v>
      </c>
      <c r="G31" s="21">
        <f>ROUND($AI$9+((($AI$10+$AI$11)*$A25)+($AI$12/100*C31))*(1+$AI$14)+$AI$13,2)</f>
        <v>23476.77</v>
      </c>
      <c r="H31" s="33"/>
      <c r="I31" s="22">
        <f t="shared" si="13"/>
        <v>3.5733287671232876</v>
      </c>
      <c r="K31" s="21">
        <f t="shared" si="22"/>
        <v>26920.52</v>
      </c>
      <c r="M31" s="22">
        <f t="shared" si="14"/>
        <v>4.097491628614916</v>
      </c>
      <c r="O31" s="14">
        <f t="shared" si="15"/>
        <v>3443.75</v>
      </c>
      <c r="Q31" s="37">
        <f t="shared" si="16"/>
        <v>0.1466875554005087</v>
      </c>
      <c r="S31" s="21">
        <f t="shared" si="17"/>
        <v>21036.62</v>
      </c>
      <c r="T31" s="33"/>
      <c r="U31" s="22">
        <f t="shared" si="18"/>
        <v>3.201920852359209</v>
      </c>
      <c r="W31" s="21">
        <f t="shared" si="23"/>
        <v>21505.23</v>
      </c>
      <c r="Y31" s="22">
        <f t="shared" si="19"/>
        <v>3.273246575342466</v>
      </c>
      <c r="AA31" s="14">
        <f t="shared" si="20"/>
        <v>468.6100000000006</v>
      </c>
      <c r="AC31" s="37">
        <f t="shared" si="21"/>
        <v>0.022275916948635288</v>
      </c>
      <c r="AE31" s="37"/>
    </row>
    <row r="32" spans="8:29" ht="12.75">
      <c r="H32" s="33"/>
      <c r="I32" s="22">
        <f t="shared" si="0"/>
      </c>
      <c r="M32" s="22">
        <f t="shared" si="1"/>
      </c>
      <c r="O32" s="14">
        <f t="shared" si="2"/>
      </c>
      <c r="Q32" s="37">
        <f t="shared" si="3"/>
      </c>
      <c r="T32" s="33"/>
      <c r="U32" s="22">
        <f t="shared" si="5"/>
      </c>
      <c r="Y32" s="22">
        <f t="shared" si="6"/>
      </c>
      <c r="AA32" s="14">
        <f t="shared" si="7"/>
      </c>
      <c r="AC32" s="37">
        <f t="shared" si="8"/>
      </c>
    </row>
    <row r="33" spans="1:31" ht="12.75">
      <c r="A33" s="9">
        <v>2000</v>
      </c>
      <c r="C33" s="9">
        <f>A33*0.5*730</f>
        <v>730000</v>
      </c>
      <c r="E33" s="40">
        <v>0.6</v>
      </c>
      <c r="G33" s="21">
        <f>ROUND($AI$9+((($AI$10+$AI$11)*$A33)+($AI$12/100*C33))*(1+$AI$14)+$AI$13,2)</f>
        <v>34054.23</v>
      </c>
      <c r="H33" s="33"/>
      <c r="I33" s="22">
        <f t="shared" si="0"/>
        <v>4.664963013698631</v>
      </c>
      <c r="K33" s="21">
        <f>ROUND(AI$17+(($AI$18+$AI$19)*A33+(AI$20*E33+AI$21*(1-E33))/100*C33)*(1+$AI$23)+$AI$22,2)</f>
        <v>42303.13</v>
      </c>
      <c r="M33" s="22">
        <f t="shared" si="1"/>
        <v>5.794949315068493</v>
      </c>
      <c r="O33" s="14">
        <f t="shared" si="2"/>
        <v>8248.899999999994</v>
      </c>
      <c r="Q33" s="37">
        <f t="shared" si="3"/>
        <v>0.24222835166145273</v>
      </c>
      <c r="S33" s="21">
        <f aca="true" t="shared" si="25" ref="S33:S41">ROUND($AJ$9+((($AJ$10+$AJ$11)*$A33)+($AJ$12/100*C33))*(1+$AJ$14)+$AJ$13,2)</f>
        <v>29173.93</v>
      </c>
      <c r="T33" s="33"/>
      <c r="U33" s="22">
        <f t="shared" si="5"/>
        <v>3.9964287671232874</v>
      </c>
      <c r="W33" s="21">
        <f>ROUND(AJ$17+(($AJ$18+$AJ$19)*A33+(AJ$20*E33+AJ$21*(1-E33))/100*C33)*(1+$AJ$23)+$AJ$22,2)</f>
        <v>32103.91</v>
      </c>
      <c r="Y33" s="22">
        <f t="shared" si="6"/>
        <v>4.397795890410959</v>
      </c>
      <c r="AA33" s="14">
        <f t="shared" si="7"/>
        <v>2929.9799999999996</v>
      </c>
      <c r="AC33" s="37">
        <f t="shared" si="8"/>
        <v>0.10043144684312333</v>
      </c>
      <c r="AE33" s="37"/>
    </row>
    <row r="34" spans="1:31" ht="12.75">
      <c r="A34" s="39">
        <f>A33</f>
        <v>2000</v>
      </c>
      <c r="C34" s="39">
        <f>C33</f>
        <v>730000</v>
      </c>
      <c r="E34" s="40">
        <v>0.5</v>
      </c>
      <c r="G34" s="21">
        <f>ROUND($AI$9+((($AI$10+$AI$11)*$A34)+($AI$12/100*C34))*(1+$AI$14)+$AI$13,2)</f>
        <v>34054.23</v>
      </c>
      <c r="H34" s="33"/>
      <c r="I34" s="22">
        <f t="shared" si="0"/>
        <v>4.664963013698631</v>
      </c>
      <c r="K34" s="21">
        <f aca="true" t="shared" si="26" ref="K34:K41">ROUND(AI$17+(($AI$18+$AI$19)*A34+(AI$20*E34+AI$21*(1-E34))/100*C34)*(1+$AI$23)+$AI$22,2)</f>
        <v>41551.52</v>
      </c>
      <c r="M34" s="22">
        <f t="shared" si="1"/>
        <v>5.69198904109589</v>
      </c>
      <c r="O34" s="14">
        <f t="shared" si="2"/>
        <v>7497.289999999994</v>
      </c>
      <c r="Q34" s="37">
        <f t="shared" si="3"/>
        <v>0.22015737839322735</v>
      </c>
      <c r="S34" s="21">
        <f t="shared" si="25"/>
        <v>29173.93</v>
      </c>
      <c r="T34" s="33"/>
      <c r="U34" s="22">
        <f t="shared" si="5"/>
        <v>3.9964287671232874</v>
      </c>
      <c r="W34" s="21">
        <f aca="true" t="shared" si="27" ref="W34:W41">ROUND(AJ$17+(($AJ$18+$AJ$19)*A34+(AJ$20*E34+AJ$21*(1-E34))/100*C34)*(1+$AJ$23)+$AJ$22,2)</f>
        <v>31878.43</v>
      </c>
      <c r="Y34" s="22">
        <f t="shared" si="6"/>
        <v>4.366908219178082</v>
      </c>
      <c r="AA34" s="14">
        <f t="shared" si="7"/>
        <v>2704.5</v>
      </c>
      <c r="AC34" s="37">
        <f t="shared" si="8"/>
        <v>0.09270262868252588</v>
      </c>
      <c r="AE34" s="37"/>
    </row>
    <row r="35" spans="1:31" ht="12.75">
      <c r="A35" s="39">
        <f>A34</f>
        <v>2000</v>
      </c>
      <c r="C35" s="39">
        <f>C34</f>
        <v>730000</v>
      </c>
      <c r="E35" s="40">
        <v>0.4</v>
      </c>
      <c r="G35" s="21">
        <f>ROUND($AI$9+((($AI$10+$AI$11)*$A35)+($AI$12/100*C35))*(1+$AI$14)+$AI$13,2)</f>
        <v>34054.23</v>
      </c>
      <c r="H35" s="33"/>
      <c r="I35" s="22">
        <f t="shared" si="0"/>
        <v>4.664963013698631</v>
      </c>
      <c r="K35" s="21">
        <f t="shared" si="26"/>
        <v>40799.91</v>
      </c>
      <c r="M35" s="22">
        <f t="shared" si="1"/>
        <v>5.5890287671232874</v>
      </c>
      <c r="O35" s="14">
        <f t="shared" si="2"/>
        <v>6745.68</v>
      </c>
      <c r="Q35" s="37">
        <f t="shared" si="3"/>
        <v>0.19808640512500197</v>
      </c>
      <c r="S35" s="21">
        <f t="shared" si="25"/>
        <v>29173.93</v>
      </c>
      <c r="T35" s="33"/>
      <c r="U35" s="22">
        <f t="shared" si="5"/>
        <v>3.9964287671232874</v>
      </c>
      <c r="W35" s="21">
        <f t="shared" si="27"/>
        <v>31652.95</v>
      </c>
      <c r="Y35" s="22">
        <f t="shared" si="6"/>
        <v>4.336020547945205</v>
      </c>
      <c r="AA35" s="14">
        <f t="shared" si="7"/>
        <v>2479.0200000000004</v>
      </c>
      <c r="AC35" s="37">
        <f t="shared" si="8"/>
        <v>0.08497381052192843</v>
      </c>
      <c r="AE35" s="37"/>
    </row>
    <row r="36" spans="1:31" ht="12.75">
      <c r="A36" s="39">
        <f>A35</f>
        <v>2000</v>
      </c>
      <c r="C36" s="9">
        <f>A33*0.7*730</f>
        <v>1022000</v>
      </c>
      <c r="E36" s="40">
        <f aca="true" t="shared" si="28" ref="E36:E41">E33</f>
        <v>0.6</v>
      </c>
      <c r="G36" s="21">
        <f>ROUND($AI$9+((($AI$10+$AI$11)*$A33)+($AI$12/100*C36))*(1+$AI$14)+$AI$13,2)</f>
        <v>40451.62</v>
      </c>
      <c r="H36" s="33"/>
      <c r="I36" s="22">
        <f t="shared" si="0"/>
        <v>3.9580841487279845</v>
      </c>
      <c r="K36" s="21">
        <f t="shared" si="26"/>
        <v>49371.85</v>
      </c>
      <c r="M36" s="22">
        <f t="shared" si="1"/>
        <v>4.8309050880626225</v>
      </c>
      <c r="O36" s="14">
        <f t="shared" si="2"/>
        <v>8920.229999999996</v>
      </c>
      <c r="Q36" s="37">
        <f t="shared" si="3"/>
        <v>0.22051601394455878</v>
      </c>
      <c r="S36" s="21">
        <f t="shared" si="25"/>
        <v>35571.31</v>
      </c>
      <c r="T36" s="33"/>
      <c r="U36" s="22">
        <f t="shared" si="5"/>
        <v>3.480558708414873</v>
      </c>
      <c r="W36" s="21">
        <f t="shared" si="27"/>
        <v>37909.93</v>
      </c>
      <c r="Y36" s="22">
        <f t="shared" si="6"/>
        <v>3.709386497064579</v>
      </c>
      <c r="AA36" s="14">
        <f t="shared" si="7"/>
        <v>2338.6200000000026</v>
      </c>
      <c r="AC36" s="37">
        <f t="shared" si="8"/>
        <v>0.06574455649791933</v>
      </c>
      <c r="AE36" s="37"/>
    </row>
    <row r="37" spans="1:31" ht="12.75">
      <c r="A37" s="39">
        <f>A36</f>
        <v>2000</v>
      </c>
      <c r="C37" s="39">
        <f>C36</f>
        <v>1022000</v>
      </c>
      <c r="E37" s="40">
        <f t="shared" si="28"/>
        <v>0.5</v>
      </c>
      <c r="G37" s="21">
        <f>ROUND($AI$9+((($AI$10+$AI$11)*$A34)+($AI$12/100*C37))*(1+$AI$14)+$AI$13,2)</f>
        <v>40451.62</v>
      </c>
      <c r="H37" s="33"/>
      <c r="I37" s="22">
        <f t="shared" si="0"/>
        <v>3.9580841487279845</v>
      </c>
      <c r="K37" s="21">
        <f t="shared" si="26"/>
        <v>48319.6</v>
      </c>
      <c r="M37" s="22">
        <f t="shared" si="1"/>
        <v>4.727945205479451</v>
      </c>
      <c r="O37" s="14">
        <f t="shared" si="2"/>
        <v>7867.979999999996</v>
      </c>
      <c r="Q37" s="37">
        <f t="shared" si="3"/>
        <v>0.19450345869955266</v>
      </c>
      <c r="S37" s="21">
        <f t="shared" si="25"/>
        <v>35571.31</v>
      </c>
      <c r="T37" s="33"/>
      <c r="U37" s="22">
        <f t="shared" si="5"/>
        <v>3.480558708414873</v>
      </c>
      <c r="W37" s="21">
        <f t="shared" si="27"/>
        <v>37594.26</v>
      </c>
      <c r="Y37" s="22">
        <f t="shared" si="6"/>
        <v>3.6784990215264193</v>
      </c>
      <c r="AA37" s="14">
        <f t="shared" si="7"/>
        <v>2022.9500000000044</v>
      </c>
      <c r="AC37" s="37">
        <f t="shared" si="8"/>
        <v>0.056870269888851466</v>
      </c>
      <c r="AE37" s="37"/>
    </row>
    <row r="38" spans="1:31" ht="12.75">
      <c r="A38" s="39">
        <f>A37</f>
        <v>2000</v>
      </c>
      <c r="C38" s="39">
        <f>C37</f>
        <v>1022000</v>
      </c>
      <c r="E38" s="40">
        <f t="shared" si="28"/>
        <v>0.4</v>
      </c>
      <c r="G38" s="21">
        <f>ROUND($AI$9+((($AI$10+$AI$11)*$A35)+($AI$12/100*C38))*(1+$AI$14)+$AI$13,2)</f>
        <v>40451.62</v>
      </c>
      <c r="H38" s="33"/>
      <c r="I38" s="22">
        <f t="shared" si="0"/>
        <v>3.9580841487279845</v>
      </c>
      <c r="K38" s="21">
        <f t="shared" si="26"/>
        <v>47267.35</v>
      </c>
      <c r="M38" s="22">
        <f t="shared" si="1"/>
        <v>4.624985322896282</v>
      </c>
      <c r="O38" s="14">
        <f t="shared" si="2"/>
        <v>6815.729999999996</v>
      </c>
      <c r="Q38" s="37">
        <f t="shared" si="3"/>
        <v>0.16849090345454631</v>
      </c>
      <c r="S38" s="21">
        <f t="shared" si="25"/>
        <v>35571.31</v>
      </c>
      <c r="T38" s="33"/>
      <c r="U38" s="22">
        <f t="shared" si="5"/>
        <v>3.480558708414873</v>
      </c>
      <c r="W38" s="21">
        <f t="shared" si="27"/>
        <v>37278.58</v>
      </c>
      <c r="Y38" s="22">
        <f t="shared" si="6"/>
        <v>3.6476105675146773</v>
      </c>
      <c r="AA38" s="14">
        <f t="shared" si="7"/>
        <v>1707.270000000004</v>
      </c>
      <c r="AC38" s="37">
        <f t="shared" si="8"/>
        <v>0.047995702154348674</v>
      </c>
      <c r="AE38" s="37"/>
    </row>
    <row r="39" spans="1:31" ht="12.75">
      <c r="A39" s="39">
        <f>A36</f>
        <v>2000</v>
      </c>
      <c r="C39" s="9">
        <f>A33*0.9*730</f>
        <v>1314000</v>
      </c>
      <c r="E39" s="40">
        <f t="shared" si="28"/>
        <v>0.6</v>
      </c>
      <c r="G39" s="21">
        <f>ROUND($AI$9+((($AI$10+$AI$11)*$A33)+($AI$12/100*C39))*(1+$AI$14)+$AI$13,2)</f>
        <v>46849</v>
      </c>
      <c r="H39" s="33"/>
      <c r="I39" s="22">
        <f t="shared" si="0"/>
        <v>3.565372907153729</v>
      </c>
      <c r="K39" s="21">
        <f t="shared" si="26"/>
        <v>56440.58</v>
      </c>
      <c r="M39" s="22">
        <f t="shared" si="1"/>
        <v>4.295325722983257</v>
      </c>
      <c r="O39" s="14">
        <f t="shared" si="2"/>
        <v>9591.580000000002</v>
      </c>
      <c r="Q39" s="37">
        <f t="shared" si="3"/>
        <v>0.20473393242118298</v>
      </c>
      <c r="S39" s="21">
        <f t="shared" si="25"/>
        <v>41968.7</v>
      </c>
      <c r="T39" s="33"/>
      <c r="U39" s="22">
        <f t="shared" si="5"/>
        <v>3.1939649923896494</v>
      </c>
      <c r="W39" s="21">
        <f t="shared" si="27"/>
        <v>43715.95</v>
      </c>
      <c r="Y39" s="22">
        <f t="shared" si="6"/>
        <v>3.3269368340943686</v>
      </c>
      <c r="AA39" s="14">
        <f t="shared" si="7"/>
        <v>1747.25</v>
      </c>
      <c r="AC39" s="37">
        <f t="shared" si="8"/>
        <v>0.041632216389833276</v>
      </c>
      <c r="AE39" s="37"/>
    </row>
    <row r="40" spans="1:31" ht="12.75">
      <c r="A40" s="39">
        <f>A37</f>
        <v>2000</v>
      </c>
      <c r="C40" s="39">
        <f>C39</f>
        <v>1314000</v>
      </c>
      <c r="E40" s="40">
        <f t="shared" si="28"/>
        <v>0.5</v>
      </c>
      <c r="G40" s="21">
        <f>ROUND($AI$9+((($AI$10+$AI$11)*$A34)+($AI$12/100*C40))*(1+$AI$14)+$AI$13,2)</f>
        <v>46849</v>
      </c>
      <c r="H40" s="33"/>
      <c r="I40" s="22">
        <f t="shared" si="0"/>
        <v>3.565372907153729</v>
      </c>
      <c r="K40" s="21">
        <f t="shared" si="26"/>
        <v>55087.68</v>
      </c>
      <c r="M40" s="22">
        <f t="shared" si="1"/>
        <v>4.192365296803653</v>
      </c>
      <c r="O40" s="14">
        <f t="shared" si="2"/>
        <v>8238.68</v>
      </c>
      <c r="Q40" s="37">
        <f t="shared" si="3"/>
        <v>0.1758560481547098</v>
      </c>
      <c r="S40" s="21">
        <f t="shared" si="25"/>
        <v>41968.7</v>
      </c>
      <c r="T40" s="33"/>
      <c r="U40" s="22">
        <f t="shared" si="5"/>
        <v>3.1939649923896494</v>
      </c>
      <c r="W40" s="21">
        <f t="shared" si="27"/>
        <v>43310.09</v>
      </c>
      <c r="Y40" s="22">
        <f t="shared" si="6"/>
        <v>3.2960494672754943</v>
      </c>
      <c r="AA40" s="14">
        <f t="shared" si="7"/>
        <v>1341.3899999999994</v>
      </c>
      <c r="AC40" s="37">
        <f t="shared" si="8"/>
        <v>0.031961676201550215</v>
      </c>
      <c r="AE40" s="37"/>
    </row>
    <row r="41" spans="1:31" ht="12.75">
      <c r="A41" s="39">
        <f>A38</f>
        <v>2000</v>
      </c>
      <c r="C41" s="39">
        <f>C40</f>
        <v>1314000</v>
      </c>
      <c r="E41" s="40">
        <f t="shared" si="28"/>
        <v>0.4</v>
      </c>
      <c r="G41" s="21">
        <f>ROUND($AI$9+((($AI$10+$AI$11)*$A35)+($AI$12/100*C41))*(1+$AI$14)+$AI$13,2)</f>
        <v>46849</v>
      </c>
      <c r="H41" s="33"/>
      <c r="I41" s="22">
        <f t="shared" si="0"/>
        <v>3.565372907153729</v>
      </c>
      <c r="K41" s="21">
        <f t="shared" si="26"/>
        <v>53734.79</v>
      </c>
      <c r="M41" s="22">
        <f t="shared" si="1"/>
        <v>4.089405631659057</v>
      </c>
      <c r="O41" s="14">
        <f t="shared" si="2"/>
        <v>6885.790000000001</v>
      </c>
      <c r="Q41" s="37">
        <f t="shared" si="3"/>
        <v>0.14697837733996466</v>
      </c>
      <c r="S41" s="21">
        <f t="shared" si="25"/>
        <v>41968.7</v>
      </c>
      <c r="T41" s="33"/>
      <c r="U41" s="22">
        <f t="shared" si="5"/>
        <v>3.1939649923896494</v>
      </c>
      <c r="W41" s="21">
        <f t="shared" si="27"/>
        <v>42904.22</v>
      </c>
      <c r="Y41" s="22">
        <f t="shared" si="6"/>
        <v>3.2651613394216135</v>
      </c>
      <c r="AA41" s="14">
        <f t="shared" si="7"/>
        <v>935.5200000000041</v>
      </c>
      <c r="AC41" s="37">
        <f t="shared" si="8"/>
        <v>0.022290897740459004</v>
      </c>
      <c r="AE41" s="37"/>
    </row>
    <row r="42" spans="8:29" ht="12.75">
      <c r="H42" s="33"/>
      <c r="I42" s="22">
        <f t="shared" si="0"/>
      </c>
      <c r="M42" s="22">
        <f t="shared" si="1"/>
      </c>
      <c r="O42" s="14">
        <f t="shared" si="2"/>
      </c>
      <c r="Q42" s="37">
        <f t="shared" si="3"/>
      </c>
      <c r="T42" s="33"/>
      <c r="U42" s="22">
        <f t="shared" si="5"/>
      </c>
      <c r="Y42" s="22">
        <f t="shared" si="6"/>
      </c>
      <c r="AA42" s="14">
        <f t="shared" si="7"/>
      </c>
      <c r="AC42" s="37">
        <f t="shared" si="8"/>
      </c>
    </row>
    <row r="43" spans="1:29" ht="12.75">
      <c r="A43" s="9">
        <v>4000</v>
      </c>
      <c r="C43" s="9">
        <f>A43*0.5*730</f>
        <v>1460000</v>
      </c>
      <c r="E43" s="40">
        <v>0.6</v>
      </c>
      <c r="G43" s="21">
        <f>ROUND($AI$9+((($AI$10+$AI$11)*$A43)+($AI$12/100*C43))*(1+$AI$14)+$AI$13,2)</f>
        <v>68003.92</v>
      </c>
      <c r="H43" s="33"/>
      <c r="I43" s="22">
        <f aca="true" t="shared" si="29" ref="I43:I51">IF(G43="","",G43/$C43*100)</f>
        <v>4.657802739726027</v>
      </c>
      <c r="K43" s="21">
        <f>ROUND(AI$17+(($AI$18+$AI$19)*A43+(AI$20*E43+AI$21*(1-E43))/100*C43)*(1+$AI$23)+$AI$22,2)</f>
        <v>84500.01</v>
      </c>
      <c r="M43" s="22">
        <f aca="true" t="shared" si="30" ref="M43:M51">IF(K43="","",K43/$C43*100)</f>
        <v>5.787671917808219</v>
      </c>
      <c r="O43" s="14">
        <f aca="true" t="shared" si="31" ref="O43:O51">IF(K43="","",K43-G43)</f>
        <v>16496.089999999997</v>
      </c>
      <c r="Q43" s="37">
        <f aca="true" t="shared" si="32" ref="Q43:Q51">IF(M43="","",K43/G43-1)</f>
        <v>0.2425755750550851</v>
      </c>
      <c r="S43" s="21">
        <f aca="true" t="shared" si="33" ref="S43:S51">ROUND($AJ$9+((($AJ$10+$AJ$11)*$A43)+($AJ$12/100*C43))*(1+$AJ$14)+$AJ$13,2)</f>
        <v>58243.31</v>
      </c>
      <c r="T43" s="33"/>
      <c r="U43" s="22">
        <f aca="true" t="shared" si="34" ref="U43:U51">IF(S43="","",S43/$C43*100)</f>
        <v>3.989267808219178</v>
      </c>
      <c r="W43" s="21">
        <f>ROUND(AJ$17+(($AJ$18+$AJ$19)*A43+(AJ$20*E43+AJ$21*(1-E43))/100*C43)*(1+$AJ$23)+$AJ$22,2)</f>
        <v>64101.57</v>
      </c>
      <c r="Y43" s="22">
        <f aca="true" t="shared" si="35" ref="Y43:Y51">IF(W43="","",W43/$C43*100)</f>
        <v>4.390518493150685</v>
      </c>
      <c r="AA43" s="14">
        <f aca="true" t="shared" si="36" ref="AA43:AA51">IF(W43="","",W43-S43)</f>
        <v>5858.260000000002</v>
      </c>
      <c r="AB43" s="37"/>
      <c r="AC43" s="37">
        <f aca="true" t="shared" si="37" ref="AC43:AC51">IF(Y43="","",W43/S43-1)</f>
        <v>0.10058253900748437</v>
      </c>
    </row>
    <row r="44" spans="1:29" ht="12.75">
      <c r="A44" s="39">
        <f>A43</f>
        <v>4000</v>
      </c>
      <c r="C44" s="39">
        <f>C43</f>
        <v>1460000</v>
      </c>
      <c r="E44" s="40">
        <v>0.5</v>
      </c>
      <c r="G44" s="21">
        <f>ROUND($AI$9+((($AI$10+$AI$11)*$A44)+($AI$12/100*C44))*(1+$AI$14)+$AI$13,2)</f>
        <v>68003.92</v>
      </c>
      <c r="H44" s="33"/>
      <c r="I44" s="22">
        <f t="shared" si="29"/>
        <v>4.657802739726027</v>
      </c>
      <c r="K44" s="21">
        <f aca="true" t="shared" si="38" ref="K44:K51">ROUND(AI$17+(($AI$18+$AI$19)*A44+(AI$20*E44+AI$21*(1-E44))/100*C44)*(1+$AI$23)+$AI$22,2)</f>
        <v>82996.79</v>
      </c>
      <c r="M44" s="22">
        <f t="shared" si="30"/>
        <v>5.684711643835616</v>
      </c>
      <c r="O44" s="14">
        <f t="shared" si="31"/>
        <v>14992.869999999995</v>
      </c>
      <c r="Q44" s="37">
        <f t="shared" si="32"/>
        <v>0.22047067286709354</v>
      </c>
      <c r="S44" s="21">
        <f t="shared" si="33"/>
        <v>58243.31</v>
      </c>
      <c r="T44" s="33"/>
      <c r="U44" s="22">
        <f t="shared" si="34"/>
        <v>3.989267808219178</v>
      </c>
      <c r="W44" s="21">
        <f aca="true" t="shared" si="39" ref="W44:W51">ROUND(AJ$17+(($AJ$18+$AJ$19)*A44+(AJ$20*E44+AJ$21*(1-E44))/100*C44)*(1+$AJ$23)+$AJ$22,2)</f>
        <v>63650.61</v>
      </c>
      <c r="Y44" s="22">
        <f t="shared" si="35"/>
        <v>4.359630821917809</v>
      </c>
      <c r="AA44" s="14">
        <f t="shared" si="36"/>
        <v>5407.300000000003</v>
      </c>
      <c r="AB44" s="37"/>
      <c r="AC44" s="37">
        <f t="shared" si="37"/>
        <v>0.0928398471858829</v>
      </c>
    </row>
    <row r="45" spans="1:29" ht="12.75">
      <c r="A45" s="39">
        <f>A44</f>
        <v>4000</v>
      </c>
      <c r="C45" s="39">
        <f>C44</f>
        <v>1460000</v>
      </c>
      <c r="E45" s="40">
        <v>0.4</v>
      </c>
      <c r="G45" s="21">
        <f>ROUND($AI$9+((($AI$10+$AI$11)*$A45)+($AI$12/100*C45))*(1+$AI$14)+$AI$13,2)</f>
        <v>68003.92</v>
      </c>
      <c r="H45" s="33"/>
      <c r="I45" s="22">
        <f t="shared" si="29"/>
        <v>4.657802739726027</v>
      </c>
      <c r="K45" s="21">
        <f t="shared" si="38"/>
        <v>81493.58</v>
      </c>
      <c r="M45" s="22">
        <f t="shared" si="30"/>
        <v>5.581752054794521</v>
      </c>
      <c r="O45" s="14">
        <f t="shared" si="31"/>
        <v>13489.660000000003</v>
      </c>
      <c r="Q45" s="37">
        <f t="shared" si="32"/>
        <v>0.19836591772944856</v>
      </c>
      <c r="S45" s="21">
        <f t="shared" si="33"/>
        <v>58243.31</v>
      </c>
      <c r="T45" s="33"/>
      <c r="U45" s="22">
        <f t="shared" si="34"/>
        <v>3.989267808219178</v>
      </c>
      <c r="W45" s="21">
        <f t="shared" si="39"/>
        <v>63199.64</v>
      </c>
      <c r="Y45" s="22">
        <f t="shared" si="35"/>
        <v>4.328742465753424</v>
      </c>
      <c r="AA45" s="14">
        <f t="shared" si="36"/>
        <v>4956.330000000002</v>
      </c>
      <c r="AB45" s="37"/>
      <c r="AC45" s="37">
        <f t="shared" si="37"/>
        <v>0.0850969836707427</v>
      </c>
    </row>
    <row r="46" spans="1:29" ht="12.75">
      <c r="A46" s="39">
        <f>A45</f>
        <v>4000</v>
      </c>
      <c r="C46" s="9">
        <f>A43*0.7*730</f>
        <v>2044000</v>
      </c>
      <c r="E46" s="40">
        <f aca="true" t="shared" si="40" ref="E46:E51">E43</f>
        <v>0.6</v>
      </c>
      <c r="G46" s="21">
        <f>ROUND($AI$9+((($AI$10+$AI$11)*$A43)+($AI$12/100*C46))*(1+$AI$14)+$AI$13,2)</f>
        <v>80798.69</v>
      </c>
      <c r="H46" s="33"/>
      <c r="I46" s="22">
        <f t="shared" si="29"/>
        <v>3.952969178082192</v>
      </c>
      <c r="K46" s="21">
        <f t="shared" si="38"/>
        <v>98637.45</v>
      </c>
      <c r="M46" s="22">
        <f t="shared" si="30"/>
        <v>4.825706947162427</v>
      </c>
      <c r="O46" s="14">
        <f t="shared" si="31"/>
        <v>17838.759999999995</v>
      </c>
      <c r="Q46" s="37">
        <f t="shared" si="32"/>
        <v>0.22078031215605098</v>
      </c>
      <c r="S46" s="21">
        <f t="shared" si="33"/>
        <v>71038.09</v>
      </c>
      <c r="T46" s="33"/>
      <c r="U46" s="22">
        <f t="shared" si="34"/>
        <v>3.4754447162426616</v>
      </c>
      <c r="W46" s="21">
        <f t="shared" si="39"/>
        <v>75713.62</v>
      </c>
      <c r="Y46" s="22">
        <f t="shared" si="35"/>
        <v>3.704188845401174</v>
      </c>
      <c r="AA46" s="14">
        <f t="shared" si="36"/>
        <v>4675.529999999999</v>
      </c>
      <c r="AB46" s="37"/>
      <c r="AC46" s="37">
        <f t="shared" si="37"/>
        <v>0.06581722566020565</v>
      </c>
    </row>
    <row r="47" spans="1:29" ht="12.75">
      <c r="A47" s="39">
        <f>A46</f>
        <v>4000</v>
      </c>
      <c r="C47" s="39">
        <f>C46</f>
        <v>2044000</v>
      </c>
      <c r="E47" s="40">
        <f t="shared" si="40"/>
        <v>0.5</v>
      </c>
      <c r="G47" s="21">
        <f>ROUND($AI$9+((($AI$10+$AI$11)*$A44)+($AI$12/100*C47))*(1+$AI$14)+$AI$13,2)</f>
        <v>80798.69</v>
      </c>
      <c r="H47" s="33"/>
      <c r="I47" s="22">
        <f t="shared" si="29"/>
        <v>3.952969178082192</v>
      </c>
      <c r="K47" s="21">
        <f t="shared" si="38"/>
        <v>96532.95</v>
      </c>
      <c r="M47" s="22">
        <f t="shared" si="30"/>
        <v>4.722747064579256</v>
      </c>
      <c r="O47" s="14">
        <f t="shared" si="31"/>
        <v>15734.259999999995</v>
      </c>
      <c r="Q47" s="37">
        <f t="shared" si="32"/>
        <v>0.19473409779292217</v>
      </c>
      <c r="S47" s="21">
        <f t="shared" si="33"/>
        <v>71038.09</v>
      </c>
      <c r="T47" s="33"/>
      <c r="U47" s="22">
        <f t="shared" si="34"/>
        <v>3.4754447162426616</v>
      </c>
      <c r="W47" s="21">
        <f t="shared" si="39"/>
        <v>75082.27</v>
      </c>
      <c r="Y47" s="22">
        <f t="shared" si="35"/>
        <v>3.6733008806262237</v>
      </c>
      <c r="AA47" s="14">
        <f t="shared" si="36"/>
        <v>4044.1800000000076</v>
      </c>
      <c r="AB47" s="37"/>
      <c r="AC47" s="37">
        <f t="shared" si="37"/>
        <v>0.05692974008732499</v>
      </c>
    </row>
    <row r="48" spans="1:29" ht="12.75">
      <c r="A48" s="39">
        <f>A47</f>
        <v>4000</v>
      </c>
      <c r="C48" s="39">
        <f>C47</f>
        <v>2044000</v>
      </c>
      <c r="E48" s="40">
        <f t="shared" si="40"/>
        <v>0.4</v>
      </c>
      <c r="G48" s="21">
        <f>ROUND($AI$9+((($AI$10+$AI$11)*$A45)+($AI$12/100*C48))*(1+$AI$14)+$AI$13,2)</f>
        <v>80798.69</v>
      </c>
      <c r="H48" s="33"/>
      <c r="I48" s="22">
        <f t="shared" si="29"/>
        <v>3.952969178082192</v>
      </c>
      <c r="K48" s="21">
        <f t="shared" si="38"/>
        <v>94428.45</v>
      </c>
      <c r="M48" s="22">
        <f t="shared" si="30"/>
        <v>4.619787181996085</v>
      </c>
      <c r="O48" s="14">
        <f t="shared" si="31"/>
        <v>13629.759999999995</v>
      </c>
      <c r="Q48" s="37">
        <f t="shared" si="32"/>
        <v>0.16868788342979313</v>
      </c>
      <c r="S48" s="21">
        <f t="shared" si="33"/>
        <v>71038.09</v>
      </c>
      <c r="T48" s="33"/>
      <c r="U48" s="22">
        <f t="shared" si="34"/>
        <v>3.4754447162426616</v>
      </c>
      <c r="W48" s="21">
        <f t="shared" si="39"/>
        <v>74450.91</v>
      </c>
      <c r="Y48" s="22">
        <f t="shared" si="35"/>
        <v>3.6424124266144817</v>
      </c>
      <c r="AA48" s="14">
        <f t="shared" si="36"/>
        <v>3412.820000000007</v>
      </c>
      <c r="AB48" s="37"/>
      <c r="AC48" s="37">
        <f t="shared" si="37"/>
        <v>0.048042113744893866</v>
      </c>
    </row>
    <row r="49" spans="1:29" ht="12.75">
      <c r="A49" s="39">
        <f>A46</f>
        <v>4000</v>
      </c>
      <c r="C49" s="9">
        <f>A43*0.9*730</f>
        <v>2628000</v>
      </c>
      <c r="E49" s="40">
        <f t="shared" si="40"/>
        <v>0.6</v>
      </c>
      <c r="G49" s="21">
        <f>ROUND($AI$9+((($AI$10+$AI$11)*$A43)+($AI$12/100*C49))*(1+$AI$14)+$AI$13,2)</f>
        <v>93593.47</v>
      </c>
      <c r="H49" s="33"/>
      <c r="I49" s="22">
        <f t="shared" si="29"/>
        <v>3.561395357686454</v>
      </c>
      <c r="K49" s="21">
        <f t="shared" si="38"/>
        <v>112774.9</v>
      </c>
      <c r="M49" s="22">
        <f t="shared" si="30"/>
        <v>4.291282343987824</v>
      </c>
      <c r="O49" s="14">
        <f t="shared" si="31"/>
        <v>19181.429999999993</v>
      </c>
      <c r="Q49" s="37">
        <f t="shared" si="32"/>
        <v>0.20494410560907705</v>
      </c>
      <c r="S49" s="21">
        <f t="shared" si="33"/>
        <v>83832.86</v>
      </c>
      <c r="T49" s="33"/>
      <c r="U49" s="22">
        <f t="shared" si="34"/>
        <v>3.1899870624048705</v>
      </c>
      <c r="W49" s="21">
        <f t="shared" si="39"/>
        <v>87325.66</v>
      </c>
      <c r="Y49" s="22">
        <f t="shared" si="35"/>
        <v>3.3228942161339425</v>
      </c>
      <c r="AA49" s="14">
        <f t="shared" si="36"/>
        <v>3492.800000000003</v>
      </c>
      <c r="AB49" s="37"/>
      <c r="AC49" s="37">
        <f t="shared" si="37"/>
        <v>0.041663853529511075</v>
      </c>
    </row>
    <row r="50" spans="1:29" ht="12.75">
      <c r="A50" s="39">
        <f>A47</f>
        <v>4000</v>
      </c>
      <c r="C50" s="39">
        <f>C49</f>
        <v>2628000</v>
      </c>
      <c r="E50" s="40">
        <f t="shared" si="40"/>
        <v>0.5</v>
      </c>
      <c r="G50" s="21">
        <f>ROUND($AI$9+((($AI$10+$AI$11)*$A44)+($AI$12/100*C50))*(1+$AI$14)+$AI$13,2)</f>
        <v>93593.47</v>
      </c>
      <c r="H50" s="33"/>
      <c r="I50" s="22">
        <f t="shared" si="29"/>
        <v>3.561395357686454</v>
      </c>
      <c r="K50" s="21">
        <f t="shared" si="38"/>
        <v>110069.11</v>
      </c>
      <c r="M50" s="22">
        <f t="shared" si="30"/>
        <v>4.188322298325723</v>
      </c>
      <c r="O50" s="14">
        <f t="shared" si="31"/>
        <v>16475.64</v>
      </c>
      <c r="Q50" s="37">
        <f t="shared" si="32"/>
        <v>0.17603407588157594</v>
      </c>
      <c r="S50" s="21">
        <f t="shared" si="33"/>
        <v>83832.86</v>
      </c>
      <c r="T50" s="33"/>
      <c r="U50" s="22">
        <f t="shared" si="34"/>
        <v>3.1899870624048705</v>
      </c>
      <c r="W50" s="21">
        <f t="shared" si="39"/>
        <v>86513.92</v>
      </c>
      <c r="Y50" s="22">
        <f t="shared" si="35"/>
        <v>3.2920060882800612</v>
      </c>
      <c r="AA50" s="14">
        <f t="shared" si="36"/>
        <v>2681.0599999999977</v>
      </c>
      <c r="AB50" s="37"/>
      <c r="AC50" s="37">
        <f t="shared" si="37"/>
        <v>0.031981015558815384</v>
      </c>
    </row>
    <row r="51" spans="1:29" ht="12.75">
      <c r="A51" s="39">
        <f>A48</f>
        <v>4000</v>
      </c>
      <c r="C51" s="39">
        <f>C50</f>
        <v>2628000</v>
      </c>
      <c r="E51" s="40">
        <f t="shared" si="40"/>
        <v>0.4</v>
      </c>
      <c r="G51" s="21">
        <f>ROUND($AI$9+((($AI$10+$AI$11)*$A45)+($AI$12/100*C51))*(1+$AI$14)+$AI$13,2)</f>
        <v>93593.47</v>
      </c>
      <c r="H51" s="33"/>
      <c r="I51" s="22">
        <f t="shared" si="29"/>
        <v>3.561395357686454</v>
      </c>
      <c r="K51" s="21">
        <f t="shared" si="38"/>
        <v>107363.32</v>
      </c>
      <c r="M51" s="22">
        <f t="shared" si="30"/>
        <v>4.085362252663622</v>
      </c>
      <c r="O51" s="14">
        <f t="shared" si="31"/>
        <v>13769.850000000006</v>
      </c>
      <c r="Q51" s="37">
        <f t="shared" si="32"/>
        <v>0.1471240461540746</v>
      </c>
      <c r="S51" s="21">
        <f t="shared" si="33"/>
        <v>83832.86</v>
      </c>
      <c r="T51" s="33"/>
      <c r="U51" s="22">
        <f t="shared" si="34"/>
        <v>3.1899870624048705</v>
      </c>
      <c r="W51" s="21">
        <f t="shared" si="39"/>
        <v>85702.19</v>
      </c>
      <c r="Y51" s="22">
        <f t="shared" si="35"/>
        <v>3.2611183409436832</v>
      </c>
      <c r="AA51" s="14">
        <f t="shared" si="36"/>
        <v>1869.3300000000017</v>
      </c>
      <c r="AB51" s="37"/>
      <c r="AC51" s="37">
        <f t="shared" si="37"/>
        <v>0.02229829687308782</v>
      </c>
    </row>
    <row r="52" spans="15:29" ht="12.75">
      <c r="O52" s="14">
        <f t="shared" si="2"/>
      </c>
      <c r="Q52" s="38"/>
      <c r="AA52" s="14">
        <f t="shared" si="7"/>
      </c>
      <c r="AC52" s="38"/>
    </row>
    <row r="53" spans="1:31" ht="12.75">
      <c r="A53" s="9">
        <v>6000</v>
      </c>
      <c r="C53" s="9">
        <f>A53*0.5*730</f>
        <v>2190000</v>
      </c>
      <c r="E53" s="40">
        <v>0.6</v>
      </c>
      <c r="G53" s="21">
        <f>ROUND($AI$9+((($AI$10+$AI$11)*$A53)+($AI$12/100*C53))*(1+$AI$14)+$AI$13,2)</f>
        <v>101953.61</v>
      </c>
      <c r="H53" s="33"/>
      <c r="I53" s="22">
        <f aca="true" t="shared" si="41" ref="I53:I61">IF(G53="","",G53/$C53*100)</f>
        <v>4.65541598173516</v>
      </c>
      <c r="K53" s="21">
        <f>ROUND(AI$17+(($AI$18+$AI$19)*A53+(AI$20*E53+AI$21*(1-E53))/100*C53)*(1+$AI$23)+$AI$22,2)</f>
        <v>126696.89</v>
      </c>
      <c r="M53" s="22">
        <f aca="true" t="shared" si="42" ref="M53:M61">IF(K53="","",K53/$C53*100)</f>
        <v>5.785246118721461</v>
      </c>
      <c r="O53" s="14">
        <f t="shared" si="2"/>
        <v>24743.28</v>
      </c>
      <c r="Q53" s="37">
        <f aca="true" t="shared" si="43" ref="Q53:Q61">IF(M53="","",K53/G53-1)</f>
        <v>0.24269155354087024</v>
      </c>
      <c r="S53" s="21">
        <f aca="true" t="shared" si="44" ref="S53:S61">ROUND($AJ$9+((($AJ$10+$AJ$11)*$A53)+($AJ$12/100*C53))*(1+$AJ$14)+$AJ$13,2)</f>
        <v>87312.7</v>
      </c>
      <c r="T53" s="33"/>
      <c r="U53" s="22">
        <f aca="true" t="shared" si="45" ref="U53:U61">IF(S53="","",S53/$C53*100)</f>
        <v>3.986881278538813</v>
      </c>
      <c r="W53" s="21">
        <f>ROUND(AJ$17+(($AJ$18+$AJ$19)*A53+(AJ$20*E53+AJ$21*(1-E53))/100*C53)*(1+$AJ$23)+$AJ$22,2)</f>
        <v>96099.24</v>
      </c>
      <c r="Y53" s="22">
        <f aca="true" t="shared" si="46" ref="Y53:Y61">IF(W53="","",W53/$C53*100)</f>
        <v>4.388093150684932</v>
      </c>
      <c r="AA53" s="14">
        <f t="shared" si="7"/>
        <v>8786.540000000008</v>
      </c>
      <c r="AC53" s="37">
        <f aca="true" t="shared" si="47" ref="AC53:AC61">IF(Y53="","",W53/S53-1)</f>
        <v>0.10063301215058074</v>
      </c>
      <c r="AE53" s="37"/>
    </row>
    <row r="54" spans="1:31" ht="12.75">
      <c r="A54" s="39">
        <f>A53</f>
        <v>6000</v>
      </c>
      <c r="C54" s="39">
        <f>C53</f>
        <v>2190000</v>
      </c>
      <c r="E54" s="40">
        <v>0.5</v>
      </c>
      <c r="G54" s="21">
        <f>ROUND($AI$9+((($AI$10+$AI$11)*$A54)+($AI$12/100*C54))*(1+$AI$14)+$AI$13,2)</f>
        <v>101953.61</v>
      </c>
      <c r="H54" s="33"/>
      <c r="I54" s="22">
        <f t="shared" si="41"/>
        <v>4.65541598173516</v>
      </c>
      <c r="K54" s="21">
        <f aca="true" t="shared" si="48" ref="K54:K61">ROUND(AI$17+(($AI$18+$AI$19)*A54+(AI$20*E54+AI$21*(1-E54))/100*C54)*(1+$AI$23)+$AI$22,2)</f>
        <v>124442.06</v>
      </c>
      <c r="M54" s="22">
        <f t="shared" si="42"/>
        <v>5.682285844748859</v>
      </c>
      <c r="O54" s="14">
        <f t="shared" si="2"/>
        <v>22488.449999999997</v>
      </c>
      <c r="Q54" s="37">
        <f t="shared" si="43"/>
        <v>0.220575318519864</v>
      </c>
      <c r="S54" s="21">
        <f t="shared" si="44"/>
        <v>87312.7</v>
      </c>
      <c r="T54" s="33"/>
      <c r="U54" s="22">
        <f t="shared" si="45"/>
        <v>3.986881278538813</v>
      </c>
      <c r="W54" s="21">
        <f aca="true" t="shared" si="49" ref="W54:W61">ROUND(AJ$17+(($AJ$18+$AJ$19)*A54+(AJ$20*E54+AJ$21*(1-E54))/100*C54)*(1+$AJ$23)+$AJ$22,2)</f>
        <v>95422.79</v>
      </c>
      <c r="Y54" s="22">
        <f t="shared" si="46"/>
        <v>4.3572050228310495</v>
      </c>
      <c r="AA54" s="14">
        <f t="shared" si="7"/>
        <v>8110.0899999999965</v>
      </c>
      <c r="AC54" s="37">
        <f t="shared" si="47"/>
        <v>0.09288557105667317</v>
      </c>
      <c r="AE54" s="37"/>
    </row>
    <row r="55" spans="1:31" ht="12.75">
      <c r="A55" s="39">
        <f>A54</f>
        <v>6000</v>
      </c>
      <c r="C55" s="39">
        <f>C54</f>
        <v>2190000</v>
      </c>
      <c r="E55" s="40">
        <v>0.4</v>
      </c>
      <c r="G55" s="21">
        <f>ROUND($AI$9+((($AI$10+$AI$11)*$A55)+($AI$12/100*C55))*(1+$AI$14)+$AI$13,2)</f>
        <v>101953.61</v>
      </c>
      <c r="H55" s="33"/>
      <c r="I55" s="22">
        <f t="shared" si="41"/>
        <v>4.65541598173516</v>
      </c>
      <c r="K55" s="21">
        <f t="shared" si="48"/>
        <v>122187.24</v>
      </c>
      <c r="M55" s="22">
        <f t="shared" si="42"/>
        <v>5.5793260273972605</v>
      </c>
      <c r="O55" s="14">
        <f t="shared" si="2"/>
        <v>20233.630000000005</v>
      </c>
      <c r="Q55" s="37">
        <f t="shared" si="43"/>
        <v>0.1984591815826826</v>
      </c>
      <c r="S55" s="21">
        <f t="shared" si="44"/>
        <v>87312.7</v>
      </c>
      <c r="T55" s="33"/>
      <c r="U55" s="22">
        <f t="shared" si="45"/>
        <v>3.986881278538813</v>
      </c>
      <c r="W55" s="21">
        <f t="shared" si="49"/>
        <v>94746.34</v>
      </c>
      <c r="Y55" s="22">
        <f t="shared" si="46"/>
        <v>4.326316894977169</v>
      </c>
      <c r="AA55" s="14">
        <f t="shared" si="7"/>
        <v>7433.639999999999</v>
      </c>
      <c r="AC55" s="37">
        <f t="shared" si="47"/>
        <v>0.08513812996276604</v>
      </c>
      <c r="AE55" s="37"/>
    </row>
    <row r="56" spans="1:31" ht="12.75">
      <c r="A56" s="39">
        <f>A55</f>
        <v>6000</v>
      </c>
      <c r="C56" s="9">
        <f>A53*0.7*730</f>
        <v>3066000</v>
      </c>
      <c r="E56" s="40">
        <f aca="true" t="shared" si="50" ref="E56:E61">E53</f>
        <v>0.6</v>
      </c>
      <c r="G56" s="21">
        <f>ROUND($AI$9+((($AI$10+$AI$11)*$A53)+($AI$12/100*C56))*(1+$AI$14)+$AI$13,2)</f>
        <v>121145.77</v>
      </c>
      <c r="H56" s="33"/>
      <c r="I56" s="22">
        <f t="shared" si="41"/>
        <v>3.951264514024788</v>
      </c>
      <c r="K56" s="21">
        <f t="shared" si="48"/>
        <v>147903.06</v>
      </c>
      <c r="M56" s="22">
        <f t="shared" si="42"/>
        <v>4.823974559686888</v>
      </c>
      <c r="O56" s="14">
        <f t="shared" si="2"/>
        <v>26757.289999999994</v>
      </c>
      <c r="Q56" s="37">
        <f t="shared" si="43"/>
        <v>0.2208685453895749</v>
      </c>
      <c r="S56" s="21">
        <f t="shared" si="44"/>
        <v>106504.86</v>
      </c>
      <c r="T56" s="33"/>
      <c r="U56" s="22">
        <f t="shared" si="45"/>
        <v>3.4737397260273974</v>
      </c>
      <c r="W56" s="21">
        <f t="shared" si="49"/>
        <v>113517.3</v>
      </c>
      <c r="Y56" s="22">
        <f t="shared" si="46"/>
        <v>3.7024559686888456</v>
      </c>
      <c r="AA56" s="14">
        <f t="shared" si="7"/>
        <v>7012.440000000002</v>
      </c>
      <c r="AC56" s="37">
        <f t="shared" si="47"/>
        <v>0.06584150244411391</v>
      </c>
      <c r="AE56" s="37"/>
    </row>
    <row r="57" spans="1:31" ht="12.75">
      <c r="A57" s="39">
        <f>A56</f>
        <v>6000</v>
      </c>
      <c r="C57" s="39">
        <f>C56</f>
        <v>3066000</v>
      </c>
      <c r="E57" s="40">
        <f t="shared" si="50"/>
        <v>0.5</v>
      </c>
      <c r="G57" s="21">
        <f>ROUND($AI$9+((($AI$10+$AI$11)*$A54)+($AI$12/100*C57))*(1+$AI$14)+$AI$13,2)</f>
        <v>121145.77</v>
      </c>
      <c r="H57" s="33"/>
      <c r="I57" s="22">
        <f t="shared" si="41"/>
        <v>3.951264514024788</v>
      </c>
      <c r="K57" s="21">
        <f t="shared" si="48"/>
        <v>144746.3</v>
      </c>
      <c r="M57" s="22">
        <f t="shared" si="42"/>
        <v>4.7210143509458575</v>
      </c>
      <c r="O57" s="14">
        <f t="shared" si="2"/>
        <v>23600.529999999984</v>
      </c>
      <c r="Q57" s="37">
        <f t="shared" si="43"/>
        <v>0.1948110115607007</v>
      </c>
      <c r="S57" s="21">
        <f t="shared" si="44"/>
        <v>106504.86</v>
      </c>
      <c r="T57" s="33"/>
      <c r="U57" s="22">
        <f t="shared" si="45"/>
        <v>3.4737397260273974</v>
      </c>
      <c r="W57" s="21">
        <f t="shared" si="49"/>
        <v>112570.27</v>
      </c>
      <c r="Y57" s="22">
        <f t="shared" si="46"/>
        <v>3.671567840834964</v>
      </c>
      <c r="AA57" s="14">
        <f t="shared" si="7"/>
        <v>6065.4100000000035</v>
      </c>
      <c r="AC57" s="37">
        <f t="shared" si="47"/>
        <v>0.05694960774559954</v>
      </c>
      <c r="AE57" s="37"/>
    </row>
    <row r="58" spans="1:31" ht="12.75">
      <c r="A58" s="39">
        <f>A57</f>
        <v>6000</v>
      </c>
      <c r="C58" s="39">
        <f>C57</f>
        <v>3066000</v>
      </c>
      <c r="E58" s="40">
        <f t="shared" si="50"/>
        <v>0.4</v>
      </c>
      <c r="G58" s="21">
        <f>ROUND($AI$9+((($AI$10+$AI$11)*$A55)+($AI$12/100*C58))*(1+$AI$14)+$AI$13,2)</f>
        <v>121145.77</v>
      </c>
      <c r="H58" s="33"/>
      <c r="I58" s="22">
        <f t="shared" si="41"/>
        <v>3.951264514024788</v>
      </c>
      <c r="K58" s="21">
        <f t="shared" si="48"/>
        <v>141589.55</v>
      </c>
      <c r="M58" s="22">
        <f t="shared" si="42"/>
        <v>4.618054468362687</v>
      </c>
      <c r="O58" s="14">
        <f t="shared" si="2"/>
        <v>20443.779999999984</v>
      </c>
      <c r="Q58" s="37">
        <f t="shared" si="43"/>
        <v>0.1687535602770116</v>
      </c>
      <c r="S58" s="21">
        <f t="shared" si="44"/>
        <v>106504.86</v>
      </c>
      <c r="T58" s="33"/>
      <c r="U58" s="22">
        <f t="shared" si="45"/>
        <v>3.4737397260273974</v>
      </c>
      <c r="W58" s="21">
        <f t="shared" si="49"/>
        <v>111623.25</v>
      </c>
      <c r="Y58" s="22">
        <f t="shared" si="46"/>
        <v>3.640680039138943</v>
      </c>
      <c r="AA58" s="14">
        <f t="shared" si="7"/>
        <v>5118.389999999999</v>
      </c>
      <c r="AC58" s="37">
        <f t="shared" si="47"/>
        <v>0.048057806939514336</v>
      </c>
      <c r="AE58" s="37"/>
    </row>
    <row r="59" spans="1:31" ht="12.75">
      <c r="A59" s="39">
        <f>A56</f>
        <v>6000</v>
      </c>
      <c r="C59" s="9">
        <f>A53*0.9*730</f>
        <v>3942000</v>
      </c>
      <c r="E59" s="40">
        <f t="shared" si="50"/>
        <v>0.6</v>
      </c>
      <c r="G59" s="21">
        <f>ROUND($AI$9+((($AI$10+$AI$11)*$A53)+($AI$12/100*C59))*(1+$AI$14)+$AI$13,2)</f>
        <v>140337.93</v>
      </c>
      <c r="H59" s="33"/>
      <c r="I59" s="22">
        <f t="shared" si="41"/>
        <v>3.5600692541856924</v>
      </c>
      <c r="K59" s="21">
        <f t="shared" si="48"/>
        <v>169109.23</v>
      </c>
      <c r="M59" s="22">
        <f t="shared" si="42"/>
        <v>4.2899348046676815</v>
      </c>
      <c r="O59" s="14">
        <f t="shared" si="2"/>
        <v>28771.300000000017</v>
      </c>
      <c r="Q59" s="37">
        <f t="shared" si="43"/>
        <v>0.20501442482442211</v>
      </c>
      <c r="S59" s="21">
        <f t="shared" si="44"/>
        <v>125697.02</v>
      </c>
      <c r="T59" s="33"/>
      <c r="U59" s="22">
        <f t="shared" si="45"/>
        <v>3.188661085743277</v>
      </c>
      <c r="W59" s="21">
        <f t="shared" si="49"/>
        <v>130935.36</v>
      </c>
      <c r="Y59" s="22">
        <f t="shared" si="46"/>
        <v>3.3215464231354646</v>
      </c>
      <c r="AA59" s="14">
        <f t="shared" si="7"/>
        <v>5238.3399999999965</v>
      </c>
      <c r="AC59" s="37">
        <f t="shared" si="47"/>
        <v>0.04167433722772418</v>
      </c>
      <c r="AE59" s="37"/>
    </row>
    <row r="60" spans="1:31" ht="12.75">
      <c r="A60" s="39">
        <f>A57</f>
        <v>6000</v>
      </c>
      <c r="C60" s="39">
        <f>C59</f>
        <v>3942000</v>
      </c>
      <c r="E60" s="40">
        <f t="shared" si="50"/>
        <v>0.5</v>
      </c>
      <c r="G60" s="21">
        <f>ROUND($AI$9+((($AI$10+$AI$11)*$A54)+($AI$12/100*C60))*(1+$AI$14)+$AI$13,2)</f>
        <v>140337.93</v>
      </c>
      <c r="H60" s="33"/>
      <c r="I60" s="22">
        <f t="shared" si="41"/>
        <v>3.5600692541856924</v>
      </c>
      <c r="K60" s="21">
        <f t="shared" si="48"/>
        <v>165050.54</v>
      </c>
      <c r="M60" s="22">
        <f t="shared" si="42"/>
        <v>4.186974632166414</v>
      </c>
      <c r="O60" s="14">
        <f t="shared" si="2"/>
        <v>24712.610000000015</v>
      </c>
      <c r="Q60" s="37">
        <f t="shared" si="43"/>
        <v>0.17609359066362185</v>
      </c>
      <c r="S60" s="21">
        <f t="shared" si="44"/>
        <v>125697.02</v>
      </c>
      <c r="T60" s="33"/>
      <c r="U60" s="22">
        <f t="shared" si="45"/>
        <v>3.188661085743277</v>
      </c>
      <c r="W60" s="21">
        <f t="shared" si="49"/>
        <v>129717.76</v>
      </c>
      <c r="Y60" s="22">
        <f t="shared" si="46"/>
        <v>3.290658548959919</v>
      </c>
      <c r="AA60" s="14">
        <f t="shared" si="7"/>
        <v>4020.7399999999907</v>
      </c>
      <c r="AC60" s="37">
        <f t="shared" si="47"/>
        <v>0.031987552290420274</v>
      </c>
      <c r="AE60" s="37"/>
    </row>
    <row r="61" spans="1:31" ht="12.75">
      <c r="A61" s="39">
        <f>A58</f>
        <v>6000</v>
      </c>
      <c r="C61" s="39">
        <f>C60</f>
        <v>3942000</v>
      </c>
      <c r="E61" s="40">
        <f t="shared" si="50"/>
        <v>0.4</v>
      </c>
      <c r="G61" s="21">
        <f>ROUND($AI$9+((($AI$10+$AI$11)*$A55)+($AI$12/100*C61))*(1+$AI$14)+$AI$13,2)</f>
        <v>140337.93</v>
      </c>
      <c r="H61" s="33"/>
      <c r="I61" s="22">
        <f t="shared" si="41"/>
        <v>3.5600692541856924</v>
      </c>
      <c r="K61" s="21">
        <f t="shared" si="48"/>
        <v>160991.86</v>
      </c>
      <c r="M61" s="22">
        <f t="shared" si="42"/>
        <v>4.08401471334348</v>
      </c>
      <c r="O61" s="14">
        <f t="shared" si="2"/>
        <v>20653.929999999993</v>
      </c>
      <c r="Q61" s="37">
        <f t="shared" si="43"/>
        <v>0.14717282775939466</v>
      </c>
      <c r="S61" s="21">
        <f t="shared" si="44"/>
        <v>125697.02</v>
      </c>
      <c r="T61" s="33"/>
      <c r="U61" s="22">
        <f t="shared" si="45"/>
        <v>3.188661085743277</v>
      </c>
      <c r="W61" s="21">
        <f t="shared" si="49"/>
        <v>128500.15</v>
      </c>
      <c r="Y61" s="22">
        <f t="shared" si="46"/>
        <v>3.2597704211060377</v>
      </c>
      <c r="AA61" s="14">
        <f t="shared" si="7"/>
        <v>2803.12999999999</v>
      </c>
      <c r="AC61" s="37">
        <f t="shared" si="47"/>
        <v>0.02230068779673533</v>
      </c>
      <c r="AE61" s="37"/>
    </row>
    <row r="62" spans="15:27" ht="12.75">
      <c r="O62" s="14"/>
      <c r="AA62" s="14"/>
    </row>
    <row r="63" spans="1:27" ht="15.75">
      <c r="A63" s="27" t="s">
        <v>60</v>
      </c>
      <c r="O63" s="14"/>
      <c r="AA63" s="14"/>
    </row>
    <row r="64" spans="1:27" ht="15.75">
      <c r="A64" s="27" t="s">
        <v>61</v>
      </c>
      <c r="O64" s="14"/>
      <c r="AA64" s="14"/>
    </row>
    <row r="65" spans="1:27" ht="15.75">
      <c r="A65" s="27"/>
      <c r="O65" s="14"/>
      <c r="AA65" s="14"/>
    </row>
    <row r="66" spans="15:27" ht="12.75">
      <c r="O66" s="14"/>
      <c r="AA66" s="14"/>
    </row>
    <row r="67" spans="15:27" ht="12.75">
      <c r="O67" s="14"/>
      <c r="AA67" s="14"/>
    </row>
    <row r="68" spans="15:27" ht="12.75">
      <c r="O68" s="14"/>
      <c r="AA68" s="14"/>
    </row>
    <row r="69" spans="15:27" ht="12.75">
      <c r="O69" s="14"/>
      <c r="AA69" s="14"/>
    </row>
    <row r="70" spans="15:27" ht="12.75">
      <c r="O70" s="14"/>
      <c r="AA70" s="14"/>
    </row>
  </sheetData>
  <mergeCells count="2">
    <mergeCell ref="AA7:AC7"/>
    <mergeCell ref="O7:Q7"/>
  </mergeCells>
  <printOptions horizontalCentered="1"/>
  <pageMargins left="0.75" right="0.75" top="1" bottom="1" header="0.5" footer="0.5"/>
  <pageSetup fitToHeight="1" fitToWidth="1" horizontalDpi="600" verticalDpi="600" orientation="landscape" scale="54" r:id="rId1"/>
  <headerFooter alignWithMargins="0">
    <oddFooter>&amp;CBill Comparison Exhibit
(WRG-3)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</cp:lastModifiedBy>
  <cp:lastPrinted>1901-01-01T07:00:00Z</cp:lastPrinted>
  <dcterms:created xsi:type="dcterms:W3CDTF">1901-01-01T07:00:00Z</dcterms:created>
  <dcterms:modified xsi:type="dcterms:W3CDTF">2004-08-30T21:06:05Z</dcterms:modified>
  <cp:category/>
  <cp:version/>
  <cp:contentType/>
  <cp:contentStatus/>
</cp:coreProperties>
</file>