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3-31-06" sheetId="1" r:id="rId1"/>
  </sheets>
  <definedNames>
    <definedName name="_xlnm.Print_Area" localSheetId="0">'3-31-06'!$A$1:$N$44</definedName>
  </definedNames>
  <calcPr fullCalcOnLoad="1"/>
</workbook>
</file>

<file path=xl/sharedStrings.xml><?xml version="1.0" encoding="utf-8"?>
<sst xmlns="http://schemas.openxmlformats.org/spreadsheetml/2006/main" count="88" uniqueCount="79">
  <si>
    <t>Shares</t>
  </si>
  <si>
    <t xml:space="preserve">Annual </t>
  </si>
  <si>
    <t xml:space="preserve">Cost of </t>
  </si>
  <si>
    <t>Line</t>
  </si>
  <si>
    <t>Issuance</t>
  </si>
  <si>
    <t>Issued and</t>
  </si>
  <si>
    <t>Total Book</t>
  </si>
  <si>
    <t>Net Premium</t>
  </si>
  <si>
    <t>Net Proceeds</t>
  </si>
  <si>
    <t>Dividend</t>
  </si>
  <si>
    <t>Money to</t>
  </si>
  <si>
    <t>Annualized</t>
  </si>
  <si>
    <t>No.</t>
  </si>
  <si>
    <t>Description of Issue</t>
  </si>
  <si>
    <t>Date</t>
  </si>
  <si>
    <t>Outstanding</t>
  </si>
  <si>
    <t>Value</t>
  </si>
  <si>
    <t xml:space="preserve">and (Expense) </t>
  </si>
  <si>
    <t>to Company</t>
  </si>
  <si>
    <t>Requirement</t>
  </si>
  <si>
    <t>Company</t>
  </si>
  <si>
    <t>Cost</t>
  </si>
  <si>
    <t>Guess</t>
  </si>
  <si>
    <t>Principal</t>
  </si>
  <si>
    <t>Cashflows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</si>
  <si>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</si>
  <si>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</si>
  <si>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</si>
  <si>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</si>
  <si>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</si>
  <si>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</si>
  <si>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</si>
  <si>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</si>
  <si>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</si>
  <si>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</si>
  <si>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</si>
  <si>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5% Preferred Stock, $100 Par Value</t>
  </si>
  <si>
    <t>(a)</t>
  </si>
  <si>
    <t xml:space="preserve"> </t>
  </si>
  <si>
    <t>Serial Preferred, $100 Par Value</t>
  </si>
  <si>
    <t>4.52% Series</t>
  </si>
  <si>
    <t>7.00% Series</t>
  </si>
  <si>
    <t>(b)</t>
  </si>
  <si>
    <t>(c)</t>
  </si>
  <si>
    <t>6.00% Series</t>
  </si>
  <si>
    <t>5.00% Series</t>
  </si>
  <si>
    <t>5.40% Series</t>
  </si>
  <si>
    <t>4.72% Series</t>
  </si>
  <si>
    <t>4.56% Series</t>
  </si>
  <si>
    <t>No Par Serial Preferred, $25 Stated Value</t>
  </si>
  <si>
    <t>No Par Serial Preferred, $100 Stated Value</t>
  </si>
  <si>
    <t>$7.48 Series (d)</t>
  </si>
  <si>
    <t>TOTAL</t>
  </si>
  <si>
    <t xml:space="preserve">Cost of Preferred Stock = </t>
  </si>
  <si>
    <t xml:space="preserve">  (a) Issue replaced 6% and 7% preferred stock of Pacific Power &amp; Light Company and Northwestern Electric Company</t>
  </si>
  <si>
    <t xml:space="preserve">       and 5% preferred stock of Mountain States Power Company, most of which sold in the 1920's and 1930's.</t>
  </si>
  <si>
    <t xml:space="preserve">  (b) These issues replaced an issue of The California Oregon Power Company as a result of the merger of that Company into Pacific Power &amp; Light Co.</t>
  </si>
  <si>
    <t xml:space="preserve">  (d) Annual 5% sinking fund begins June 15, 2002.</t>
  </si>
  <si>
    <t>Dissenting Shares Repurchased and Retired</t>
  </si>
  <si>
    <t>5% Preferred Stock</t>
  </si>
  <si>
    <t>695114-50-4</t>
  </si>
  <si>
    <t>5.00% Serial Preferred</t>
  </si>
  <si>
    <t>695114-60-3</t>
  </si>
  <si>
    <t>5.40% Serial Preferred</t>
  </si>
  <si>
    <t>695114-70-2</t>
  </si>
  <si>
    <t>6.00% Serial Preferred</t>
  </si>
  <si>
    <t>695114-80-1</t>
  </si>
  <si>
    <t>7.00% Serial Preferred</t>
  </si>
  <si>
    <t>695114-88-4</t>
  </si>
  <si>
    <t>PACIFICORP</t>
  </si>
  <si>
    <t>Electric Operations</t>
  </si>
  <si>
    <t>Cost of Preferred Stock</t>
  </si>
  <si>
    <t xml:space="preserve">  (c) Original issue expense/premium has been fully amortized or expensed.</t>
  </si>
  <si>
    <t xml:space="preserve">  (e) Column 10 is the after-tax annual unamortized debt expense related to the 8 3/8% QUIDS redeemed November 2000 assuming a 37% tax rate.</t>
  </si>
  <si>
    <t xml:space="preserve">  (f) Column 10 is the after-tax annual unamortized debt expense related to the 8.55% QUIDS redeemed November 2000.</t>
  </si>
  <si>
    <t>Unamortized expense (e)</t>
  </si>
  <si>
    <t>Unamortized expense (f)</t>
  </si>
  <si>
    <t>March 31, 2006</t>
  </si>
  <si>
    <t>Pro Forma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</si>
</sst>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-0_)"/>
    <numFmt numFmtId="165" formatCode="0.00%;[Red]\-0.00%"/>
    <numFmt numFmtId="166" formatCode="0.000%"/>
    <numFmt numFmtId="167" formatCode="mmm\-yy_);[Red]mmm\-yy_)"/>
    <numFmt numFmtId="168" formatCode="0.00000%"/>
    <numFmt numFmtId="169" formatCode="0.000%;[Red]\-0.000%"/>
    <numFmt numFmtId="170" formatCode="_(* #,##0.0_);_(* \(#,##0.0\);_(* &quot;-&quot;??_);_(@_)"/>
    <numFmt numFmtId="171" formatCode="_(* #,##0_);_(* \(#,##0\);_(* &quot;-&quot;??_);_(@_)"/>
    <numFmt numFmtId="172" formatCode="0.00000000000000000%"/>
    <numFmt numFmtId="173" formatCode="0.0%"/>
    <numFmt numFmtId="174" formatCode="_(* #,##0.000_);_(* \(#,##0.000\);_(* &quot;-&quot;??_);_(@_)"/>
  </numFmts>
  <fonts count="12">
    <font>
      <sz val="10"/>
      <name val="Arial"/>
      <family val="0"/>
    </font>
    <font>
      <b/>
      <sz val="10"/>
      <name val="CG Times (WN)"/>
      <family val="1"/>
    </font>
    <font>
      <sz val="10"/>
      <name val="CG Times (WN)"/>
      <family val="1"/>
    </font>
    <font>
      <sz val="10"/>
      <color indexed="12"/>
      <name val="CG Times (WN)"/>
      <family val="1"/>
    </font>
    <font>
      <sz val="10"/>
      <color indexed="8"/>
      <name val="CG Times (WN)"/>
      <family val="0"/>
    </font>
    <font>
      <sz val="10"/>
      <color indexed="39"/>
      <name val="CG Times (WN)"/>
      <family val="0"/>
    </font>
    <font>
      <sz val="10"/>
      <name val="Arial MT"/>
      <family val="2"/>
    </font>
    <font>
      <u val="double"/>
      <sz val="10"/>
      <name val="CG Times (WN)"/>
      <family val="1"/>
    </font>
    <font>
      <b/>
      <sz val="10"/>
      <color indexed="12"/>
      <name val="CG Times (WN)"/>
      <family val="1"/>
    </font>
    <font>
      <sz val="10"/>
      <color indexed="12"/>
      <name val="Courier"/>
      <family val="0"/>
    </font>
    <font>
      <b/>
      <sz val="12"/>
      <color indexed="9"/>
      <name val="CG Times (WN)"/>
      <family val="1"/>
    </font>
    <font>
      <sz val="12"/>
      <color indexed="9"/>
      <name val="CG Times (WN)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0" fontId="0" fillId="0" borderId="0" xfId="0" applyAlignment="1" quotePrefix="1">
      <alignment horizontal="left"/>
    </xf>
    <xf numFmtId="164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4" fontId="9" fillId="0" borderId="1" xfId="0" applyNumberFormat="1" applyFont="1" applyBorder="1" applyAlignment="1" applyProtection="1">
      <alignment/>
      <protection locked="0"/>
    </xf>
    <xf numFmtId="164" fontId="9" fillId="0" borderId="3" xfId="0" applyNumberFormat="1" applyFont="1" applyBorder="1" applyAlignment="1" applyProtection="1">
      <alignment/>
      <protection locked="0"/>
    </xf>
    <xf numFmtId="0" fontId="11" fillId="2" borderId="0" xfId="0" applyFont="1" applyFill="1" applyAlignment="1" applyProtection="1">
      <alignment horizontal="centerContinuous"/>
      <protection/>
    </xf>
    <xf numFmtId="0" fontId="11" fillId="2" borderId="0" xfId="0" applyFont="1" applyFill="1" applyAlignment="1" applyProtection="1">
      <alignment horizontal="centerContinuous"/>
      <protection locked="0"/>
    </xf>
    <xf numFmtId="0" fontId="10" fillId="2" borderId="4" xfId="0" applyFont="1" applyFill="1" applyBorder="1" applyAlignment="1" applyProtection="1">
      <alignment horizontal="centerContinuous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5" fontId="10" fillId="2" borderId="4" xfId="0" applyNumberFormat="1" applyFont="1" applyFill="1" applyBorder="1" applyAlignment="1" applyProtection="1" quotePrefix="1">
      <alignment horizontal="centerContinuous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/>
      <protection locked="0"/>
    </xf>
    <xf numFmtId="6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71" fontId="2" fillId="0" borderId="0" xfId="15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 horizontal="center"/>
      <protection/>
    </xf>
    <xf numFmtId="6" fontId="2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 locked="0"/>
    </xf>
    <xf numFmtId="6" fontId="4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0" borderId="6" xfId="0" applyFont="1" applyFill="1" applyBorder="1" applyAlignment="1" applyProtection="1">
      <alignment/>
      <protection/>
    </xf>
    <xf numFmtId="171" fontId="2" fillId="0" borderId="6" xfId="15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6" fontId="2" fillId="0" borderId="7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/>
      <protection/>
    </xf>
    <xf numFmtId="171" fontId="2" fillId="0" borderId="7" xfId="15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1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169" fontId="1" fillId="0" borderId="11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10" fontId="2" fillId="0" borderId="0" xfId="19" applyNumberFormat="1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/>
      <protection locked="0"/>
    </xf>
    <xf numFmtId="164" fontId="3" fillId="0" borderId="2" xfId="0" applyNumberFormat="1" applyFont="1" applyFill="1" applyBorder="1" applyAlignment="1" applyProtection="1">
      <alignment/>
      <protection locked="0"/>
    </xf>
    <xf numFmtId="164" fontId="3" fillId="0" borderId="3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171" fontId="2" fillId="0" borderId="12" xfId="15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/>
      <protection locked="0"/>
    </xf>
    <xf numFmtId="166" fontId="0" fillId="0" borderId="0" xfId="19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Alignment="1">
      <alignment/>
    </xf>
    <xf numFmtId="15" fontId="10" fillId="2" borderId="4" xfId="0" applyNumberFormat="1" applyFont="1" applyFill="1" applyBorder="1" applyAlignment="1" applyProtection="1">
      <alignment horizontal="centerContinuous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76200</xdr:rowOff>
    </xdr:from>
    <xdr:to>
      <xdr:col>18</xdr:col>
      <xdr:colOff>476250</xdr:colOff>
      <xdr:row>9</xdr:row>
      <xdr:rowOff>76200</xdr:rowOff>
    </xdr:to>
    <xdr:sp>
      <xdr:nvSpPr>
        <xdr:cNvPr id="1" name="Line 1"/>
        <xdr:cNvSpPr>
          <a:spLocks/>
        </xdr:cNvSpPr>
      </xdr:nvSpPr>
      <xdr:spPr>
        <a:xfrm>
          <a:off x="13106400" y="17430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103"/>
  <sheetViews>
    <sheetView tabSelected="1" zoomScale="75" zoomScaleNormal="75" workbookViewId="0" topLeftCell="A1">
      <selection activeCell="B7" sqref="B7"/>
    </sheetView>
  </sheetViews>
  <sheetFormatPr defaultColWidth="9.140625" defaultRowHeight="12.75"/>
  <cols>
    <col min="1" max="1" width="5.7109375" style="0" bestFit="1" customWidth="1"/>
    <col min="2" max="2" width="42.7109375" style="0" customWidth="1"/>
    <col min="4" max="4" width="13.28125" style="0" bestFit="1" customWidth="1"/>
    <col min="5" max="5" width="12.7109375" style="0" bestFit="1" customWidth="1"/>
    <col min="6" max="6" width="15.7109375" style="0" bestFit="1" customWidth="1"/>
    <col min="7" max="7" width="2.00390625" style="0" customWidth="1"/>
    <col min="8" max="8" width="15.00390625" style="0" bestFit="1" customWidth="1"/>
    <col min="9" max="9" width="13.8515625" style="0" bestFit="1" customWidth="1"/>
    <col min="10" max="10" width="2.00390625" style="0" customWidth="1"/>
    <col min="11" max="11" width="10.8515625" style="0" bestFit="1" customWidth="1"/>
    <col min="12" max="12" width="2.00390625" style="0" customWidth="1"/>
    <col min="13" max="13" width="12.140625" style="0" bestFit="1" customWidth="1"/>
    <col min="14" max="14" width="5.7109375" style="0" bestFit="1" customWidth="1"/>
    <col min="15" max="15" width="4.7109375" style="0" bestFit="1" customWidth="1"/>
    <col min="16" max="16" width="9.28125" style="0" bestFit="1" customWidth="1"/>
    <col min="17" max="17" width="10.8515625" style="0" customWidth="1"/>
    <col min="18" max="47" width="8.8515625" style="0" customWidth="1"/>
    <col min="48" max="48" width="9.7109375" style="0" customWidth="1"/>
    <col min="49" max="56" width="8.8515625" style="0" customWidth="1"/>
    <col min="57" max="57" width="10.57421875" style="0" customWidth="1"/>
    <col min="58" max="136" width="8.8515625" style="0" customWidth="1"/>
    <col min="137" max="137" width="9.7109375" style="0" customWidth="1"/>
    <col min="138" max="176" width="8.8515625" style="0" customWidth="1"/>
    <col min="177" max="177" width="10.57421875" style="0" customWidth="1"/>
    <col min="178" max="228" width="7.140625" style="0" customWidth="1"/>
  </cols>
  <sheetData>
    <row r="1" spans="1:14" ht="15.75" customHeight="1">
      <c r="A1" s="16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customHeight="1">
      <c r="A2" s="16" t="s">
        <v>70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customHeight="1">
      <c r="A3" s="16" t="s">
        <v>71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customHeight="1">
      <c r="A4" s="24" t="s">
        <v>77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.75" customHeight="1">
      <c r="A5" s="77" t="s">
        <v>78</v>
      </c>
      <c r="B5" s="14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</row>
    <row r="6" spans="1:14" ht="13.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3.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  <row r="8" spans="1:14" ht="12.75" customHeight="1">
      <c r="A8" s="17"/>
      <c r="B8" s="18"/>
      <c r="C8" s="18"/>
      <c r="D8" s="19" t="s">
        <v>0</v>
      </c>
      <c r="E8" s="18"/>
      <c r="F8" s="18"/>
      <c r="G8" s="18"/>
      <c r="H8" s="18"/>
      <c r="I8" s="19" t="s">
        <v>1</v>
      </c>
      <c r="J8" s="18"/>
      <c r="K8" s="19" t="s">
        <v>2</v>
      </c>
      <c r="L8" s="18"/>
      <c r="M8" s="18"/>
      <c r="N8" s="20"/>
    </row>
    <row r="9" spans="1:14" ht="12.75">
      <c r="A9" s="1" t="s">
        <v>3</v>
      </c>
      <c r="B9" s="2"/>
      <c r="C9" s="3" t="s">
        <v>4</v>
      </c>
      <c r="D9" s="3" t="s">
        <v>5</v>
      </c>
      <c r="E9" s="3" t="s">
        <v>6</v>
      </c>
      <c r="F9" s="3" t="s">
        <v>7</v>
      </c>
      <c r="G9" s="2"/>
      <c r="H9" s="3" t="s">
        <v>8</v>
      </c>
      <c r="I9" s="3" t="s">
        <v>9</v>
      </c>
      <c r="J9" s="2"/>
      <c r="K9" s="3" t="s">
        <v>10</v>
      </c>
      <c r="L9" s="2"/>
      <c r="M9" s="3" t="s">
        <v>11</v>
      </c>
      <c r="N9" s="4" t="s">
        <v>3</v>
      </c>
    </row>
    <row r="10" spans="1:18" ht="12.75">
      <c r="A10" s="1" t="s">
        <v>12</v>
      </c>
      <c r="B10" s="19" t="s">
        <v>13</v>
      </c>
      <c r="C10" s="19" t="s">
        <v>14</v>
      </c>
      <c r="D10" s="19" t="s">
        <v>15</v>
      </c>
      <c r="E10" s="19" t="s">
        <v>16</v>
      </c>
      <c r="F10" s="19" t="s">
        <v>17</v>
      </c>
      <c r="G10" s="18"/>
      <c r="H10" s="19" t="s">
        <v>18</v>
      </c>
      <c r="I10" s="19" t="s">
        <v>19</v>
      </c>
      <c r="J10" s="18"/>
      <c r="K10" s="19" t="s">
        <v>20</v>
      </c>
      <c r="L10" s="18"/>
      <c r="M10" s="19" t="s">
        <v>21</v>
      </c>
      <c r="N10" s="4" t="s">
        <v>12</v>
      </c>
      <c r="P10" s="5" t="s">
        <v>22</v>
      </c>
      <c r="Q10" s="5" t="s">
        <v>23</v>
      </c>
      <c r="R10" s="5" t="s">
        <v>24</v>
      </c>
    </row>
    <row r="11" spans="1:177" ht="12.75">
      <c r="A11" s="63" t="s">
        <v>25</v>
      </c>
      <c r="B11" s="64" t="s">
        <v>26</v>
      </c>
      <c r="C11" s="64" t="s">
        <v>27</v>
      </c>
      <c r="D11" s="64" t="s">
        <v>28</v>
      </c>
      <c r="E11" s="64" t="s">
        <v>29</v>
      </c>
      <c r="F11" s="64" t="s">
        <v>30</v>
      </c>
      <c r="G11" s="49"/>
      <c r="H11" s="64" t="s">
        <v>31</v>
      </c>
      <c r="I11" s="64" t="s">
        <v>32</v>
      </c>
      <c r="J11" s="49"/>
      <c r="K11" s="64" t="s">
        <v>33</v>
      </c>
      <c r="L11" s="49"/>
      <c r="M11" s="64" t="s">
        <v>34</v>
      </c>
      <c r="N11" s="65" t="s">
        <v>35</v>
      </c>
      <c r="O11" s="6"/>
      <c r="P11" s="6"/>
      <c r="Q11" s="6"/>
      <c r="R11" s="7">
        <v>1</v>
      </c>
      <c r="S11" s="7">
        <v>2</v>
      </c>
      <c r="T11" s="7">
        <v>3</v>
      </c>
      <c r="U11" s="7">
        <v>4</v>
      </c>
      <c r="V11" s="7">
        <v>5</v>
      </c>
      <c r="W11" s="7">
        <v>6</v>
      </c>
      <c r="X11" s="7">
        <v>7</v>
      </c>
      <c r="Y11" s="7">
        <v>8</v>
      </c>
      <c r="Z11" s="7">
        <v>9</v>
      </c>
      <c r="AA11" s="7">
        <v>10</v>
      </c>
      <c r="AB11" s="7">
        <v>11</v>
      </c>
      <c r="AC11" s="7">
        <v>12</v>
      </c>
      <c r="AD11" s="7">
        <v>13</v>
      </c>
      <c r="AE11" s="7">
        <v>14</v>
      </c>
      <c r="AF11" s="7">
        <v>15</v>
      </c>
      <c r="AG11" s="7">
        <v>16</v>
      </c>
      <c r="AH11" s="7">
        <v>17</v>
      </c>
      <c r="AI11" s="7">
        <v>18</v>
      </c>
      <c r="AJ11" s="7">
        <v>19</v>
      </c>
      <c r="AK11" s="7">
        <v>20</v>
      </c>
      <c r="AL11" s="7">
        <v>21</v>
      </c>
      <c r="AM11" s="7">
        <v>22</v>
      </c>
      <c r="AN11" s="7">
        <v>23</v>
      </c>
      <c r="AO11" s="7">
        <v>24</v>
      </c>
      <c r="AP11" s="7">
        <v>25</v>
      </c>
      <c r="AQ11" s="7">
        <v>26</v>
      </c>
      <c r="AR11" s="7">
        <v>27</v>
      </c>
      <c r="AS11" s="7">
        <v>28</v>
      </c>
      <c r="AT11" s="7">
        <v>29</v>
      </c>
      <c r="AU11" s="7">
        <v>30</v>
      </c>
      <c r="AV11" s="7">
        <v>31</v>
      </c>
      <c r="AW11" s="7">
        <v>32</v>
      </c>
      <c r="AX11" s="7">
        <v>33</v>
      </c>
      <c r="AY11" s="7">
        <v>34</v>
      </c>
      <c r="AZ11" s="7">
        <v>35</v>
      </c>
      <c r="BA11" s="7">
        <v>36</v>
      </c>
      <c r="BB11" s="7">
        <v>37</v>
      </c>
      <c r="BC11" s="7">
        <v>38</v>
      </c>
      <c r="BD11" s="7">
        <v>39</v>
      </c>
      <c r="BE11" s="7">
        <v>40</v>
      </c>
      <c r="BF11" s="7">
        <v>41</v>
      </c>
      <c r="BG11" s="7">
        <v>42</v>
      </c>
      <c r="BH11" s="7">
        <v>43</v>
      </c>
      <c r="BI11" s="7">
        <v>44</v>
      </c>
      <c r="BJ11" s="7">
        <v>45</v>
      </c>
      <c r="BK11" s="7">
        <v>46</v>
      </c>
      <c r="BL11" s="7">
        <v>47</v>
      </c>
      <c r="BM11" s="7">
        <v>48</v>
      </c>
      <c r="BN11" s="7">
        <v>49</v>
      </c>
      <c r="BO11" s="7">
        <v>50</v>
      </c>
      <c r="BP11" s="7">
        <v>51</v>
      </c>
      <c r="BQ11" s="7">
        <v>52</v>
      </c>
      <c r="BR11" s="7">
        <v>53</v>
      </c>
      <c r="BS11" s="7">
        <v>54</v>
      </c>
      <c r="BT11" s="7">
        <v>55</v>
      </c>
      <c r="BU11" s="7">
        <v>56</v>
      </c>
      <c r="BV11" s="7">
        <v>57</v>
      </c>
      <c r="BW11" s="7">
        <v>58</v>
      </c>
      <c r="BX11" s="7">
        <v>59</v>
      </c>
      <c r="BY11" s="7">
        <v>60</v>
      </c>
      <c r="BZ11" s="7">
        <v>61</v>
      </c>
      <c r="CA11" s="7">
        <v>62</v>
      </c>
      <c r="CB11" s="7">
        <v>63</v>
      </c>
      <c r="CC11" s="7">
        <v>64</v>
      </c>
      <c r="CD11" s="7">
        <v>65</v>
      </c>
      <c r="CE11" s="7">
        <v>66</v>
      </c>
      <c r="CF11" s="7">
        <v>67</v>
      </c>
      <c r="CG11" s="7">
        <v>68</v>
      </c>
      <c r="CH11" s="7">
        <v>69</v>
      </c>
      <c r="CI11" s="7">
        <v>70</v>
      </c>
      <c r="CJ11" s="7">
        <v>71</v>
      </c>
      <c r="CK11" s="7">
        <v>72</v>
      </c>
      <c r="CL11" s="7">
        <v>73</v>
      </c>
      <c r="CM11" s="7">
        <v>74</v>
      </c>
      <c r="CN11" s="7">
        <v>75</v>
      </c>
      <c r="CO11" s="7">
        <v>76</v>
      </c>
      <c r="CP11" s="7">
        <v>77</v>
      </c>
      <c r="CQ11" s="7">
        <v>78</v>
      </c>
      <c r="CR11" s="7">
        <v>79</v>
      </c>
      <c r="CS11" s="7">
        <v>80</v>
      </c>
      <c r="CT11" s="7">
        <v>81</v>
      </c>
      <c r="CU11" s="7">
        <v>82</v>
      </c>
      <c r="CV11" s="7">
        <v>83</v>
      </c>
      <c r="CW11" s="7">
        <v>84</v>
      </c>
      <c r="CX11" s="7">
        <v>85</v>
      </c>
      <c r="CY11" s="7">
        <v>86</v>
      </c>
      <c r="CZ11" s="7">
        <v>87</v>
      </c>
      <c r="DA11" s="7">
        <v>88</v>
      </c>
      <c r="DB11" s="7">
        <v>89</v>
      </c>
      <c r="DC11" s="7">
        <v>90</v>
      </c>
      <c r="DD11" s="7">
        <v>91</v>
      </c>
      <c r="DE11" s="7">
        <v>92</v>
      </c>
      <c r="DF11" s="7">
        <v>93</v>
      </c>
      <c r="DG11" s="7">
        <v>94</v>
      </c>
      <c r="DH11" s="7">
        <v>95</v>
      </c>
      <c r="DI11" s="7">
        <v>96</v>
      </c>
      <c r="DJ11" s="7">
        <v>97</v>
      </c>
      <c r="DK11" s="7">
        <v>98</v>
      </c>
      <c r="DL11" s="7">
        <v>99</v>
      </c>
      <c r="DM11" s="7">
        <v>100</v>
      </c>
      <c r="DN11" s="7">
        <v>101</v>
      </c>
      <c r="DO11" s="7">
        <v>102</v>
      </c>
      <c r="DP11" s="7">
        <v>103</v>
      </c>
      <c r="DQ11" s="7">
        <v>104</v>
      </c>
      <c r="DR11" s="7">
        <v>105</v>
      </c>
      <c r="DS11" s="7">
        <v>106</v>
      </c>
      <c r="DT11" s="7">
        <v>107</v>
      </c>
      <c r="DU11" s="7">
        <v>108</v>
      </c>
      <c r="DV11" s="7">
        <v>109</v>
      </c>
      <c r="DW11" s="7">
        <v>110</v>
      </c>
      <c r="DX11" s="7">
        <v>111</v>
      </c>
      <c r="DY11" s="7">
        <v>112</v>
      </c>
      <c r="DZ11" s="7">
        <v>113</v>
      </c>
      <c r="EA11" s="7">
        <v>114</v>
      </c>
      <c r="EB11" s="7">
        <v>115</v>
      </c>
      <c r="EC11" s="7">
        <v>116</v>
      </c>
      <c r="ED11" s="7">
        <v>117</v>
      </c>
      <c r="EE11" s="7">
        <v>118</v>
      </c>
      <c r="EF11" s="7">
        <v>119</v>
      </c>
      <c r="EG11" s="7">
        <v>120</v>
      </c>
      <c r="EH11" s="7">
        <v>121</v>
      </c>
      <c r="EI11" s="7">
        <v>122</v>
      </c>
      <c r="EJ11" s="7">
        <v>123</v>
      </c>
      <c r="EK11" s="7">
        <v>124</v>
      </c>
      <c r="EL11" s="7">
        <v>125</v>
      </c>
      <c r="EM11" s="7">
        <v>126</v>
      </c>
      <c r="EN11" s="7">
        <v>127</v>
      </c>
      <c r="EO11" s="7">
        <v>128</v>
      </c>
      <c r="EP11" s="7">
        <v>129</v>
      </c>
      <c r="EQ11" s="7">
        <v>130</v>
      </c>
      <c r="ER11" s="7">
        <v>131</v>
      </c>
      <c r="ES11" s="7">
        <v>132</v>
      </c>
      <c r="ET11" s="7">
        <v>133</v>
      </c>
      <c r="EU11" s="7">
        <v>134</v>
      </c>
      <c r="EV11" s="7">
        <v>135</v>
      </c>
      <c r="EW11" s="7">
        <v>136</v>
      </c>
      <c r="EX11" s="7">
        <v>137</v>
      </c>
      <c r="EY11" s="7">
        <v>138</v>
      </c>
      <c r="EZ11" s="7">
        <v>139</v>
      </c>
      <c r="FA11" s="7">
        <v>140</v>
      </c>
      <c r="FB11" s="7">
        <v>141</v>
      </c>
      <c r="FC11" s="7">
        <v>142</v>
      </c>
      <c r="FD11" s="7">
        <v>143</v>
      </c>
      <c r="FE11" s="7">
        <v>144</v>
      </c>
      <c r="FF11" s="7">
        <v>145</v>
      </c>
      <c r="FG11" s="7">
        <v>146</v>
      </c>
      <c r="FH11" s="7">
        <v>147</v>
      </c>
      <c r="FI11" s="7">
        <v>148</v>
      </c>
      <c r="FJ11" s="7">
        <v>149</v>
      </c>
      <c r="FK11" s="7">
        <v>150</v>
      </c>
      <c r="FL11" s="7">
        <v>151</v>
      </c>
      <c r="FM11" s="7">
        <v>152</v>
      </c>
      <c r="FN11" s="7">
        <v>153</v>
      </c>
      <c r="FO11" s="7">
        <v>154</v>
      </c>
      <c r="FP11" s="7">
        <v>155</v>
      </c>
      <c r="FQ11" s="7">
        <v>156</v>
      </c>
      <c r="FR11" s="7">
        <v>157</v>
      </c>
      <c r="FS11" s="7">
        <v>158</v>
      </c>
      <c r="FT11" s="7">
        <v>159</v>
      </c>
      <c r="FU11" s="7">
        <v>160</v>
      </c>
    </row>
    <row r="12" spans="1:14" ht="12.75">
      <c r="A12" s="6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67"/>
    </row>
    <row r="13" spans="1:184" ht="12.75">
      <c r="A13" s="68">
        <v>1</v>
      </c>
      <c r="B13" s="26" t="s">
        <v>36</v>
      </c>
      <c r="C13" s="27" t="s">
        <v>37</v>
      </c>
      <c r="D13" s="28">
        <f>126533-70-220</f>
        <v>126243</v>
      </c>
      <c r="E13" s="29">
        <f>D13*100</f>
        <v>12624300</v>
      </c>
      <c r="F13" s="29">
        <v>-98049</v>
      </c>
      <c r="G13" s="25"/>
      <c r="H13" s="29">
        <f>E13+F13</f>
        <v>12526251</v>
      </c>
      <c r="I13" s="29">
        <f>E13*0.05</f>
        <v>631215</v>
      </c>
      <c r="J13" s="25"/>
      <c r="K13" s="30">
        <f>I13/H13</f>
        <v>0.05039137408311553</v>
      </c>
      <c r="L13" s="25"/>
      <c r="M13" s="31">
        <f>E13*K13</f>
        <v>636155.8238374754</v>
      </c>
      <c r="N13" s="69">
        <v>1</v>
      </c>
      <c r="GA13" s="74">
        <f>I13/E13</f>
        <v>0.05</v>
      </c>
      <c r="GB13" s="74">
        <f>I13/E13</f>
        <v>0.05</v>
      </c>
    </row>
    <row r="14" spans="1:14" ht="12.75">
      <c r="A14" s="68">
        <v>2</v>
      </c>
      <c r="B14" s="25"/>
      <c r="C14" s="25"/>
      <c r="D14" s="28"/>
      <c r="E14" s="25"/>
      <c r="F14" s="25"/>
      <c r="G14" s="25"/>
      <c r="H14" s="25"/>
      <c r="I14" s="29" t="s">
        <v>38</v>
      </c>
      <c r="J14" s="25"/>
      <c r="K14" s="25"/>
      <c r="L14" s="25"/>
      <c r="M14" s="31"/>
      <c r="N14" s="69">
        <v>2</v>
      </c>
    </row>
    <row r="15" spans="1:14" ht="12.75">
      <c r="A15" s="68">
        <v>3</v>
      </c>
      <c r="B15" s="26" t="s">
        <v>39</v>
      </c>
      <c r="C15" s="25"/>
      <c r="D15" s="28"/>
      <c r="E15" s="25"/>
      <c r="F15" s="25"/>
      <c r="G15" s="25"/>
      <c r="H15" s="25"/>
      <c r="I15" s="29" t="s">
        <v>38</v>
      </c>
      <c r="J15" s="25"/>
      <c r="K15" s="25"/>
      <c r="L15" s="25"/>
      <c r="M15" s="31"/>
      <c r="N15" s="69">
        <v>3</v>
      </c>
    </row>
    <row r="16" spans="1:184" ht="12.75">
      <c r="A16" s="68">
        <v>4</v>
      </c>
      <c r="B16" s="27" t="s">
        <v>40</v>
      </c>
      <c r="C16" s="32">
        <v>20394</v>
      </c>
      <c r="D16" s="28">
        <v>2065</v>
      </c>
      <c r="E16" s="29">
        <f aca="true" t="shared" si="0" ref="E16:E22">D16*100</f>
        <v>206500</v>
      </c>
      <c r="F16" s="29">
        <v>-9676.33</v>
      </c>
      <c r="G16" s="25"/>
      <c r="H16" s="29">
        <f>E16+F16</f>
        <v>196823.67</v>
      </c>
      <c r="I16" s="29">
        <f>206500*0.0452</f>
        <v>9333.800000000001</v>
      </c>
      <c r="J16" s="25"/>
      <c r="K16" s="30">
        <f aca="true" t="shared" si="1" ref="K16:K22">I16/H16</f>
        <v>0.0474221418592591</v>
      </c>
      <c r="L16" s="25"/>
      <c r="M16" s="31">
        <f aca="true" t="shared" si="2" ref="M16:M22">E16*K16</f>
        <v>9792.672293937005</v>
      </c>
      <c r="N16" s="69">
        <v>4</v>
      </c>
      <c r="GA16" s="74">
        <f aca="true" t="shared" si="3" ref="GA16:GA22">I16/E16</f>
        <v>0.045200000000000004</v>
      </c>
      <c r="GB16" s="74">
        <f aca="true" t="shared" si="4" ref="GB16:GB22">I16/E16</f>
        <v>0.045200000000000004</v>
      </c>
    </row>
    <row r="17" spans="1:184" ht="12.75">
      <c r="A17" s="68">
        <v>5</v>
      </c>
      <c r="B17" s="27" t="s">
        <v>41</v>
      </c>
      <c r="C17" s="33" t="s">
        <v>42</v>
      </c>
      <c r="D17" s="28">
        <f>18060-14</f>
        <v>18046</v>
      </c>
      <c r="E17" s="29">
        <f t="shared" si="0"/>
        <v>1804600</v>
      </c>
      <c r="F17" s="34" t="s">
        <v>43</v>
      </c>
      <c r="G17" s="25"/>
      <c r="H17" s="29">
        <f>E17</f>
        <v>1804600</v>
      </c>
      <c r="I17" s="29">
        <f>E17*0.07</f>
        <v>126322.00000000001</v>
      </c>
      <c r="J17" s="25"/>
      <c r="K17" s="30">
        <f t="shared" si="1"/>
        <v>0.07</v>
      </c>
      <c r="L17" s="25"/>
      <c r="M17" s="31">
        <f t="shared" si="2"/>
        <v>126322.00000000001</v>
      </c>
      <c r="N17" s="69">
        <v>5</v>
      </c>
      <c r="GA17" s="74">
        <f t="shared" si="3"/>
        <v>0.07</v>
      </c>
      <c r="GB17" s="74">
        <f t="shared" si="4"/>
        <v>0.07</v>
      </c>
    </row>
    <row r="18" spans="1:184" ht="12.75">
      <c r="A18" s="68">
        <v>6</v>
      </c>
      <c r="B18" s="27" t="s">
        <v>44</v>
      </c>
      <c r="C18" s="33" t="s">
        <v>42</v>
      </c>
      <c r="D18" s="28">
        <f>5932-2</f>
        <v>5930</v>
      </c>
      <c r="E18" s="29">
        <f t="shared" si="0"/>
        <v>593000</v>
      </c>
      <c r="F18" s="34" t="s">
        <v>43</v>
      </c>
      <c r="G18" s="25"/>
      <c r="H18" s="29">
        <f>E18</f>
        <v>593000</v>
      </c>
      <c r="I18" s="29">
        <f>E18*0.06</f>
        <v>35580</v>
      </c>
      <c r="J18" s="25"/>
      <c r="K18" s="30">
        <f t="shared" si="1"/>
        <v>0.06</v>
      </c>
      <c r="L18" s="25"/>
      <c r="M18" s="31">
        <f t="shared" si="2"/>
        <v>35580</v>
      </c>
      <c r="N18" s="69">
        <v>6</v>
      </c>
      <c r="GA18" s="74">
        <f t="shared" si="3"/>
        <v>0.06</v>
      </c>
      <c r="GB18" s="74">
        <f t="shared" si="4"/>
        <v>0.06</v>
      </c>
    </row>
    <row r="19" spans="1:184" ht="12.75">
      <c r="A19" s="68">
        <v>7</v>
      </c>
      <c r="B19" s="27" t="s">
        <v>45</v>
      </c>
      <c r="C19" s="33" t="s">
        <v>42</v>
      </c>
      <c r="D19" s="28">
        <f>42000-30-62</f>
        <v>41908</v>
      </c>
      <c r="E19" s="29">
        <f t="shared" si="0"/>
        <v>4190800</v>
      </c>
      <c r="F19" s="34" t="s">
        <v>43</v>
      </c>
      <c r="G19" s="25"/>
      <c r="H19" s="29">
        <f>E19</f>
        <v>4190800</v>
      </c>
      <c r="I19" s="29">
        <f>E19*0.05</f>
        <v>209540</v>
      </c>
      <c r="J19" s="25"/>
      <c r="K19" s="30">
        <f t="shared" si="1"/>
        <v>0.05</v>
      </c>
      <c r="L19" s="25"/>
      <c r="M19" s="31">
        <f t="shared" si="2"/>
        <v>209540</v>
      </c>
      <c r="N19" s="69">
        <v>7</v>
      </c>
      <c r="GA19" s="74">
        <f t="shared" si="3"/>
        <v>0.05</v>
      </c>
      <c r="GB19" s="74">
        <f t="shared" si="4"/>
        <v>0.05</v>
      </c>
    </row>
    <row r="20" spans="1:184" ht="12.75">
      <c r="A20" s="68">
        <v>8</v>
      </c>
      <c r="B20" s="27" t="s">
        <v>46</v>
      </c>
      <c r="C20" s="33" t="s">
        <v>42</v>
      </c>
      <c r="D20" s="28">
        <f>65960-1</f>
        <v>65959</v>
      </c>
      <c r="E20" s="29">
        <f t="shared" si="0"/>
        <v>6595900</v>
      </c>
      <c r="F20" s="34" t="s">
        <v>43</v>
      </c>
      <c r="G20" s="25"/>
      <c r="H20" s="29">
        <f>E20</f>
        <v>6595900</v>
      </c>
      <c r="I20" s="29">
        <f>E20*0.054</f>
        <v>356178.6</v>
      </c>
      <c r="J20" s="25"/>
      <c r="K20" s="30">
        <f t="shared" si="1"/>
        <v>0.054</v>
      </c>
      <c r="L20" s="25"/>
      <c r="M20" s="31">
        <f t="shared" si="2"/>
        <v>356178.6</v>
      </c>
      <c r="N20" s="69">
        <v>8</v>
      </c>
      <c r="GA20" s="74">
        <f t="shared" si="3"/>
        <v>0.054</v>
      </c>
      <c r="GB20" s="74">
        <f t="shared" si="4"/>
        <v>0.054</v>
      </c>
    </row>
    <row r="21" spans="1:184" ht="12.75">
      <c r="A21" s="68">
        <v>9</v>
      </c>
      <c r="B21" s="27" t="s">
        <v>47</v>
      </c>
      <c r="C21" s="32">
        <v>23224</v>
      </c>
      <c r="D21" s="28">
        <v>69890</v>
      </c>
      <c r="E21" s="29">
        <f t="shared" si="0"/>
        <v>6989000</v>
      </c>
      <c r="F21" s="29">
        <v>-30348.61</v>
      </c>
      <c r="G21" s="25"/>
      <c r="H21" s="29">
        <f>E21+F21</f>
        <v>6958651.39</v>
      </c>
      <c r="I21" s="29">
        <f>E21*0.0472</f>
        <v>329880.8</v>
      </c>
      <c r="J21" s="25"/>
      <c r="K21" s="30">
        <f t="shared" si="1"/>
        <v>0.04740585229978017</v>
      </c>
      <c r="L21" s="25"/>
      <c r="M21" s="31">
        <f t="shared" si="2"/>
        <v>331319.50172316364</v>
      </c>
      <c r="N21" s="69">
        <v>9</v>
      </c>
      <c r="GA21" s="74">
        <f t="shared" si="3"/>
        <v>0.0472</v>
      </c>
      <c r="GB21" s="74">
        <f t="shared" si="4"/>
        <v>0.0472</v>
      </c>
    </row>
    <row r="22" spans="1:184" ht="12.75">
      <c r="A22" s="68">
        <v>10</v>
      </c>
      <c r="B22" s="27" t="s">
        <v>48</v>
      </c>
      <c r="C22" s="32">
        <v>23774</v>
      </c>
      <c r="D22" s="28">
        <v>84592</v>
      </c>
      <c r="E22" s="29">
        <f t="shared" si="0"/>
        <v>8459200</v>
      </c>
      <c r="F22" s="29">
        <v>-49071.21</v>
      </c>
      <c r="G22" s="25"/>
      <c r="H22" s="29">
        <f>E22+F22</f>
        <v>8410128.79</v>
      </c>
      <c r="I22" s="29">
        <f>E22*0.0456</f>
        <v>385739.52</v>
      </c>
      <c r="J22" s="25"/>
      <c r="K22" s="30">
        <f t="shared" si="1"/>
        <v>0.04586606574427977</v>
      </c>
      <c r="L22" s="25"/>
      <c r="M22" s="31">
        <f t="shared" si="2"/>
        <v>387990.2233440114</v>
      </c>
      <c r="N22" s="69">
        <v>10</v>
      </c>
      <c r="GA22" s="74">
        <f t="shared" si="3"/>
        <v>0.0456</v>
      </c>
      <c r="GB22" s="74">
        <f t="shared" si="4"/>
        <v>0.0456</v>
      </c>
    </row>
    <row r="23" spans="1:14" ht="12.75">
      <c r="A23" s="68">
        <v>11</v>
      </c>
      <c r="B23" s="25"/>
      <c r="C23" s="25"/>
      <c r="D23" s="28"/>
      <c r="E23" s="25"/>
      <c r="F23" s="25"/>
      <c r="G23" s="25"/>
      <c r="H23" s="29"/>
      <c r="I23" s="29"/>
      <c r="J23" s="25"/>
      <c r="K23" s="30"/>
      <c r="L23" s="25"/>
      <c r="M23" s="31"/>
      <c r="N23" s="69">
        <v>11</v>
      </c>
    </row>
    <row r="24" spans="1:14" ht="13.5" customHeight="1">
      <c r="A24" s="68">
        <v>12</v>
      </c>
      <c r="B24" s="26" t="s">
        <v>49</v>
      </c>
      <c r="C24" s="25"/>
      <c r="D24" s="28"/>
      <c r="E24" s="25"/>
      <c r="F24" s="25"/>
      <c r="G24" s="25"/>
      <c r="H24" s="29"/>
      <c r="I24" s="29"/>
      <c r="J24" s="25"/>
      <c r="K24" s="30"/>
      <c r="L24" s="25"/>
      <c r="M24" s="31"/>
      <c r="N24" s="69">
        <v>12</v>
      </c>
    </row>
    <row r="25" spans="1:184" ht="12.75">
      <c r="A25" s="68">
        <v>13</v>
      </c>
      <c r="B25" s="35" t="s">
        <v>75</v>
      </c>
      <c r="C25" s="32">
        <v>34850</v>
      </c>
      <c r="D25" s="36"/>
      <c r="E25" s="37"/>
      <c r="F25" s="25"/>
      <c r="G25" s="25"/>
      <c r="H25" s="29"/>
      <c r="I25" s="29"/>
      <c r="J25" s="25"/>
      <c r="K25" s="30"/>
      <c r="L25" s="25"/>
      <c r="M25" s="31">
        <f>((3780000+413399.58+23916.45+57037+49251.09)*0.63)/481*12</f>
        <v>67955.19157422039</v>
      </c>
      <c r="N25" s="69">
        <v>13</v>
      </c>
      <c r="O25" s="7"/>
      <c r="P25" s="8"/>
      <c r="FW25" s="9"/>
      <c r="GA25" s="74"/>
      <c r="GB25" s="74"/>
    </row>
    <row r="26" spans="1:184" ht="12.75">
      <c r="A26" s="68">
        <v>14</v>
      </c>
      <c r="B26" s="35" t="s">
        <v>76</v>
      </c>
      <c r="C26" s="38">
        <v>1995</v>
      </c>
      <c r="D26" s="36"/>
      <c r="E26" s="37"/>
      <c r="F26" s="25"/>
      <c r="G26" s="25"/>
      <c r="H26" s="29"/>
      <c r="I26" s="29"/>
      <c r="J26" s="25"/>
      <c r="K26" s="30"/>
      <c r="L26" s="25"/>
      <c r="M26" s="31">
        <f>(195859.99+1618002.11+33959.89+46700.92+168202.74+36615.33+90278.17+2587.95-11051+271464.54+67935.61)/360*12</f>
        <v>84018.54166666666</v>
      </c>
      <c r="N26" s="69">
        <v>14</v>
      </c>
      <c r="O26" s="7"/>
      <c r="P26" s="8"/>
      <c r="FW26" s="9"/>
      <c r="GA26" s="74"/>
      <c r="GB26" s="74"/>
    </row>
    <row r="27" spans="1:14" ht="12.75">
      <c r="A27" s="68">
        <v>15</v>
      </c>
      <c r="B27" s="25"/>
      <c r="C27" s="25"/>
      <c r="D27" s="28"/>
      <c r="E27" s="25"/>
      <c r="F27" s="25"/>
      <c r="G27" s="25"/>
      <c r="H27" s="25"/>
      <c r="I27" s="25"/>
      <c r="J27" s="25"/>
      <c r="K27" s="30"/>
      <c r="L27" s="25"/>
      <c r="M27" s="31"/>
      <c r="N27" s="69">
        <v>15</v>
      </c>
    </row>
    <row r="28" spans="1:14" ht="12.75">
      <c r="A28" s="68">
        <v>16</v>
      </c>
      <c r="B28" s="26" t="s">
        <v>50</v>
      </c>
      <c r="C28" s="25"/>
      <c r="D28" s="28"/>
      <c r="E28" s="25"/>
      <c r="F28" s="25"/>
      <c r="G28" s="25"/>
      <c r="H28" s="25"/>
      <c r="I28" s="25"/>
      <c r="J28" s="25"/>
      <c r="K28" s="25"/>
      <c r="L28" s="25"/>
      <c r="M28" s="31"/>
      <c r="N28" s="69">
        <v>16</v>
      </c>
    </row>
    <row r="29" spans="1:184" ht="12.75">
      <c r="A29" s="68">
        <v>17</v>
      </c>
      <c r="B29" s="39" t="s">
        <v>51</v>
      </c>
      <c r="C29" s="32">
        <v>33756</v>
      </c>
      <c r="D29" s="28">
        <f>525000-37500</f>
        <v>487500</v>
      </c>
      <c r="E29" s="31">
        <f>D29*100</f>
        <v>48750000</v>
      </c>
      <c r="F29" s="31">
        <f>-(840432.55)*0.65</f>
        <v>-546281.1575000001</v>
      </c>
      <c r="G29" s="25"/>
      <c r="H29" s="29">
        <f>E29+F29</f>
        <v>48203718.8425</v>
      </c>
      <c r="I29" s="29">
        <f>E29*0.0748</f>
        <v>3646500.0000000005</v>
      </c>
      <c r="J29" s="25"/>
      <c r="K29" s="30">
        <f>IRR(Q29:BE29,P29)*4</f>
        <v>0.07673161248362946</v>
      </c>
      <c r="L29" s="25"/>
      <c r="M29" s="31">
        <f>E29*K29</f>
        <v>3740666.108576936</v>
      </c>
      <c r="N29" s="69">
        <v>17</v>
      </c>
      <c r="O29" s="10">
        <f>7.75*4</f>
        <v>31</v>
      </c>
      <c r="P29" s="11">
        <f>0.0748/4</f>
        <v>0.0187</v>
      </c>
      <c r="Q29">
        <f>-H29</f>
        <v>-48203718.8425</v>
      </c>
      <c r="R29">
        <f aca="true" t="shared" si="5" ref="R29:AW29">IF(R$11&gt;$O29,0,IF(R$11&lt;$O29,$P$29*$E$29,$P$29*$E$29+$E$29))</f>
        <v>911625.0000000001</v>
      </c>
      <c r="S29">
        <f t="shared" si="5"/>
        <v>911625.0000000001</v>
      </c>
      <c r="T29">
        <f t="shared" si="5"/>
        <v>911625.0000000001</v>
      </c>
      <c r="U29">
        <f t="shared" si="5"/>
        <v>911625.0000000001</v>
      </c>
      <c r="V29">
        <f t="shared" si="5"/>
        <v>911625.0000000001</v>
      </c>
      <c r="W29">
        <f t="shared" si="5"/>
        <v>911625.0000000001</v>
      </c>
      <c r="X29">
        <f t="shared" si="5"/>
        <v>911625.0000000001</v>
      </c>
      <c r="Y29">
        <f t="shared" si="5"/>
        <v>911625.0000000001</v>
      </c>
      <c r="Z29">
        <f t="shared" si="5"/>
        <v>911625.0000000001</v>
      </c>
      <c r="AA29">
        <f t="shared" si="5"/>
        <v>911625.0000000001</v>
      </c>
      <c r="AB29">
        <f t="shared" si="5"/>
        <v>911625.0000000001</v>
      </c>
      <c r="AC29">
        <f t="shared" si="5"/>
        <v>911625.0000000001</v>
      </c>
      <c r="AD29">
        <f t="shared" si="5"/>
        <v>911625.0000000001</v>
      </c>
      <c r="AE29">
        <f t="shared" si="5"/>
        <v>911625.0000000001</v>
      </c>
      <c r="AF29">
        <f t="shared" si="5"/>
        <v>911625.0000000001</v>
      </c>
      <c r="AG29">
        <f t="shared" si="5"/>
        <v>911625.0000000001</v>
      </c>
      <c r="AH29">
        <f t="shared" si="5"/>
        <v>911625.0000000001</v>
      </c>
      <c r="AI29">
        <f t="shared" si="5"/>
        <v>911625.0000000001</v>
      </c>
      <c r="AJ29">
        <f t="shared" si="5"/>
        <v>911625.0000000001</v>
      </c>
      <c r="AK29">
        <f t="shared" si="5"/>
        <v>911625.0000000001</v>
      </c>
      <c r="AL29">
        <f t="shared" si="5"/>
        <v>911625.0000000001</v>
      </c>
      <c r="AM29">
        <f t="shared" si="5"/>
        <v>911625.0000000001</v>
      </c>
      <c r="AN29">
        <f t="shared" si="5"/>
        <v>911625.0000000001</v>
      </c>
      <c r="AO29">
        <f t="shared" si="5"/>
        <v>911625.0000000001</v>
      </c>
      <c r="AP29">
        <f t="shared" si="5"/>
        <v>911625.0000000001</v>
      </c>
      <c r="AQ29">
        <f t="shared" si="5"/>
        <v>911625.0000000001</v>
      </c>
      <c r="AR29">
        <f t="shared" si="5"/>
        <v>911625.0000000001</v>
      </c>
      <c r="AS29">
        <f t="shared" si="5"/>
        <v>911625.0000000001</v>
      </c>
      <c r="AT29">
        <f t="shared" si="5"/>
        <v>911625.0000000001</v>
      </c>
      <c r="AU29">
        <f t="shared" si="5"/>
        <v>911625.0000000001</v>
      </c>
      <c r="AV29">
        <f t="shared" si="5"/>
        <v>49661625</v>
      </c>
      <c r="AW29">
        <f t="shared" si="5"/>
        <v>0</v>
      </c>
      <c r="AX29">
        <f aca="true" t="shared" si="6" ref="AX29:CC29">IF(AX$11&gt;$O29,0,IF(AX$11&lt;$O29,$P$29*$E$29,$P$29*$E$29+$E$29))</f>
        <v>0</v>
      </c>
      <c r="AY29">
        <f t="shared" si="6"/>
        <v>0</v>
      </c>
      <c r="AZ29">
        <f t="shared" si="6"/>
        <v>0</v>
      </c>
      <c r="BA29">
        <f t="shared" si="6"/>
        <v>0</v>
      </c>
      <c r="BB29">
        <f t="shared" si="6"/>
        <v>0</v>
      </c>
      <c r="BC29">
        <f t="shared" si="6"/>
        <v>0</v>
      </c>
      <c r="BD29">
        <f t="shared" si="6"/>
        <v>0</v>
      </c>
      <c r="BE29">
        <f t="shared" si="6"/>
        <v>0</v>
      </c>
      <c r="BF29">
        <f t="shared" si="6"/>
        <v>0</v>
      </c>
      <c r="BG29">
        <f t="shared" si="6"/>
        <v>0</v>
      </c>
      <c r="BH29">
        <f t="shared" si="6"/>
        <v>0</v>
      </c>
      <c r="BI29">
        <f t="shared" si="6"/>
        <v>0</v>
      </c>
      <c r="BJ29">
        <f t="shared" si="6"/>
        <v>0</v>
      </c>
      <c r="BK29">
        <f t="shared" si="6"/>
        <v>0</v>
      </c>
      <c r="BL29">
        <f t="shared" si="6"/>
        <v>0</v>
      </c>
      <c r="BM29">
        <f t="shared" si="6"/>
        <v>0</v>
      </c>
      <c r="BN29">
        <f t="shared" si="6"/>
        <v>0</v>
      </c>
      <c r="BO29">
        <f t="shared" si="6"/>
        <v>0</v>
      </c>
      <c r="BP29">
        <f t="shared" si="6"/>
        <v>0</v>
      </c>
      <c r="BQ29">
        <f t="shared" si="6"/>
        <v>0</v>
      </c>
      <c r="BR29">
        <f t="shared" si="6"/>
        <v>0</v>
      </c>
      <c r="BS29">
        <f t="shared" si="6"/>
        <v>0</v>
      </c>
      <c r="BT29">
        <f t="shared" si="6"/>
        <v>0</v>
      </c>
      <c r="BU29">
        <f t="shared" si="6"/>
        <v>0</v>
      </c>
      <c r="BV29">
        <f t="shared" si="6"/>
        <v>0</v>
      </c>
      <c r="BW29">
        <f t="shared" si="6"/>
        <v>0</v>
      </c>
      <c r="BX29">
        <f t="shared" si="6"/>
        <v>0</v>
      </c>
      <c r="BY29">
        <f t="shared" si="6"/>
        <v>0</v>
      </c>
      <c r="BZ29">
        <f t="shared" si="6"/>
        <v>0</v>
      </c>
      <c r="CA29">
        <f t="shared" si="6"/>
        <v>0</v>
      </c>
      <c r="CB29">
        <f t="shared" si="6"/>
        <v>0</v>
      </c>
      <c r="CC29">
        <f t="shared" si="6"/>
        <v>0</v>
      </c>
      <c r="CD29">
        <f aca="true" t="shared" si="7" ref="CD29:DI29">IF(CD$11&gt;$O29,0,IF(CD$11&lt;$O29,$P$29*$E$29,$P$29*$E$29+$E$29))</f>
        <v>0</v>
      </c>
      <c r="CE29">
        <f t="shared" si="7"/>
        <v>0</v>
      </c>
      <c r="CF29">
        <f t="shared" si="7"/>
        <v>0</v>
      </c>
      <c r="CG29">
        <f t="shared" si="7"/>
        <v>0</v>
      </c>
      <c r="CH29">
        <f t="shared" si="7"/>
        <v>0</v>
      </c>
      <c r="CI29">
        <f t="shared" si="7"/>
        <v>0</v>
      </c>
      <c r="CJ29">
        <f t="shared" si="7"/>
        <v>0</v>
      </c>
      <c r="CK29">
        <f t="shared" si="7"/>
        <v>0</v>
      </c>
      <c r="CL29">
        <f t="shared" si="7"/>
        <v>0</v>
      </c>
      <c r="CM29">
        <f t="shared" si="7"/>
        <v>0</v>
      </c>
      <c r="CN29">
        <f t="shared" si="7"/>
        <v>0</v>
      </c>
      <c r="CO29">
        <f t="shared" si="7"/>
        <v>0</v>
      </c>
      <c r="CP29">
        <f t="shared" si="7"/>
        <v>0</v>
      </c>
      <c r="CQ29">
        <f t="shared" si="7"/>
        <v>0</v>
      </c>
      <c r="CR29">
        <f t="shared" si="7"/>
        <v>0</v>
      </c>
      <c r="CS29">
        <f t="shared" si="7"/>
        <v>0</v>
      </c>
      <c r="CT29">
        <f t="shared" si="7"/>
        <v>0</v>
      </c>
      <c r="CU29">
        <f t="shared" si="7"/>
        <v>0</v>
      </c>
      <c r="CV29">
        <f t="shared" si="7"/>
        <v>0</v>
      </c>
      <c r="CW29">
        <f t="shared" si="7"/>
        <v>0</v>
      </c>
      <c r="CX29">
        <f t="shared" si="7"/>
        <v>0</v>
      </c>
      <c r="CY29">
        <f t="shared" si="7"/>
        <v>0</v>
      </c>
      <c r="CZ29">
        <f t="shared" si="7"/>
        <v>0</v>
      </c>
      <c r="DA29">
        <f t="shared" si="7"/>
        <v>0</v>
      </c>
      <c r="DB29">
        <f t="shared" si="7"/>
        <v>0</v>
      </c>
      <c r="DC29">
        <f t="shared" si="7"/>
        <v>0</v>
      </c>
      <c r="DD29">
        <f t="shared" si="7"/>
        <v>0</v>
      </c>
      <c r="DE29">
        <f t="shared" si="7"/>
        <v>0</v>
      </c>
      <c r="DF29">
        <f t="shared" si="7"/>
        <v>0</v>
      </c>
      <c r="DG29">
        <f t="shared" si="7"/>
        <v>0</v>
      </c>
      <c r="DH29">
        <f t="shared" si="7"/>
        <v>0</v>
      </c>
      <c r="DI29">
        <f t="shared" si="7"/>
        <v>0</v>
      </c>
      <c r="DJ29">
        <f aca="true" t="shared" si="8" ref="DJ29:EO29">IF(DJ$11&gt;$O29,0,IF(DJ$11&lt;$O29,$P$29*$E$29,$P$29*$E$29+$E$29))</f>
        <v>0</v>
      </c>
      <c r="DK29">
        <f t="shared" si="8"/>
        <v>0</v>
      </c>
      <c r="DL29">
        <f t="shared" si="8"/>
        <v>0</v>
      </c>
      <c r="DM29">
        <f t="shared" si="8"/>
        <v>0</v>
      </c>
      <c r="DN29">
        <f t="shared" si="8"/>
        <v>0</v>
      </c>
      <c r="DO29">
        <f t="shared" si="8"/>
        <v>0</v>
      </c>
      <c r="DP29">
        <f t="shared" si="8"/>
        <v>0</v>
      </c>
      <c r="DQ29">
        <f t="shared" si="8"/>
        <v>0</v>
      </c>
      <c r="DR29">
        <f t="shared" si="8"/>
        <v>0</v>
      </c>
      <c r="DS29">
        <f t="shared" si="8"/>
        <v>0</v>
      </c>
      <c r="DT29">
        <f t="shared" si="8"/>
        <v>0</v>
      </c>
      <c r="DU29">
        <f t="shared" si="8"/>
        <v>0</v>
      </c>
      <c r="DV29">
        <f t="shared" si="8"/>
        <v>0</v>
      </c>
      <c r="DW29">
        <f t="shared" si="8"/>
        <v>0</v>
      </c>
      <c r="DX29">
        <f t="shared" si="8"/>
        <v>0</v>
      </c>
      <c r="DY29">
        <f t="shared" si="8"/>
        <v>0</v>
      </c>
      <c r="DZ29">
        <f t="shared" si="8"/>
        <v>0</v>
      </c>
      <c r="EA29">
        <f t="shared" si="8"/>
        <v>0</v>
      </c>
      <c r="EB29">
        <f t="shared" si="8"/>
        <v>0</v>
      </c>
      <c r="EC29">
        <f t="shared" si="8"/>
        <v>0</v>
      </c>
      <c r="ED29">
        <f t="shared" si="8"/>
        <v>0</v>
      </c>
      <c r="EE29">
        <f t="shared" si="8"/>
        <v>0</v>
      </c>
      <c r="EF29">
        <f t="shared" si="8"/>
        <v>0</v>
      </c>
      <c r="EG29">
        <f t="shared" si="8"/>
        <v>0</v>
      </c>
      <c r="EH29">
        <f t="shared" si="8"/>
        <v>0</v>
      </c>
      <c r="EI29">
        <f t="shared" si="8"/>
        <v>0</v>
      </c>
      <c r="EJ29">
        <f t="shared" si="8"/>
        <v>0</v>
      </c>
      <c r="EK29">
        <f t="shared" si="8"/>
        <v>0</v>
      </c>
      <c r="EL29">
        <f t="shared" si="8"/>
        <v>0</v>
      </c>
      <c r="EM29">
        <f t="shared" si="8"/>
        <v>0</v>
      </c>
      <c r="EN29">
        <f t="shared" si="8"/>
        <v>0</v>
      </c>
      <c r="EO29">
        <f t="shared" si="8"/>
        <v>0</v>
      </c>
      <c r="EP29">
        <f aca="true" t="shared" si="9" ref="EP29:FU29">IF(EP$11&gt;$O29,0,IF(EP$11&lt;$O29,$P$29*$E$29,$P$29*$E$29+$E$29))</f>
        <v>0</v>
      </c>
      <c r="EQ29">
        <f t="shared" si="9"/>
        <v>0</v>
      </c>
      <c r="ER29">
        <f t="shared" si="9"/>
        <v>0</v>
      </c>
      <c r="ES29">
        <f t="shared" si="9"/>
        <v>0</v>
      </c>
      <c r="ET29">
        <f t="shared" si="9"/>
        <v>0</v>
      </c>
      <c r="EU29">
        <f t="shared" si="9"/>
        <v>0</v>
      </c>
      <c r="EV29">
        <f t="shared" si="9"/>
        <v>0</v>
      </c>
      <c r="EW29">
        <f t="shared" si="9"/>
        <v>0</v>
      </c>
      <c r="EX29">
        <f t="shared" si="9"/>
        <v>0</v>
      </c>
      <c r="EY29">
        <f t="shared" si="9"/>
        <v>0</v>
      </c>
      <c r="EZ29">
        <f t="shared" si="9"/>
        <v>0</v>
      </c>
      <c r="FA29">
        <f t="shared" si="9"/>
        <v>0</v>
      </c>
      <c r="FB29">
        <f t="shared" si="9"/>
        <v>0</v>
      </c>
      <c r="FC29">
        <f t="shared" si="9"/>
        <v>0</v>
      </c>
      <c r="FD29">
        <f t="shared" si="9"/>
        <v>0</v>
      </c>
      <c r="FE29">
        <f t="shared" si="9"/>
        <v>0</v>
      </c>
      <c r="FF29">
        <f t="shared" si="9"/>
        <v>0</v>
      </c>
      <c r="FG29">
        <f t="shared" si="9"/>
        <v>0</v>
      </c>
      <c r="FH29">
        <f t="shared" si="9"/>
        <v>0</v>
      </c>
      <c r="FI29">
        <f t="shared" si="9"/>
        <v>0</v>
      </c>
      <c r="FJ29">
        <f t="shared" si="9"/>
        <v>0</v>
      </c>
      <c r="FK29">
        <f t="shared" si="9"/>
        <v>0</v>
      </c>
      <c r="FL29">
        <f t="shared" si="9"/>
        <v>0</v>
      </c>
      <c r="FM29">
        <f t="shared" si="9"/>
        <v>0</v>
      </c>
      <c r="FN29">
        <f t="shared" si="9"/>
        <v>0</v>
      </c>
      <c r="FO29">
        <f t="shared" si="9"/>
        <v>0</v>
      </c>
      <c r="FP29">
        <f t="shared" si="9"/>
        <v>0</v>
      </c>
      <c r="FQ29">
        <f t="shared" si="9"/>
        <v>0</v>
      </c>
      <c r="FR29">
        <f t="shared" si="9"/>
        <v>0</v>
      </c>
      <c r="FS29">
        <f t="shared" si="9"/>
        <v>0</v>
      </c>
      <c r="FT29">
        <f t="shared" si="9"/>
        <v>0</v>
      </c>
      <c r="FU29">
        <f t="shared" si="9"/>
        <v>0</v>
      </c>
      <c r="GA29" s="74">
        <f>I29/E29</f>
        <v>0.0748</v>
      </c>
      <c r="GB29" s="74">
        <f>I29/E29</f>
        <v>0.0748</v>
      </c>
    </row>
    <row r="30" spans="1:14" ht="12.75">
      <c r="A30" s="68">
        <v>18</v>
      </c>
      <c r="B30" s="25"/>
      <c r="C30" s="25"/>
      <c r="D30" s="28"/>
      <c r="E30" s="40"/>
      <c r="F30" s="40"/>
      <c r="G30" s="25"/>
      <c r="H30" s="40"/>
      <c r="I30" s="40"/>
      <c r="J30" s="25"/>
      <c r="K30" s="25"/>
      <c r="L30" s="25"/>
      <c r="M30" s="41"/>
      <c r="N30" s="69">
        <v>18</v>
      </c>
    </row>
    <row r="31" spans="1:184" ht="15.75" customHeight="1" thickBot="1">
      <c r="A31" s="68">
        <v>19</v>
      </c>
      <c r="B31" s="42" t="s">
        <v>52</v>
      </c>
      <c r="C31" s="25"/>
      <c r="D31" s="25"/>
      <c r="E31" s="43">
        <f>SUM(E13:E30)</f>
        <v>90213300</v>
      </c>
      <c r="F31" s="43">
        <f>SUM(F13:F30)</f>
        <v>-733426.3075000001</v>
      </c>
      <c r="G31" s="44"/>
      <c r="H31" s="43">
        <f>SUM(H13:H30)</f>
        <v>89479873.6925</v>
      </c>
      <c r="I31" s="43">
        <f>SUM(I13:I30)</f>
        <v>5730289.720000001</v>
      </c>
      <c r="J31" s="44"/>
      <c r="K31" s="45"/>
      <c r="L31" s="44"/>
      <c r="M31" s="46">
        <f>SUM(M13:M29)</f>
        <v>5985518.663016411</v>
      </c>
      <c r="N31" s="69">
        <v>19</v>
      </c>
      <c r="GA31" s="74">
        <f>SUMPRODUCT(GA13:GA29,$E13:$E29)/$E31</f>
        <v>0.06351934493029299</v>
      </c>
      <c r="GB31" s="74">
        <f>SUMPRODUCT(GB13:GB29,$E13:$E29)/$E31</f>
        <v>0.06351934493029299</v>
      </c>
    </row>
    <row r="32" spans="1:14" ht="13.5" thickTop="1">
      <c r="A32" s="68">
        <v>20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1"/>
      <c r="N32" s="69">
        <v>20</v>
      </c>
    </row>
    <row r="33" spans="1:14" ht="12.75">
      <c r="A33" s="68">
        <v>21</v>
      </c>
      <c r="B33" s="25"/>
      <c r="C33" s="47"/>
      <c r="D33" s="25"/>
      <c r="E33" s="25"/>
      <c r="F33" s="25"/>
      <c r="G33" s="25"/>
      <c r="H33" s="48"/>
      <c r="I33" s="49"/>
      <c r="J33" s="49"/>
      <c r="K33" s="50"/>
      <c r="L33" s="25"/>
      <c r="M33" s="31"/>
      <c r="N33" s="69">
        <v>21</v>
      </c>
    </row>
    <row r="34" spans="1:14" ht="13.5" thickBot="1">
      <c r="A34" s="68">
        <v>22</v>
      </c>
      <c r="B34" s="25"/>
      <c r="C34" s="47"/>
      <c r="D34" s="25"/>
      <c r="E34" s="25"/>
      <c r="F34" s="51"/>
      <c r="G34" s="52"/>
      <c r="H34" s="53" t="s">
        <v>53</v>
      </c>
      <c r="I34" s="54"/>
      <c r="J34" s="54"/>
      <c r="K34" s="55">
        <f>M31/E31</f>
        <v>0.06634851693726325</v>
      </c>
      <c r="L34" s="25"/>
      <c r="M34" s="31"/>
      <c r="N34" s="69">
        <v>22</v>
      </c>
    </row>
    <row r="35" spans="1:14" ht="13.5" thickTop="1">
      <c r="A35" s="68">
        <v>23</v>
      </c>
      <c r="B35" s="25"/>
      <c r="C35" s="25"/>
      <c r="D35" s="25"/>
      <c r="E35" s="25"/>
      <c r="F35" s="56"/>
      <c r="G35" s="56"/>
      <c r="H35" s="57"/>
      <c r="I35" s="58"/>
      <c r="J35" s="59"/>
      <c r="K35" s="60"/>
      <c r="L35" s="25"/>
      <c r="M35" s="31"/>
      <c r="N35" s="69">
        <v>23</v>
      </c>
    </row>
    <row r="36" spans="1:14" ht="13.5" customHeight="1" thickBot="1">
      <c r="A36" s="68">
        <v>24</v>
      </c>
      <c r="B36" s="6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30"/>
      <c r="N36" s="69">
        <v>24</v>
      </c>
    </row>
    <row r="37" spans="1:14" ht="12.75">
      <c r="A37" s="68">
        <v>25</v>
      </c>
      <c r="B37" s="25" t="s">
        <v>54</v>
      </c>
      <c r="C37" s="25"/>
      <c r="D37" s="25"/>
      <c r="E37" s="25"/>
      <c r="F37" s="25"/>
      <c r="G37" s="25"/>
      <c r="H37" s="25"/>
      <c r="I37" s="25"/>
      <c r="J37" s="25"/>
      <c r="K37" s="30"/>
      <c r="L37" s="25"/>
      <c r="M37" s="30"/>
      <c r="N37" s="69">
        <v>25</v>
      </c>
    </row>
    <row r="38" spans="1:14" ht="12.75">
      <c r="A38" s="68">
        <v>26</v>
      </c>
      <c r="B38" s="25" t="s">
        <v>55</v>
      </c>
      <c r="C38" s="25"/>
      <c r="D38" s="25"/>
      <c r="E38" s="25"/>
      <c r="F38" s="31"/>
      <c r="G38" s="25"/>
      <c r="H38" s="25"/>
      <c r="I38" s="25"/>
      <c r="J38" s="25"/>
      <c r="K38" s="30"/>
      <c r="L38" s="25"/>
      <c r="M38" s="30"/>
      <c r="N38" s="69">
        <v>26</v>
      </c>
    </row>
    <row r="39" spans="1:14" ht="12.75">
      <c r="A39" s="68">
        <v>27</v>
      </c>
      <c r="B39" s="25" t="s">
        <v>56</v>
      </c>
      <c r="C39" s="25"/>
      <c r="D39" s="25"/>
      <c r="E39" s="25"/>
      <c r="F39" s="31"/>
      <c r="G39" s="25"/>
      <c r="H39" s="25"/>
      <c r="I39" s="25"/>
      <c r="J39" s="25"/>
      <c r="K39" s="30"/>
      <c r="L39" s="25"/>
      <c r="M39" s="31"/>
      <c r="N39" s="69">
        <v>27</v>
      </c>
    </row>
    <row r="40" spans="1:14" ht="12.75">
      <c r="A40" s="68">
        <v>28</v>
      </c>
      <c r="B40" s="25" t="s">
        <v>72</v>
      </c>
      <c r="C40" s="25"/>
      <c r="D40" s="25"/>
      <c r="E40" s="25"/>
      <c r="F40" s="25"/>
      <c r="G40" s="25"/>
      <c r="H40" s="25"/>
      <c r="I40" s="25"/>
      <c r="J40" s="25"/>
      <c r="K40" s="30"/>
      <c r="L40" s="25"/>
      <c r="M40" s="62"/>
      <c r="N40" s="69">
        <v>28</v>
      </c>
    </row>
    <row r="41" spans="1:14" ht="12.75">
      <c r="A41" s="68">
        <v>29</v>
      </c>
      <c r="B41" s="25" t="s">
        <v>57</v>
      </c>
      <c r="C41" s="25"/>
      <c r="D41" s="25"/>
      <c r="E41" s="25"/>
      <c r="F41" s="25"/>
      <c r="G41" s="25"/>
      <c r="H41" s="25"/>
      <c r="I41" s="25"/>
      <c r="J41" s="25"/>
      <c r="K41" s="30"/>
      <c r="L41" s="25"/>
      <c r="M41" s="62"/>
      <c r="N41" s="69">
        <v>29</v>
      </c>
    </row>
    <row r="42" spans="1:14" ht="12.75">
      <c r="A42" s="68">
        <v>30</v>
      </c>
      <c r="B42" s="25" t="s">
        <v>73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31"/>
      <c r="N42" s="69">
        <v>30</v>
      </c>
    </row>
    <row r="43" spans="1:14" ht="12.75">
      <c r="A43" s="68">
        <v>31</v>
      </c>
      <c r="B43" s="25" t="s">
        <v>74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31"/>
      <c r="N43" s="69">
        <v>31</v>
      </c>
    </row>
    <row r="44" spans="1:14" ht="12.75">
      <c r="A44" s="70">
        <v>32</v>
      </c>
      <c r="B44" s="71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72"/>
      <c r="N44" s="73">
        <v>32</v>
      </c>
    </row>
    <row r="45" spans="1:13" ht="12.75">
      <c r="A45" s="12"/>
      <c r="M45" s="75"/>
    </row>
    <row r="46" spans="1:13" ht="12.75">
      <c r="A46" s="12"/>
      <c r="M46" s="75"/>
    </row>
    <row r="47" spans="1:13" ht="12.75">
      <c r="A47" s="12"/>
      <c r="E47">
        <v>744319125</v>
      </c>
      <c r="F47">
        <v>-19368933.9483</v>
      </c>
      <c r="H47">
        <v>724950191.0517001</v>
      </c>
      <c r="I47">
        <v>42561303.570125</v>
      </c>
      <c r="K47" s="74">
        <v>0.06055232680546379</v>
      </c>
      <c r="M47" s="75">
        <v>45070254.904556856</v>
      </c>
    </row>
    <row r="48" spans="1:13" ht="12.75">
      <c r="A48" s="12"/>
      <c r="B48" t="s">
        <v>58</v>
      </c>
      <c r="M48" s="75"/>
    </row>
    <row r="49" spans="1:13" ht="12.75">
      <c r="A49" s="12"/>
      <c r="B49" t="s">
        <v>59</v>
      </c>
      <c r="C49" t="s">
        <v>60</v>
      </c>
      <c r="D49" s="76">
        <v>220</v>
      </c>
      <c r="M49" s="75"/>
    </row>
    <row r="50" spans="1:13" ht="12.75">
      <c r="A50" s="12"/>
      <c r="B50" t="s">
        <v>61</v>
      </c>
      <c r="C50" t="s">
        <v>62</v>
      </c>
      <c r="D50" s="76">
        <v>62</v>
      </c>
      <c r="M50" s="75"/>
    </row>
    <row r="51" spans="1:13" ht="12.75">
      <c r="A51" s="13"/>
      <c r="B51" t="s">
        <v>63</v>
      </c>
      <c r="C51" t="s">
        <v>64</v>
      </c>
      <c r="D51" s="76">
        <v>1</v>
      </c>
      <c r="M51" s="75"/>
    </row>
    <row r="52" spans="1:13" ht="12.75">
      <c r="A52" s="12"/>
      <c r="B52" t="s">
        <v>65</v>
      </c>
      <c r="C52" t="s">
        <v>66</v>
      </c>
      <c r="D52" s="76">
        <v>2</v>
      </c>
      <c r="M52" s="75"/>
    </row>
    <row r="53" spans="1:13" ht="12.75">
      <c r="A53" s="12"/>
      <c r="B53" t="s">
        <v>67</v>
      </c>
      <c r="C53" t="s">
        <v>68</v>
      </c>
      <c r="D53" s="76">
        <v>14</v>
      </c>
      <c r="M53" s="75"/>
    </row>
    <row r="54" spans="1:13" ht="12.75">
      <c r="A54" s="12"/>
      <c r="D54" s="76">
        <v>299</v>
      </c>
      <c r="M54" s="75"/>
    </row>
    <row r="55" spans="1:13" ht="12.75">
      <c r="A55" s="13"/>
      <c r="M55" s="75"/>
    </row>
    <row r="56" spans="1:13" ht="12.75">
      <c r="A56" s="12"/>
      <c r="M56" s="75"/>
    </row>
    <row r="57" spans="1:13" ht="12.75">
      <c r="A57" s="12"/>
      <c r="M57" s="75"/>
    </row>
    <row r="58" spans="1:13" ht="12.75">
      <c r="A58" s="12"/>
      <c r="M58" s="75"/>
    </row>
    <row r="59" spans="1:13" ht="12.75">
      <c r="A59" s="12"/>
      <c r="M59" s="75"/>
    </row>
    <row r="60" spans="1:13" ht="12.75">
      <c r="A60" s="12"/>
      <c r="M60" s="75"/>
    </row>
    <row r="61" spans="1:13" ht="12.75">
      <c r="A61" s="13"/>
      <c r="M61" s="75"/>
    </row>
    <row r="62" ht="12.75">
      <c r="M62" s="75"/>
    </row>
    <row r="63" ht="12.75">
      <c r="M63" s="75"/>
    </row>
    <row r="64" ht="12.75">
      <c r="M64" s="75"/>
    </row>
    <row r="65" ht="12.75">
      <c r="M65" s="75"/>
    </row>
    <row r="66" ht="12.75">
      <c r="M66" s="75"/>
    </row>
    <row r="67" ht="12.75">
      <c r="M67" s="75"/>
    </row>
    <row r="68" ht="12.75">
      <c r="M68" s="75"/>
    </row>
    <row r="69" ht="12.75">
      <c r="M69" s="75"/>
    </row>
    <row r="70" ht="12.75">
      <c r="M70" s="75"/>
    </row>
    <row r="71" ht="12.75">
      <c r="M71" s="75"/>
    </row>
    <row r="72" ht="12.75">
      <c r="M72" s="75"/>
    </row>
    <row r="73" ht="12.75">
      <c r="M73" s="75"/>
    </row>
    <row r="74" ht="12.75">
      <c r="M74" s="75"/>
    </row>
    <row r="75" ht="12.75">
      <c r="M75" s="75"/>
    </row>
    <row r="76" ht="12.75">
      <c r="M76" s="75"/>
    </row>
    <row r="77" ht="12.75">
      <c r="M77" s="75"/>
    </row>
    <row r="78" ht="12.75">
      <c r="M78" s="75"/>
    </row>
    <row r="79" ht="12.75">
      <c r="M79" s="75"/>
    </row>
    <row r="80" ht="12.75">
      <c r="M80" s="75"/>
    </row>
    <row r="81" ht="12.75">
      <c r="M81" s="75"/>
    </row>
    <row r="82" ht="12.75">
      <c r="M82" s="75"/>
    </row>
    <row r="83" ht="12.75">
      <c r="M83" s="75"/>
    </row>
    <row r="84" ht="12.75">
      <c r="M84" s="75"/>
    </row>
    <row r="85" ht="12.75">
      <c r="M85" s="75"/>
    </row>
    <row r="86" ht="12.75">
      <c r="M86" s="75"/>
    </row>
    <row r="87" ht="12.75">
      <c r="M87" s="75"/>
    </row>
    <row r="88" ht="12.75">
      <c r="M88" s="75"/>
    </row>
    <row r="89" ht="12.75">
      <c r="M89" s="75"/>
    </row>
    <row r="90" ht="12.75">
      <c r="M90" s="75"/>
    </row>
    <row r="91" ht="12.75">
      <c r="M91" s="75"/>
    </row>
    <row r="92" ht="12.75">
      <c r="M92" s="75"/>
    </row>
    <row r="93" ht="12.75">
      <c r="M93" s="75"/>
    </row>
    <row r="94" ht="12.75">
      <c r="M94" s="75"/>
    </row>
    <row r="95" ht="12.75">
      <c r="M95" s="75"/>
    </row>
    <row r="96" ht="12.75">
      <c r="M96" s="75"/>
    </row>
    <row r="97" ht="12.75">
      <c r="M97" s="75"/>
    </row>
    <row r="98" ht="12.75">
      <c r="M98" s="75"/>
    </row>
    <row r="99" ht="12.75">
      <c r="M99" s="75"/>
    </row>
    <row r="100" ht="12.75">
      <c r="M100" s="75"/>
    </row>
    <row r="101" ht="12.75">
      <c r="M101" s="75"/>
    </row>
    <row r="102" ht="12.75">
      <c r="M102" s="75"/>
    </row>
    <row r="103" ht="12.75">
      <c r="M103" s="75"/>
    </row>
  </sheetData>
  <printOptions/>
  <pageMargins left="0.75" right="0.75" top="1" bottom="1" header="0.5" footer="0.5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</cp:lastModifiedBy>
  <cp:lastPrinted>1901-01-01T07:00:00Z</cp:lastPrinted>
  <dcterms:created xsi:type="dcterms:W3CDTF">1901-01-01T07:00:00Z</dcterms:created>
  <dcterms:modified xsi:type="dcterms:W3CDTF">2004-08-04T17:30:34Z</dcterms:modified>
  <cp:category/>
  <cp:version/>
  <cp:contentType/>
  <cp:contentStatus/>
</cp:coreProperties>
</file>