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460" windowHeight="5325" activeTab="0"/>
  </bookViews>
  <sheets>
    <sheet name="Blocking" sheetId="1" r:id="rId1"/>
  </sheets>
  <externalReferences>
    <externalReference r:id="rId4"/>
    <externalReference r:id="rId5"/>
    <externalReference r:id="rId6"/>
  </externalReferences>
  <definedNames>
    <definedName name="\TBL2">#REF!</definedName>
    <definedName name="\TBL3">#REF!</definedName>
    <definedName name="\TBL4">#REF!</definedName>
    <definedName name="\TBL5">#REF!</definedName>
    <definedName name="__123Graph_A" localSheetId="0" hidden="1">'Blocking'!$E$260:$E$271</definedName>
    <definedName name="__123Graph_AGRAPH1" localSheetId="0" hidden="1">'Blocking'!$E$1107:$E$1125</definedName>
    <definedName name="__123Graph_B" localSheetId="0" hidden="1">'Blocking'!$AU$260:$AU$271</definedName>
    <definedName name="__123Graph_C" localSheetId="0" hidden="1">'Blocking'!$AV$260:$AV$271</definedName>
    <definedName name="__123Graph_D" localSheetId="0" hidden="1">'Blocking'!$AW$260:$AW$271</definedName>
    <definedName name="__123Graph_E" localSheetId="0" hidden="1">'Blocking'!$I$260:$I$271</definedName>
    <definedName name="__123Graph_F" localSheetId="0" hidden="1">'Blocking'!$J$260:$J$271</definedName>
    <definedName name="_Dist_Values" localSheetId="0" hidden="1">'Blocking'!$Z$18:$AA$26</definedName>
    <definedName name="_Fill" localSheetId="0" hidden="1">'Blocking'!$A$1:$A$1215</definedName>
    <definedName name="_Fill" hidden="1">#REF!</definedName>
    <definedName name="_xlnm._FilterDatabase" localSheetId="0" hidden="1">'Blocking'!$A$12:$BE$1313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hidden="1">#REF!</definedName>
    <definedName name="_xlnm.Print_Area" localSheetId="0">'Blocking'!$A$1:$Q$1215</definedName>
    <definedName name="_xlnm.Print_Titles" localSheetId="0">'Blocking'!$3:$11</definedName>
    <definedName name="Print_Titles_MI" localSheetId="0">'Blocking'!$1:$11</definedName>
    <definedName name="RateCd">#REF!</definedName>
    <definedName name="RevCl">#REF!</definedName>
    <definedName name="solver_adj" localSheetId="0" hidden="1">'Blocking'!$R$773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'Blocking'!$S$773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RANSM_2">'[2]Transm2'!$A$1:$M$461:'[2]10 Yr FC'!$M$47</definedName>
    <definedName name="UT_305A_FY_2002">#REF!</definedName>
    <definedName name="UT_RVN_0302">#REF!</definedName>
  </definedNames>
  <calcPr fullCalcOnLoad="1"/>
</workbook>
</file>

<file path=xl/sharedStrings.xml><?xml version="1.0" encoding="utf-8"?>
<sst xmlns="http://schemas.openxmlformats.org/spreadsheetml/2006/main" count="3140" uniqueCount="522">
  <si>
    <t>Proposed</t>
  </si>
  <si>
    <t>Present</t>
  </si>
  <si>
    <t xml:space="preserve">Present </t>
  </si>
  <si>
    <t>Customers</t>
  </si>
  <si>
    <t>Forecast</t>
  </si>
  <si>
    <t>Actual</t>
  </si>
  <si>
    <t>Residential</t>
  </si>
  <si>
    <t>kWh</t>
  </si>
  <si>
    <t>6A</t>
  </si>
  <si>
    <t>6B</t>
  </si>
  <si>
    <t>9A</t>
  </si>
  <si>
    <t>Irrigation</t>
  </si>
  <si>
    <t>10TOD</t>
  </si>
  <si>
    <t>Security Area Lighting</t>
  </si>
  <si>
    <t>Traffic Signal Systems</t>
  </si>
  <si>
    <t>Decorative Street Lighting</t>
  </si>
  <si>
    <t>Rate</t>
  </si>
  <si>
    <t>Revenue</t>
  </si>
  <si>
    <t>SPC3</t>
  </si>
  <si>
    <t xml:space="preserve">Utah Power &amp; Light Company </t>
  </si>
  <si>
    <t>Blocking Based on Adjusted Actuals and Forecasted Loads</t>
  </si>
  <si>
    <t>Historical  Test Period 12 Month Ending March 2004</t>
  </si>
  <si>
    <t>Forecast  Test Period 12 Month Ending March 2006</t>
  </si>
  <si>
    <t>T45</t>
  </si>
  <si>
    <t>T46</t>
  </si>
  <si>
    <t>T44</t>
  </si>
  <si>
    <t>Adjusted</t>
  </si>
  <si>
    <t>Forecasted</t>
  </si>
  <si>
    <t>Price</t>
  </si>
  <si>
    <t>Adjustment</t>
  </si>
  <si>
    <t>Units</t>
  </si>
  <si>
    <t>Dollars</t>
  </si>
  <si>
    <t>Cents</t>
  </si>
  <si>
    <t>% Cont.</t>
  </si>
  <si>
    <t>Contribution</t>
  </si>
  <si>
    <t>(Apr 2003-Mar 2004)</t>
  </si>
  <si>
    <t>(Apr 2005-Mar 2006)</t>
  </si>
  <si>
    <t>(Prices Effective April 1,  2004)</t>
  </si>
  <si>
    <t>(Prices Effective Apr 2003-Mar 2004)</t>
  </si>
  <si>
    <t>Class</t>
  </si>
  <si>
    <t>Schedule No. 1</t>
  </si>
  <si>
    <t>RES</t>
  </si>
  <si>
    <t>Residential Service</t>
  </si>
  <si>
    <t>08RESD0001, 08NETMT135</t>
  </si>
  <si>
    <t xml:space="preserve">  Customer Charge</t>
  </si>
  <si>
    <t xml:space="preserve">  First 400 kWh (May-Sept)</t>
  </si>
  <si>
    <t xml:space="preserve">  Next 600 kWh (May-Sept)</t>
  </si>
  <si>
    <t xml:space="preserve">  All Additional kWh (May-Sept)</t>
  </si>
  <si>
    <t xml:space="preserve">  All kWh (Oct-April)</t>
  </si>
  <si>
    <t xml:space="preserve">  First 400 Temp. kWh-(May-Sep)</t>
  </si>
  <si>
    <t xml:space="preserve">  Next 600 Temp. kWh-(May-Sep)</t>
  </si>
  <si>
    <t xml:space="preserve">  All Add. Temp. kWh-(May-Sep)</t>
  </si>
  <si>
    <t xml:space="preserve">  Temp. Normalized-All kWh (Oct-Apr)</t>
  </si>
  <si>
    <t xml:space="preserve">  Minimum 1 Phase</t>
  </si>
  <si>
    <t xml:space="preserve">  Minimum 3 Phase</t>
  </si>
  <si>
    <t xml:space="preserve">  Minimum Seasonal</t>
  </si>
  <si>
    <t xml:space="preserve">  KWH in Minimum</t>
  </si>
  <si>
    <t xml:space="preserve">  Unbilled</t>
  </si>
  <si>
    <t xml:space="preserve">  Total</t>
  </si>
  <si>
    <t>Total</t>
  </si>
  <si>
    <t xml:space="preserve">  Surcharge Adjustment</t>
  </si>
  <si>
    <t>Target</t>
  </si>
  <si>
    <t xml:space="preserve">  DSM Adjustment</t>
  </si>
  <si>
    <t>Schedule No. 3</t>
  </si>
  <si>
    <t>08RESD0003</t>
  </si>
  <si>
    <t xml:space="preserve">  All kWh (Oct-March)</t>
  </si>
  <si>
    <t>Schedule No. 2</t>
  </si>
  <si>
    <t>Optional Time-of-Day</t>
  </si>
  <si>
    <t>08RESD0002</t>
  </si>
  <si>
    <t xml:space="preserve">  On-Peak kWh (May - September)</t>
  </si>
  <si>
    <t>Sch 2</t>
  </si>
  <si>
    <t xml:space="preserve">  Off-Peak kWh (May - September)</t>
  </si>
  <si>
    <t>TOU Rates:</t>
  </si>
  <si>
    <t xml:space="preserve">  On-Peak kWh (October-April)</t>
  </si>
  <si>
    <t xml:space="preserve">  Off-Peak kWh (October - April)</t>
  </si>
  <si>
    <t>Summer On Peak</t>
  </si>
  <si>
    <t>Summer Off-Peak</t>
  </si>
  <si>
    <t>Winter On-Peak</t>
  </si>
  <si>
    <t>Winter Off-Peak</t>
  </si>
  <si>
    <t>SCHEDULE NO. 25</t>
  </si>
  <si>
    <t>Mobile Home and House Trailer Park Service</t>
  </si>
  <si>
    <t>08MHTP0025</t>
  </si>
  <si>
    <t xml:space="preserve">  All Kw</t>
  </si>
  <si>
    <t xml:space="preserve">  Voltage Discount All Kw</t>
  </si>
  <si>
    <t xml:space="preserve">  All kWh</t>
  </si>
  <si>
    <t xml:space="preserve">  Minimum Per Home</t>
  </si>
  <si>
    <t xml:space="preserve">Schedule No. 23 </t>
  </si>
  <si>
    <t>ALL</t>
  </si>
  <si>
    <t>Distribution Voltage - Small Customer</t>
  </si>
  <si>
    <t>Composite</t>
  </si>
  <si>
    <t xml:space="preserve">  Customer Charge Time-of-Day</t>
  </si>
  <si>
    <t xml:space="preserve">  Charge per kW over 15 (May - September)</t>
  </si>
  <si>
    <t xml:space="preserve">  Charge per kW over 15 (October - April)</t>
  </si>
  <si>
    <t xml:space="preserve">  Voltage Discount</t>
  </si>
  <si>
    <t xml:space="preserve">  First 1,500 kWh (May - September)</t>
  </si>
  <si>
    <t xml:space="preserve">  All Additional kWh (May - September)</t>
  </si>
  <si>
    <t xml:space="preserve">  First 1,500 kWh (October - April)</t>
  </si>
  <si>
    <t xml:space="preserve">  All Additional kWh (October - April)</t>
  </si>
  <si>
    <t xml:space="preserve">  First 1,500 Temp. kWh-(May-Sep)</t>
  </si>
  <si>
    <t>COM</t>
  </si>
  <si>
    <t xml:space="preserve">  All Add. Temp. kWh-(Oct-Apr)</t>
  </si>
  <si>
    <t xml:space="preserve">  First 1,500 Temp. kWh-(Oct-Apr)</t>
  </si>
  <si>
    <t xml:space="preserve">  Seasonal Service</t>
  </si>
  <si>
    <t xml:space="preserve">  Seasonal Service Time-of-Day</t>
  </si>
  <si>
    <t>Schedule No. 23</t>
  </si>
  <si>
    <t>Commercial Rate</t>
  </si>
  <si>
    <t>08GNSV0023, 08GNSV023M, those shifted from 08CISH0019</t>
  </si>
  <si>
    <t>Step 1 - equal seasonal revenue preserving block differentials.</t>
  </si>
  <si>
    <t>IND</t>
  </si>
  <si>
    <t>Industrial Rate</t>
  </si>
  <si>
    <t>08GNSV0023, 08GNSV023M, 08GNSV023L</t>
  </si>
  <si>
    <t>OSP</t>
  </si>
  <si>
    <t>OSPA</t>
  </si>
  <si>
    <t>08GNSV0023</t>
  </si>
  <si>
    <t>ICU</t>
  </si>
  <si>
    <t>Interdepartmental</t>
  </si>
  <si>
    <t>23F</t>
  </si>
  <si>
    <t>08GNSV023F</t>
  </si>
  <si>
    <t>Schedule No. 23B</t>
  </si>
  <si>
    <t>23B</t>
  </si>
  <si>
    <t>Demand Time-of-Day Option - Small Customer</t>
  </si>
  <si>
    <t>Commercial Rate Demand TOD</t>
  </si>
  <si>
    <t>08GNSV023B</t>
  </si>
  <si>
    <t>Industrial Rate Demand TOD</t>
  </si>
  <si>
    <t xml:space="preserve">Schedule No. 6 </t>
  </si>
  <si>
    <t>Distribution Voltage</t>
  </si>
  <si>
    <t xml:space="preserve">  All kW (May - September)</t>
  </si>
  <si>
    <t xml:space="preserve">  All kW (October - April)</t>
  </si>
  <si>
    <t xml:space="preserve">  All kWh (May - September)</t>
  </si>
  <si>
    <t xml:space="preserve">  All kWh (October - April)</t>
  </si>
  <si>
    <t xml:space="preserve">  Temperature Normalized kWh (May - September)</t>
  </si>
  <si>
    <t xml:space="preserve">  Temperature Normalized kWh (October - April)</t>
  </si>
  <si>
    <t xml:space="preserve">08GNSV0006, 08GNSV006M, 08GNSV06MN, those shifted from 08CISH0019 </t>
  </si>
  <si>
    <t>08GNSV0006, 08GNSV006M, 08GNSV06MN</t>
  </si>
  <si>
    <t>08GNSV0006</t>
  </si>
  <si>
    <t>Schedule No. 6A</t>
  </si>
  <si>
    <t>Energy Time-of-Day Option</t>
  </si>
  <si>
    <t xml:space="preserve">  Facilities Charge per kW (May - September)</t>
  </si>
  <si>
    <t xml:space="preserve">  Facilities Charge per kW (October - April)</t>
  </si>
  <si>
    <t xml:space="preserve">  On-Peak kWh (October - April)</t>
  </si>
  <si>
    <t>08GNSV006A, 08GNSV06AM</t>
  </si>
  <si>
    <t>Industrial Rate No.</t>
  </si>
  <si>
    <t>Schedule No. 6B</t>
  </si>
  <si>
    <t>Demand Time-of-Day Option</t>
  </si>
  <si>
    <t>08GNSV006B, 08GNSV06BM</t>
  </si>
  <si>
    <t xml:space="preserve">  All On-peak kW (May - September)</t>
  </si>
  <si>
    <t xml:space="preserve">  All On-peak kW (October - April)</t>
  </si>
  <si>
    <t>08GNSV006B</t>
  </si>
  <si>
    <t>% Change</t>
  </si>
  <si>
    <t>Schedule No. 7</t>
  </si>
  <si>
    <t>Test Year</t>
  </si>
  <si>
    <t>Forecast kWh</t>
  </si>
  <si>
    <t>08OALT007N, 08AOLT007R, 08POLE0075</t>
  </si>
  <si>
    <t>7N COM</t>
  </si>
  <si>
    <t>7N IND</t>
  </si>
  <si>
    <t>7N OSP</t>
  </si>
  <si>
    <t>7N PSH</t>
  </si>
  <si>
    <t>7R RES</t>
  </si>
  <si>
    <t>Ratesufx</t>
  </si>
  <si>
    <t>Actual Revn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</si>
  <si>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</si>
  <si>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</si>
  <si>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</si>
  <si>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</si>
  <si>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</si>
  <si>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</si>
  <si>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</si>
  <si>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</si>
  <si>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</si>
  <si>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</si>
  <si>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</si>
  <si>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</si>
  <si>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</si>
  <si>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</si>
  <si>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</si>
  <si>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</si>
  <si>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</si>
  <si>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</si>
  <si>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</si>
  <si>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</si>
  <si>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</si>
  <si>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</si>
  <si>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</si>
  <si>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</si>
  <si>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</si>
  <si>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</si>
  <si>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</si>
  <si>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</si>
  <si>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</si>
  <si>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</si>
  <si>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CSS</t>
  </si>
  <si>
    <t>7N-COM</t>
  </si>
  <si>
    <t>7N-IND</t>
  </si>
  <si>
    <t>Total Avg Cust</t>
  </si>
  <si>
    <t>Total (kWh)</t>
  </si>
  <si>
    <t>Schedule No. 8 (Schedule 6 over 1,000 kW)</t>
  </si>
  <si>
    <t xml:space="preserve">  On-Peak kW (May - September)</t>
  </si>
  <si>
    <t xml:space="preserve">  On-Peak kW (October - April)</t>
  </si>
  <si>
    <t xml:space="preserve">  Facilities kW (May - September)</t>
  </si>
  <si>
    <t xml:space="preserve">  Facilities kW (October - April)</t>
  </si>
  <si>
    <t>Formerly Commercial Schedule 6</t>
  </si>
  <si>
    <t>08GNSV0006, 08GNSV006M</t>
  </si>
  <si>
    <t>Step 1 - revenue neutral for both energy and power with equal seasonal revenue.</t>
  </si>
  <si>
    <t>Formerly Industrial Schedule 6</t>
  </si>
  <si>
    <t>Formerly OSPA Schedule 6</t>
  </si>
  <si>
    <t>Formerly Commercial Schedule 6A</t>
  </si>
  <si>
    <t>Formerly Industrial Schedule 6A</t>
  </si>
  <si>
    <t>08GNSV006A</t>
  </si>
  <si>
    <t>Formerly Commercial Schedule 6B</t>
  </si>
  <si>
    <t>SCHEDULE NO. 9</t>
  </si>
  <si>
    <t>High Voltage</t>
  </si>
  <si>
    <t xml:space="preserve">  kW (May - Sept)</t>
  </si>
  <si>
    <t xml:space="preserve">  kW (Oct - April)</t>
  </si>
  <si>
    <t xml:space="preserve">  Total Facilities kW</t>
  </si>
  <si>
    <t xml:space="preserve">  Est. On-Peak kW (May - Sept)</t>
  </si>
  <si>
    <t xml:space="preserve">  Est. On-Peak kW (Oct - April)</t>
  </si>
  <si>
    <t xml:space="preserve">  Est. On-Peak kWh (May-Sept)</t>
  </si>
  <si>
    <t xml:space="preserve">  Est. On-Peak kWh (Oct-Apr)</t>
  </si>
  <si>
    <t xml:space="preserve">  Est. Off-Peak kWh (May-Sep)</t>
  </si>
  <si>
    <t xml:space="preserve">  Est. Off-Peak kWh (Oct-Apr)</t>
  </si>
  <si>
    <t>08GNSV0009, 08GNSV009M</t>
  </si>
  <si>
    <t xml:space="preserve">  Est. On-Peak kW (May - Sep)</t>
  </si>
  <si>
    <t>08GNSV0009, 08GNSV009M,08GNSV009B,08GNSV09BM</t>
  </si>
  <si>
    <t>Schedule No. 9A</t>
  </si>
  <si>
    <t>Large General Service Energy TOD - CUST33-A</t>
  </si>
  <si>
    <t>Commercial</t>
  </si>
  <si>
    <t>08GNSV009A, 08GNSV09AM,O8GNSV09LM</t>
  </si>
  <si>
    <t xml:space="preserve">  Customer Charge (LM)</t>
  </si>
  <si>
    <t xml:space="preserve">  Facilities Charge per kW</t>
  </si>
  <si>
    <t xml:space="preserve">  On-Peak kWh</t>
  </si>
  <si>
    <t xml:space="preserve">  Off-Peak kWh</t>
  </si>
  <si>
    <t>High Voltage - Energy Time-of-Day Option</t>
  </si>
  <si>
    <t>08GNSV009A, 08GNSV09AM</t>
  </si>
  <si>
    <t>Schedule No. 10</t>
  </si>
  <si>
    <t>IRG</t>
  </si>
  <si>
    <t>08APSV0010</t>
  </si>
  <si>
    <t xml:space="preserve">  Annual Cust. Serv. Chg.</t>
  </si>
  <si>
    <t xml:space="preserve">   Primary</t>
  </si>
  <si>
    <t xml:space="preserve">   Secondary</t>
  </si>
  <si>
    <t xml:space="preserve">  Monthly Cust. Serv. Chg.</t>
  </si>
  <si>
    <t xml:space="preserve">   All Customers</t>
  </si>
  <si>
    <t xml:space="preserve">  All On-Season Kw</t>
  </si>
  <si>
    <t xml:space="preserve">  First 30,000 kWh</t>
  </si>
  <si>
    <t xml:space="preserve">  All Additional kWh</t>
  </si>
  <si>
    <t>Total On Season</t>
  </si>
  <si>
    <t xml:space="preserve">  POST SEASON</t>
  </si>
  <si>
    <t xml:space="preserve">   KWH</t>
  </si>
  <si>
    <t xml:space="preserve">   CUSTOMERS</t>
  </si>
  <si>
    <t>Total Post Season</t>
  </si>
  <si>
    <t>TOTAL RATE 10</t>
  </si>
  <si>
    <t>Schedule No. 10-TOD</t>
  </si>
  <si>
    <t>Time-Of-Day</t>
  </si>
  <si>
    <t xml:space="preserve">   All Customers </t>
  </si>
  <si>
    <t xml:space="preserve">  All On-SeasonKw</t>
  </si>
  <si>
    <t xml:space="preserve">   All Kw</t>
  </si>
  <si>
    <t xml:space="preserve">  Monthly Energy Charge</t>
  </si>
  <si>
    <t xml:space="preserve">   Peak</t>
  </si>
  <si>
    <t xml:space="preserve">   Off-Peak</t>
  </si>
  <si>
    <t>TOTAL RATE 10-TOD</t>
  </si>
  <si>
    <t xml:space="preserve"> </t>
  </si>
  <si>
    <t>Schedule No. 11</t>
  </si>
  <si>
    <t>PSH</t>
  </si>
  <si>
    <t>Street Lighting</t>
  </si>
  <si>
    <t>Company-Owned System</t>
  </si>
  <si>
    <t>08SLCO0011</t>
  </si>
  <si>
    <t>fixed usage</t>
  </si>
  <si>
    <t xml:space="preserve">  Incandescent Lamps</t>
  </si>
  <si>
    <t xml:space="preserve">   500 Lumen</t>
  </si>
  <si>
    <t xml:space="preserve">   600 Lumen</t>
  </si>
  <si>
    <t xml:space="preserve">   1,000 Lumen</t>
  </si>
  <si>
    <t xml:space="preserve">   2,500 Lumen</t>
  </si>
  <si>
    <t xml:space="preserve">   4,000 Lumen</t>
  </si>
  <si>
    <t xml:space="preserve">   6,000 Lumen</t>
  </si>
  <si>
    <t xml:space="preserve">   10,000 Lumen</t>
  </si>
  <si>
    <t xml:space="preserve">   10,000 Lumen @ 90%</t>
  </si>
  <si>
    <t xml:space="preserve">  Mercury Vapor Lamps</t>
  </si>
  <si>
    <t xml:space="preserve">   20,000 Lumen @ 90%</t>
  </si>
  <si>
    <t xml:space="preserve">  Sodium Vapor Lamps</t>
  </si>
  <si>
    <t xml:space="preserve">   5,600 Lumen</t>
  </si>
  <si>
    <t xml:space="preserve">   5,600 Lumen @ 90%</t>
  </si>
  <si>
    <t xml:space="preserve">   9,500 Lumen</t>
  </si>
  <si>
    <t xml:space="preserve">   9,500 Lumen @ 90%</t>
  </si>
  <si>
    <t xml:space="preserve">   16,000 Lumen</t>
  </si>
  <si>
    <t xml:space="preserve">   16,000 Lumen @ 90%</t>
  </si>
  <si>
    <t xml:space="preserve">   27,500 Lumen</t>
  </si>
  <si>
    <t xml:space="preserve">   27,500 Lumen @ 90%</t>
  </si>
  <si>
    <t xml:space="preserve">   50,000 Lumen</t>
  </si>
  <si>
    <t xml:space="preserve">   50,000 Lumen @ 90%</t>
  </si>
  <si>
    <t xml:space="preserve">   50,000 Lumen - 24 hour</t>
  </si>
  <si>
    <t xml:space="preserve">   50,000 Lumen - Flood</t>
  </si>
  <si>
    <t xml:space="preserve">   125,000 Lumen</t>
  </si>
  <si>
    <t xml:space="preserve">  Fluorescent Lamps</t>
  </si>
  <si>
    <t xml:space="preserve">   21,000 Lumen</t>
  </si>
  <si>
    <t xml:space="preserve">   21,800 Lumen</t>
  </si>
  <si>
    <t xml:space="preserve">   21,800 Lumen @ 90%</t>
  </si>
  <si>
    <t xml:space="preserve">   43,600 Lumen</t>
  </si>
  <si>
    <t xml:space="preserve">   43,600 Lumen @ 90%</t>
  </si>
  <si>
    <t xml:space="preserve">  Unlisted Investment Charges</t>
  </si>
  <si>
    <t xml:space="preserve">  Subotal </t>
  </si>
  <si>
    <t>check</t>
  </si>
  <si>
    <t>Schedule No. 12</t>
  </si>
  <si>
    <t>12A</t>
  </si>
  <si>
    <t>Customer-Owned System</t>
  </si>
  <si>
    <t>Traffic and Other Signal System Service</t>
  </si>
  <si>
    <t xml:space="preserve">08SLCU121A </t>
  </si>
  <si>
    <t>Partial Maintenance</t>
  </si>
  <si>
    <t>Fixed usage</t>
  </si>
  <si>
    <t>CSS kWh</t>
  </si>
  <si>
    <t xml:space="preserve">   2,500 Lumen or Less</t>
  </si>
  <si>
    <t xml:space="preserve">   2,500 Lumen or Less @ 85%</t>
  </si>
  <si>
    <t xml:space="preserve">   4,000 Lumen @ 85%</t>
  </si>
  <si>
    <t xml:space="preserve">   6,000 Lumen @85%</t>
  </si>
  <si>
    <t xml:space="preserve">   10,000 Lumen @ 85%</t>
  </si>
  <si>
    <t xml:space="preserve">   37,000 Lumen</t>
  </si>
  <si>
    <t xml:space="preserve">   54,000 Lumen</t>
  </si>
  <si>
    <t xml:space="preserve">   54,000 Lumen @ 85%</t>
  </si>
  <si>
    <t xml:space="preserve">   5,600 Lumen @ 85%</t>
  </si>
  <si>
    <t xml:space="preserve">   9,500 Lumen @ 85%</t>
  </si>
  <si>
    <t xml:space="preserve">   16,000 Lumen @ 85%</t>
  </si>
  <si>
    <t xml:space="preserve">   22,000 Lumen </t>
  </si>
  <si>
    <t xml:space="preserve">   27,500 Lumen @ 85%</t>
  </si>
  <si>
    <t xml:space="preserve">   50,000 Lumen @ 85%</t>
  </si>
  <si>
    <t xml:space="preserve">  Metal Halide Lamps</t>
  </si>
  <si>
    <t xml:space="preserve">   12,000 Lumen</t>
  </si>
  <si>
    <t xml:space="preserve">   12,000 Lumen @ 85%</t>
  </si>
  <si>
    <t xml:space="preserve">   19,500 Lumen</t>
  </si>
  <si>
    <t xml:space="preserve">   32,000 Lumen</t>
  </si>
  <si>
    <t xml:space="preserve">   107,000 Lumen </t>
  </si>
  <si>
    <t xml:space="preserve">   40 Alta High</t>
  </si>
  <si>
    <t xml:space="preserve">   21,800 Lumen @ 85%</t>
  </si>
  <si>
    <t xml:space="preserve">   43,600 Lumen @ 85%</t>
  </si>
  <si>
    <t xml:space="preserve">  Misc. chg.</t>
  </si>
  <si>
    <t>Special Burning - Hour Service</t>
  </si>
  <si>
    <t xml:space="preserve"> Dawn to Dawn (24 Hour Service)</t>
  </si>
  <si>
    <t xml:space="preserve"> Sodium Vapor Lamps</t>
  </si>
  <si>
    <t xml:space="preserve">  5,600 Lumen</t>
  </si>
  <si>
    <t xml:space="preserve"> 50,000 Lumen</t>
  </si>
  <si>
    <t xml:space="preserve"> Dawn to Dusk (Daylight Service Only)</t>
  </si>
  <si>
    <t>08SLCU121B</t>
  </si>
  <si>
    <t>12B</t>
  </si>
  <si>
    <t>Full Maintenance</t>
  </si>
  <si>
    <t xml:space="preserve">   4,000 Lumen @ 90%</t>
  </si>
  <si>
    <t xml:space="preserve">   6,000 Lumen @90%</t>
  </si>
  <si>
    <t xml:space="preserve">   19,500 Lumen @ 90%</t>
  </si>
  <si>
    <t>Total Forecast kWh</t>
  </si>
  <si>
    <t>Check Forecast kWh</t>
  </si>
  <si>
    <t>121A</t>
  </si>
  <si>
    <t>122B</t>
  </si>
  <si>
    <t>Total kWh</t>
  </si>
  <si>
    <t>KWH Street Lighting</t>
  </si>
  <si>
    <t>Difference</t>
  </si>
  <si>
    <t>08SLC1202</t>
  </si>
  <si>
    <t>ACTUAL</t>
  </si>
  <si>
    <t>FORECAST</t>
  </si>
  <si>
    <t>1202 COM</t>
  </si>
  <si>
    <t>1202 IND</t>
  </si>
  <si>
    <t>1202 PSH</t>
  </si>
  <si>
    <t>Total Blocking</t>
  </si>
  <si>
    <t>Check</t>
  </si>
  <si>
    <t xml:space="preserve"> Customer Charge</t>
  </si>
  <si>
    <t>Bills</t>
  </si>
  <si>
    <t xml:space="preserve"> All kWh</t>
  </si>
  <si>
    <t>08SLCU1203</t>
  </si>
  <si>
    <t>Metered Outdoor Nighttime Lighting</t>
  </si>
  <si>
    <t>1203 COM</t>
  </si>
  <si>
    <t>1203 IND</t>
  </si>
  <si>
    <t>1203 PSH</t>
  </si>
  <si>
    <t xml:space="preserve"> Annual Minimum Charge</t>
  </si>
  <si>
    <t xml:space="preserve"> Annual Facility Charge</t>
  </si>
  <si>
    <t xml:space="preserve"> Annual Customer Charge</t>
  </si>
  <si>
    <t xml:space="preserve"> Monthly Customer Charge</t>
  </si>
  <si>
    <t xml:space="preserve">  Total Schedule 12</t>
  </si>
  <si>
    <t xml:space="preserve">  Surcharge Adjustment (Aggregated)</t>
  </si>
  <si>
    <t xml:space="preserve">  DSM Adjustment (Aggregated)</t>
  </si>
  <si>
    <t>Schedule No. 13</t>
  </si>
  <si>
    <t>13S1</t>
  </si>
  <si>
    <t>08SLD13FS1</t>
  </si>
  <si>
    <t>08SLD13FS2, 08SLD13MS1, 08SLD13MS2</t>
  </si>
  <si>
    <t>Fixed Usage</t>
  </si>
  <si>
    <t xml:space="preserve">  Series 1</t>
  </si>
  <si>
    <t xml:space="preserve">   15,000 Lumen</t>
  </si>
  <si>
    <t xml:space="preserve">   9,000 Lumen</t>
  </si>
  <si>
    <t>13S2</t>
  </si>
  <si>
    <t xml:space="preserve">  Series 2</t>
  </si>
  <si>
    <t xml:space="preserve">  Non-Standard Lamps - Energy Only</t>
  </si>
  <si>
    <t>Cust</t>
  </si>
  <si>
    <t>Forecast cust</t>
  </si>
  <si>
    <t xml:space="preserve">   All kWh</t>
  </si>
  <si>
    <t>ES1</t>
  </si>
  <si>
    <t>ES2</t>
  </si>
  <si>
    <t>FS1</t>
  </si>
  <si>
    <t>FS2</t>
  </si>
  <si>
    <t>MS1</t>
  </si>
  <si>
    <t>MS2</t>
  </si>
  <si>
    <t>total</t>
  </si>
  <si>
    <t>Schedule No. 21</t>
  </si>
  <si>
    <t>Electric Furnace Operations - Limited Service</t>
  </si>
  <si>
    <t>08EFOP0021, 08EFOP021M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</si>
  <si>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</si>
  <si>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</si>
  <si>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</si>
  <si>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</si>
  <si>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</si>
  <si>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SCHEDULE NO. 31</t>
  </si>
  <si>
    <t>Back-Up, Maintenance, and Supplementary Power.</t>
  </si>
  <si>
    <t xml:space="preserve">  Secondary Voltage</t>
  </si>
  <si>
    <t xml:space="preserve">   Customer Charge</t>
  </si>
  <si>
    <t xml:space="preserve">   Facilities Charge</t>
  </si>
  <si>
    <t xml:space="preserve">   Power Charge</t>
  </si>
  <si>
    <t xml:space="preserve">     Regular</t>
  </si>
  <si>
    <t xml:space="preserve">     Maintenance </t>
  </si>
  <si>
    <t xml:space="preserve">   Excess Power</t>
  </si>
  <si>
    <t xml:space="preserve">  Primary Voltage</t>
  </si>
  <si>
    <t xml:space="preserve">  Transmission Voltage</t>
  </si>
  <si>
    <t>Supplemental billed at Schedule 8/9 rate</t>
  </si>
  <si>
    <t xml:space="preserve">  Customer Charge (Schedule 8)</t>
  </si>
  <si>
    <t xml:space="preserve">  On-Peak kW (May - September) (Schedule 8)</t>
  </si>
  <si>
    <t xml:space="preserve">  On-Peak kW (October - April) (Schedule 8)</t>
  </si>
  <si>
    <t xml:space="preserve">  Facilities kW (May - September) (Schedule 8)</t>
  </si>
  <si>
    <t xml:space="preserve">  Facilities kW (October - April) (Schedule 8)</t>
  </si>
  <si>
    <t xml:space="preserve">  Voltage Discount (Schedule 8)</t>
  </si>
  <si>
    <t xml:space="preserve">  On-Peak kWh (May - September) (Schedule 8)</t>
  </si>
  <si>
    <t xml:space="preserve">  Off-Peak kWh (May - September) (Schedule 8)</t>
  </si>
  <si>
    <t xml:space="preserve">  On-Peak kWh (October - April) (Schedule 8)</t>
  </si>
  <si>
    <t xml:space="preserve">  Off-Peak kWh (October - April) (Schedule 8)</t>
  </si>
  <si>
    <t xml:space="preserve">  Customer Charge (Schedule 9)</t>
  </si>
  <si>
    <t xml:space="preserve">  Facilities kW (Schedule 9)</t>
  </si>
  <si>
    <t xml:space="preserve">  Summer On-Peak kW (Schedule 9)</t>
  </si>
  <si>
    <t xml:space="preserve">  Winter On-Peak kW (Schedule 9)</t>
  </si>
  <si>
    <t xml:space="preserve">  Surcharge Adjustment (Aggregate)</t>
  </si>
  <si>
    <t xml:space="preserve">  DSM Adjustment (Aggregate)</t>
  </si>
  <si>
    <t>SPCL0001</t>
  </si>
  <si>
    <t>SPC1</t>
  </si>
  <si>
    <t xml:space="preserve">  kW High Load Hours</t>
  </si>
  <si>
    <t xml:space="preserve">  kW Low Load Hours</t>
  </si>
  <si>
    <t xml:space="preserve">  kWh High Load Hours</t>
  </si>
  <si>
    <t xml:space="preserve">  kWh Low Load Hours</t>
  </si>
  <si>
    <t xml:space="preserve">  Total High Load Hours</t>
  </si>
  <si>
    <t xml:space="preserve">  Total Low Load Hours</t>
  </si>
  <si>
    <t>SPCL0002</t>
  </si>
  <si>
    <t>SPC2</t>
  </si>
  <si>
    <t>Industrial</t>
  </si>
  <si>
    <t xml:space="preserve">  Non-firm kW</t>
  </si>
  <si>
    <t xml:space="preserve">  Non-firm kWh</t>
  </si>
  <si>
    <t xml:space="preserve">  Pass Through kWh</t>
  </si>
  <si>
    <t>SPCL0003</t>
  </si>
  <si>
    <t xml:space="preserve">  kW Back-Up</t>
  </si>
  <si>
    <t xml:space="preserve">  kW Supplemental</t>
  </si>
  <si>
    <t xml:space="preserve">  kW Maintenance</t>
  </si>
  <si>
    <t xml:space="preserve">  kWh Supplemental</t>
  </si>
  <si>
    <t xml:space="preserve">  Total </t>
  </si>
  <si>
    <t>SPCL0005</t>
  </si>
  <si>
    <t>SPC5</t>
  </si>
  <si>
    <t xml:space="preserve">  kW Firm</t>
  </si>
  <si>
    <t xml:space="preserve">  kWh Firm</t>
  </si>
  <si>
    <t xml:space="preserve">  Total Firm</t>
  </si>
  <si>
    <t>Rate No. 60</t>
  </si>
  <si>
    <t xml:space="preserve">  40 Watt Incandescent Lamps</t>
  </si>
  <si>
    <t>Rate No. 77</t>
  </si>
  <si>
    <t>Security Lighting</t>
  </si>
  <si>
    <t xml:space="preserve">  Bills</t>
  </si>
  <si>
    <t xml:space="preserve">  20,000 Mercury Vapor</t>
  </si>
  <si>
    <t>XMV 007</t>
  </si>
  <si>
    <t xml:space="preserve">  50,000 Lumen</t>
  </si>
  <si>
    <t>XSF 003</t>
  </si>
  <si>
    <t>Lighting Contract</t>
  </si>
  <si>
    <t>PTL</t>
  </si>
  <si>
    <t>Post Top Lighting</t>
  </si>
  <si>
    <t>Forecast Units</t>
  </si>
  <si>
    <t>08PTLD000N/08PTLD000R</t>
  </si>
  <si>
    <t>PTLD RES</t>
  </si>
  <si>
    <t>PTLD COM</t>
  </si>
  <si>
    <t>kWh-Fixed Usage</t>
  </si>
  <si>
    <t>Revn-PTLD-Res</t>
  </si>
  <si>
    <t>Revn-PTLD-Com</t>
  </si>
  <si>
    <t>check kWh</t>
  </si>
  <si>
    <t>total units</t>
  </si>
  <si>
    <t>Maintenance</t>
  </si>
  <si>
    <t>CSS Avg Cust</t>
  </si>
  <si>
    <t>Forecast Avg cust</t>
  </si>
  <si>
    <t>ANNUAL GUARANTEE ADJUSTMENT</t>
  </si>
  <si>
    <t>AGA</t>
  </si>
  <si>
    <t xml:space="preserve"> Residential</t>
  </si>
  <si>
    <t xml:space="preserve"> Commercial</t>
  </si>
  <si>
    <t xml:space="preserve"> Industrial</t>
  </si>
  <si>
    <t xml:space="preserve"> Public Street &amp; Highway Lighting</t>
  </si>
  <si>
    <t>Other Sales Public Authorities</t>
  </si>
  <si>
    <t xml:space="preserve">  Total AGA</t>
  </si>
  <si>
    <t>TOTAL - ALL CLASSES</t>
  </si>
  <si>
    <t>TOTAL</t>
  </si>
  <si>
    <t>Present Revn</t>
  </si>
  <si>
    <t>Forecasted Revn</t>
  </si>
  <si>
    <t xml:space="preserve">Proposed Revn </t>
  </si>
  <si>
    <t>Basic</t>
  </si>
  <si>
    <t>Normalized Actual</t>
  </si>
  <si>
    <t>Blocking</t>
  </si>
  <si>
    <t>Schedule 23</t>
  </si>
  <si>
    <t>Schedule 6</t>
  </si>
  <si>
    <t>Schedule 8</t>
  </si>
  <si>
    <t>Schedule 9</t>
  </si>
  <si>
    <t>Schedule 10</t>
  </si>
  <si>
    <t>Lighting</t>
  </si>
  <si>
    <t>Schedule 21</t>
  </si>
  <si>
    <t>Schedule 31</t>
  </si>
  <si>
    <t>Special Contract</t>
  </si>
  <si>
    <t>Weather</t>
  </si>
  <si>
    <t>Present Rev</t>
  </si>
  <si>
    <t>Total w/o AGA</t>
  </si>
  <si>
    <t>Table A</t>
  </si>
  <si>
    <t>actual</t>
  </si>
  <si>
    <t>prices eff. 04/01/04</t>
  </si>
  <si>
    <t>price eff. 10/02/-09/03</t>
  </si>
  <si>
    <t>Unbilled/Weather</t>
  </si>
  <si>
    <t>Schedules 21</t>
  </si>
  <si>
    <t>Schedule 30</t>
  </si>
  <si>
    <r>
      <t xml:space="preserve">Actual </t>
    </r>
    <r>
      <rPr>
        <sz val="12"/>
        <rFont val="Symbol"/>
        <family val="1"/>
      </rPr>
      <t>D</t>
    </r>
  </si>
  <si>
    <r>
      <t xml:space="preserve">  Energy Only, </t>
    </r>
    <r>
      <rPr>
        <sz val="12"/>
        <rFont val="Times New Roman"/>
        <family val="1"/>
      </rPr>
      <t>08SLD13ES1</t>
    </r>
  </si>
  <si>
    <r>
      <t xml:space="preserve">  Energy and Maintenance, </t>
    </r>
    <r>
      <rPr>
        <sz val="12"/>
        <rFont val="Times New Roman"/>
        <family val="1"/>
      </rPr>
      <t>08SLD13MS1</t>
    </r>
  </si>
  <si>
    <r>
      <t xml:space="preserve">  Full Service, </t>
    </r>
    <r>
      <rPr>
        <sz val="12"/>
        <rFont val="Times New Roman"/>
        <family val="1"/>
      </rPr>
      <t>08SLD13FS1</t>
    </r>
  </si>
  <si>
    <r>
      <t xml:space="preserve">  Energy Only, </t>
    </r>
    <r>
      <rPr>
        <sz val="12"/>
        <rFont val="Times New Roman"/>
        <family val="1"/>
      </rPr>
      <t>08SLD13ES2</t>
    </r>
  </si>
  <si>
    <r>
      <t xml:space="preserve">  Energy and Maintenance, </t>
    </r>
    <r>
      <rPr>
        <sz val="12"/>
        <rFont val="Times New Roman"/>
        <family val="1"/>
      </rPr>
      <t>08SLD13MS2</t>
    </r>
  </si>
  <si>
    <r>
      <t xml:space="preserve">  Full Service, </t>
    </r>
    <r>
      <rPr>
        <sz val="12"/>
        <rFont val="Times New Roman"/>
        <family val="1"/>
      </rPr>
      <t>08SLD13FS2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</si>
</sst>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General_)"/>
    <numFmt numFmtId="168" formatCode="0.0%"/>
    <numFmt numFmtId="169" formatCode="_(* #,##0.0000_);_(* \(#,##0.0000\);_(* &quot;-&quot;??_);_(@_)"/>
    <numFmt numFmtId="170" formatCode="0.0000_);[Red]\(0.0000\)"/>
    <numFmt numFmtId="171" formatCode="0.0000_)"/>
    <numFmt numFmtId="172" formatCode="0.00000000%"/>
    <numFmt numFmtId="173" formatCode="#,##0.0000_);\(#,##0.0000\)"/>
    <numFmt numFmtId="174" formatCode="&quot;$&quot;#,##0"/>
    <numFmt numFmtId="175" formatCode=";;;"/>
    <numFmt numFmtId="176" formatCode="&quot;$&quot;#,##0.0000_);\(&quot;$&quot;#,##0.0000\)"/>
    <numFmt numFmtId="177" formatCode="&quot;$&quot;#,##0.000_);\(&quot;$&quot;#,##0.000\)"/>
    <numFmt numFmtId="178" formatCode="#,##0.000000000_);\(#,##0.000000000\)"/>
    <numFmt numFmtId="179" formatCode="0_)"/>
    <numFmt numFmtId="180" formatCode="#,##0.0"/>
    <numFmt numFmtId="181" formatCode="&quot;$&quot;#,##0.00"/>
    <numFmt numFmtId="182" formatCode="0.000%"/>
    <numFmt numFmtId="183" formatCode="_(* #,##0.000000_);_(* \(#,##0.000000\);_(* &quot;-&quot;_);_(@_)"/>
    <numFmt numFmtId="184" formatCode="_(* #,##0.000_);_(* \(#,##0.000\);_(* &quot;-&quot;_);_(@_)"/>
    <numFmt numFmtId="185" formatCode="_(* #,##0.0_);_(* \(#,##0.0\);_(* &quot;-&quot;??_);_(@_)"/>
    <numFmt numFmtId="186" formatCode="0.0000%"/>
    <numFmt numFmtId="187" formatCode="0.00000_)"/>
    <numFmt numFmtId="188" formatCode="dd\-mmm\-yy_)"/>
    <numFmt numFmtId="189" formatCode="#,##0.0_);\(#,##0.0\)"/>
    <numFmt numFmtId="190" formatCode="#,##0.000_);\(#,##0.000\)"/>
    <numFmt numFmtId="191" formatCode="&quot;$&quot;#,##0.0"/>
    <numFmt numFmtId="192" formatCode="m/d"/>
    <numFmt numFmtId="193" formatCode="&quot;$&quot;#,##0.00000_);\(&quot;$&quot;#,##0.00000\)"/>
    <numFmt numFmtId="194" formatCode="#,##0.00000_);\(#,##0.00000\)"/>
    <numFmt numFmtId="195" formatCode="_(&quot;$&quot;* #,##0.0_);_(&quot;$&quot;* \(#,##0.0\);_(&quot;$&quot;* &quot;-&quot;??_);_(@_)"/>
    <numFmt numFmtId="196" formatCode="_(* #,##0.000_);_(* \(#,##0.000\);_(* &quot;-&quot;??_);_(@_)"/>
    <numFmt numFmtId="197" formatCode="_(* #,##0.00000_);_(* \(#,##0.00000\);_(* &quot;-&quot;??_);_(@_)"/>
    <numFmt numFmtId="198" formatCode="&quot;$&quot;#,##0.000000_);\(&quot;$&quot;#,##0.000000\)"/>
    <numFmt numFmtId="199" formatCode="&quot;$&quot;#,##0.0000000_);\(&quot;$&quot;#,##0.0000000\)"/>
    <numFmt numFmtId="200" formatCode="mmm\-yy_)"/>
    <numFmt numFmtId="201" formatCode="mm/dd/yy_)"/>
    <numFmt numFmtId="202" formatCode="&quot;$&quot;#,##0.0_);\(&quot;$&quot;#,##0.0\)"/>
    <numFmt numFmtId="203" formatCode="#,##0.00000000_);\(#,##0.00000000\)"/>
    <numFmt numFmtId="204" formatCode="#,##0.0000000_);\(#,##0.0000000\)"/>
    <numFmt numFmtId="205" formatCode="&quot;$&quot;#,##0.00000000_);\(&quot;$&quot;#,##0.00000000\)"/>
    <numFmt numFmtId="206" formatCode="0.000_)"/>
    <numFmt numFmtId="207" formatCode="#,##0_);\(#,##0\);\(&quot; MWh&quot;\)"/>
    <numFmt numFmtId="208" formatCode="#,##0&quot; MWh&quot;"/>
    <numFmt numFmtId="209" formatCode="0.000"/>
    <numFmt numFmtId="210" formatCode="0.0"/>
    <numFmt numFmtId="211" formatCode="000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0.00%;\-0.00%"/>
    <numFmt numFmtId="215" formatCode="0.0000"/>
    <numFmt numFmtId="216" formatCode="0.00000"/>
    <numFmt numFmtId="217" formatCode="0.000000"/>
    <numFmt numFmtId="218" formatCode="0.000000_)"/>
  </numFmts>
  <fonts count="16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4"/>
      <name val="MS Sans Serif"/>
      <family val="0"/>
    </font>
    <font>
      <sz val="7"/>
      <name val="Arial"/>
      <family val="2"/>
    </font>
    <font>
      <u val="single"/>
      <sz val="10"/>
      <color indexed="12"/>
      <name val="MS Sans Serif"/>
      <family val="0"/>
    </font>
    <font>
      <sz val="12"/>
      <color indexed="12"/>
      <name val="Times New Roman"/>
      <family val="1"/>
    </font>
    <font>
      <sz val="12"/>
      <name val="Arial"/>
      <family val="0"/>
    </font>
    <font>
      <sz val="10"/>
      <name val="LinePrinter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sz val="12"/>
      <name val="Symbol"/>
      <family val="1"/>
    </font>
    <font>
      <u val="single"/>
      <sz val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Alignment="0" applyProtection="0"/>
    <xf numFmtId="167" fontId="0" fillId="0" borderId="0">
      <alignment/>
      <protection/>
    </xf>
    <xf numFmtId="0" fontId="9" fillId="0" borderId="0">
      <alignment/>
      <protection/>
    </xf>
    <xf numFmtId="9" fontId="4" fillId="0" borderId="0" applyFont="0" applyFill="0" applyBorder="0" applyAlignment="0" applyProtection="0"/>
    <xf numFmtId="167" fontId="10" fillId="0" borderId="0">
      <alignment horizontal="left"/>
      <protection/>
    </xf>
  </cellStyleXfs>
  <cellXfs count="177">
    <xf numFmtId="0" fontId="0" fillId="0" borderId="0" xfId="0" applyAlignment="1">
      <alignment/>
    </xf>
    <xf numFmtId="167" fontId="12" fillId="0" borderId="0" xfId="23" applyFont="1" applyFill="1" applyAlignment="1">
      <alignment horizontal="centerContinuous"/>
      <protection/>
    </xf>
    <xf numFmtId="167" fontId="12" fillId="0" borderId="0" xfId="23" applyFont="1" applyFill="1" applyAlignment="1">
      <alignment horizontal="center"/>
      <protection/>
    </xf>
    <xf numFmtId="167" fontId="11" fillId="0" borderId="0" xfId="23" applyFont="1" applyFill="1" applyAlignment="1">
      <alignment horizontal="centerContinuous"/>
      <protection/>
    </xf>
    <xf numFmtId="167" fontId="11" fillId="0" borderId="0" xfId="23" applyFont="1" applyFill="1" applyAlignment="1">
      <alignment horizontal="center"/>
      <protection/>
    </xf>
    <xf numFmtId="167" fontId="11" fillId="0" borderId="0" xfId="23" applyFont="1" applyFill="1" applyAlignment="1">
      <alignment horizontal="centerContinuous"/>
      <protection/>
    </xf>
    <xf numFmtId="37" fontId="11" fillId="0" borderId="0" xfId="23" applyNumberFormat="1" applyFont="1" applyFill="1" applyProtection="1">
      <alignment/>
      <protection/>
    </xf>
    <xf numFmtId="37" fontId="11" fillId="0" borderId="0" xfId="23" applyNumberFormat="1" applyFont="1" applyFill="1" applyAlignment="1" applyProtection="1">
      <alignment horizontal="center"/>
      <protection/>
    </xf>
    <xf numFmtId="37" fontId="11" fillId="0" borderId="1" xfId="23" applyNumberFormat="1" applyFont="1" applyFill="1" applyBorder="1" applyAlignment="1" applyProtection="1">
      <alignment horizontal="center"/>
      <protection/>
    </xf>
    <xf numFmtId="167" fontId="11" fillId="0" borderId="1" xfId="23" applyFont="1" applyFill="1" applyBorder="1" applyAlignment="1">
      <alignment horizontal="center"/>
      <protection/>
    </xf>
    <xf numFmtId="167" fontId="11" fillId="0" borderId="0" xfId="23" applyFont="1" applyFill="1" applyBorder="1" applyAlignment="1">
      <alignment horizontal="center"/>
      <protection/>
    </xf>
    <xf numFmtId="37" fontId="11" fillId="0" borderId="2" xfId="23" applyNumberFormat="1" applyFont="1" applyFill="1" applyBorder="1" applyAlignment="1" applyProtection="1" quotePrefix="1">
      <alignment horizontal="center"/>
      <protection/>
    </xf>
    <xf numFmtId="167" fontId="11" fillId="0" borderId="2" xfId="23" applyFont="1" applyFill="1" applyBorder="1" applyAlignment="1" quotePrefix="1">
      <alignment horizontal="centerContinuous"/>
      <protection/>
    </xf>
    <xf numFmtId="37" fontId="11" fillId="0" borderId="2" xfId="23" applyNumberFormat="1" applyFont="1" applyFill="1" applyBorder="1" applyAlignment="1" applyProtection="1" quotePrefix="1">
      <alignment horizontal="centerContinuous"/>
      <protection/>
    </xf>
    <xf numFmtId="167" fontId="0" fillId="0" borderId="0" xfId="23" applyFont="1" applyFill="1">
      <alignment/>
      <protection/>
    </xf>
    <xf numFmtId="37" fontId="0" fillId="0" borderId="0" xfId="23" applyNumberFormat="1" applyFont="1" applyFill="1" applyProtection="1">
      <alignment/>
      <protection locked="0"/>
    </xf>
    <xf numFmtId="167" fontId="0" fillId="0" borderId="0" xfId="23" applyFont="1" applyFill="1">
      <alignment/>
      <protection/>
    </xf>
    <xf numFmtId="37" fontId="0" fillId="0" borderId="0" xfId="23" applyNumberFormat="1" applyFont="1" applyFill="1" applyProtection="1">
      <alignment/>
      <protection/>
    </xf>
    <xf numFmtId="167" fontId="0" fillId="0" borderId="0" xfId="23" applyFont="1" applyFill="1" applyAlignment="1">
      <alignment horizontal="left"/>
      <protection/>
    </xf>
    <xf numFmtId="7" fontId="0" fillId="0" borderId="0" xfId="23" applyNumberFormat="1" applyFont="1" applyFill="1" applyProtection="1">
      <alignment/>
      <protection/>
    </xf>
    <xf numFmtId="171" fontId="0" fillId="0" borderId="0" xfId="23" applyNumberFormat="1" applyFont="1" applyFill="1" applyProtection="1">
      <alignment/>
      <protection locked="0"/>
    </xf>
    <xf numFmtId="167" fontId="0" fillId="0" borderId="0" xfId="23" applyFont="1">
      <alignment/>
      <protection/>
    </xf>
    <xf numFmtId="37" fontId="0" fillId="0" borderId="1" xfId="23" applyNumberFormat="1" applyFont="1" applyFill="1" applyBorder="1" applyProtection="1">
      <alignment/>
      <protection/>
    </xf>
    <xf numFmtId="37" fontId="0" fillId="0" borderId="0" xfId="23" applyNumberFormat="1" applyFont="1" applyFill="1" applyBorder="1" applyProtection="1">
      <alignment/>
      <protection/>
    </xf>
    <xf numFmtId="7" fontId="0" fillId="0" borderId="0" xfId="23" applyNumberFormat="1" applyFont="1" applyFill="1" applyProtection="1">
      <alignment/>
      <protection locked="0"/>
    </xf>
    <xf numFmtId="167" fontId="0" fillId="0" borderId="0" xfId="23" applyNumberFormat="1" applyFont="1" applyFill="1" applyProtection="1">
      <alignment/>
      <protection locked="0"/>
    </xf>
    <xf numFmtId="10" fontId="0" fillId="0" borderId="0" xfId="25" applyNumberFormat="1" applyFont="1" applyFill="1" applyAlignment="1">
      <alignment/>
    </xf>
    <xf numFmtId="167" fontId="11" fillId="0" borderId="0" xfId="23" applyFont="1" applyFill="1">
      <alignment/>
      <protection/>
    </xf>
    <xf numFmtId="0" fontId="0" fillId="0" borderId="0" xfId="23" applyNumberFormat="1" applyFont="1" applyFill="1" applyProtection="1">
      <alignment/>
      <protection locked="0"/>
    </xf>
    <xf numFmtId="37" fontId="0" fillId="0" borderId="0" xfId="23" applyNumberFormat="1" applyFont="1" applyFill="1" applyProtection="1">
      <alignment/>
      <protection/>
    </xf>
    <xf numFmtId="5" fontId="0" fillId="0" borderId="1" xfId="23" applyNumberFormat="1" applyFont="1" applyFill="1" applyBorder="1" applyProtection="1">
      <alignment/>
      <protection/>
    </xf>
    <xf numFmtId="167" fontId="0" fillId="0" borderId="0" xfId="23" applyFont="1" applyFill="1" applyAlignment="1">
      <alignment horizontal="left"/>
      <protection/>
    </xf>
    <xf numFmtId="5" fontId="0" fillId="0" borderId="0" xfId="23" applyNumberFormat="1" applyFont="1" applyFill="1" applyProtection="1">
      <alignment/>
      <protection/>
    </xf>
    <xf numFmtId="167" fontId="0" fillId="0" borderId="0" xfId="23" applyFont="1">
      <alignment/>
      <protection/>
    </xf>
    <xf numFmtId="5" fontId="0" fillId="0" borderId="0" xfId="23" applyNumberFormat="1" applyFont="1" applyFill="1" applyProtection="1">
      <alignment/>
      <protection locked="0"/>
    </xf>
    <xf numFmtId="37" fontId="0" fillId="0" borderId="3" xfId="23" applyNumberFormat="1" applyFont="1" applyFill="1" applyBorder="1" applyProtection="1">
      <alignment/>
      <protection locked="0"/>
    </xf>
    <xf numFmtId="5" fontId="0" fillId="0" borderId="4" xfId="23" applyNumberFormat="1" applyFont="1" applyFill="1" applyBorder="1" applyProtection="1">
      <alignment/>
      <protection/>
    </xf>
    <xf numFmtId="0" fontId="9" fillId="0" borderId="0" xfId="24" applyFont="1">
      <alignment/>
      <protection/>
    </xf>
    <xf numFmtId="167" fontId="0" fillId="0" borderId="0" xfId="23" applyFont="1" applyFill="1" applyProtection="1">
      <alignment/>
      <protection locked="0"/>
    </xf>
    <xf numFmtId="37" fontId="0" fillId="0" borderId="1" xfId="23" applyNumberFormat="1" applyFont="1" applyFill="1" applyBorder="1" applyProtection="1">
      <alignment/>
      <protection locked="0"/>
    </xf>
    <xf numFmtId="7" fontId="0" fillId="0" borderId="1" xfId="23" applyNumberFormat="1" applyFont="1" applyFill="1" applyBorder="1" applyProtection="1">
      <alignment/>
      <protection locked="0"/>
    </xf>
    <xf numFmtId="7" fontId="0" fillId="0" borderId="0" xfId="23" applyNumberFormat="1" applyFont="1" applyFill="1" applyBorder="1" applyProtection="1">
      <alignment/>
      <protection locked="0"/>
    </xf>
    <xf numFmtId="5" fontId="0" fillId="0" borderId="1" xfId="23" applyNumberFormat="1" applyFont="1" applyFill="1" applyBorder="1" applyProtection="1">
      <alignment/>
      <protection locked="0"/>
    </xf>
    <xf numFmtId="169" fontId="0" fillId="0" borderId="0" xfId="15" applyNumberFormat="1" applyFont="1" applyFill="1" applyAlignment="1" applyProtection="1">
      <alignment/>
      <protection locked="0"/>
    </xf>
    <xf numFmtId="37" fontId="0" fillId="0" borderId="3" xfId="23" applyNumberFormat="1" applyFont="1" applyFill="1" applyBorder="1" applyProtection="1">
      <alignment/>
      <protection/>
    </xf>
    <xf numFmtId="5" fontId="0" fillId="0" borderId="3" xfId="23" applyNumberFormat="1" applyFont="1" applyFill="1" applyBorder="1" applyProtection="1">
      <alignment/>
      <protection/>
    </xf>
    <xf numFmtId="171" fontId="0" fillId="0" borderId="0" xfId="23" applyNumberFormat="1" applyFont="1" applyFill="1" applyProtection="1">
      <alignment/>
      <protection/>
    </xf>
    <xf numFmtId="169" fontId="0" fillId="0" borderId="0" xfId="15" applyNumberFormat="1" applyFont="1" applyFill="1" applyAlignment="1" applyProtection="1">
      <alignment/>
      <protection/>
    </xf>
    <xf numFmtId="3" fontId="0" fillId="0" borderId="0" xfId="23" applyNumberFormat="1" applyFont="1">
      <alignment/>
      <protection/>
    </xf>
    <xf numFmtId="167" fontId="11" fillId="0" borderId="0" xfId="23" applyFont="1" applyFill="1" applyAlignment="1">
      <alignment horizontal="center"/>
      <protection/>
    </xf>
    <xf numFmtId="167" fontId="11" fillId="0" borderId="0" xfId="23" applyFont="1" applyFill="1" applyAlignment="1">
      <alignment horizontal="left"/>
      <protection/>
    </xf>
    <xf numFmtId="167" fontId="14" fillId="0" borderId="0" xfId="23" applyFont="1" applyFill="1">
      <alignment/>
      <protection/>
    </xf>
    <xf numFmtId="167" fontId="0" fillId="0" borderId="0" xfId="23" applyNumberFormat="1" applyFont="1" applyProtection="1">
      <alignment/>
      <protection/>
    </xf>
    <xf numFmtId="167" fontId="0" fillId="0" borderId="0" xfId="23" applyFont="1" applyFill="1" applyAlignment="1">
      <alignment horizontal="centerContinuous"/>
      <protection/>
    </xf>
    <xf numFmtId="167" fontId="0" fillId="0" borderId="0" xfId="23" applyFont="1" applyAlignment="1">
      <alignment horizontal="centerContinuous"/>
      <protection/>
    </xf>
    <xf numFmtId="167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167" fontId="0" fillId="0" borderId="0" xfId="23" applyNumberFormat="1" applyFont="1" applyProtection="1">
      <alignment/>
      <protection/>
    </xf>
    <xf numFmtId="167" fontId="0" fillId="0" borderId="0" xfId="23" applyFont="1" applyFill="1">
      <alignment/>
      <protection/>
    </xf>
    <xf numFmtId="37" fontId="0" fillId="0" borderId="0" xfId="23" applyNumberFormat="1" applyFont="1" applyFill="1" applyProtection="1">
      <alignment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/>
    </xf>
    <xf numFmtId="167" fontId="0" fillId="0" borderId="2" xfId="23" applyFont="1" applyFill="1" applyBorder="1">
      <alignment/>
      <protection/>
    </xf>
    <xf numFmtId="167" fontId="0" fillId="0" borderId="0" xfId="23" applyFont="1" applyFill="1" applyBorder="1">
      <alignment/>
      <protection/>
    </xf>
    <xf numFmtId="167" fontId="0" fillId="0" borderId="0" xfId="23" applyFont="1" applyFill="1" applyAlignment="1">
      <alignment horizontal="left"/>
      <protection/>
    </xf>
    <xf numFmtId="166" fontId="0" fillId="0" borderId="0" xfId="23" applyNumberFormat="1" applyFont="1" applyFill="1" applyProtection="1">
      <alignment/>
      <protection/>
    </xf>
    <xf numFmtId="5" fontId="0" fillId="0" borderId="0" xfId="23" applyNumberFormat="1" applyFont="1" applyFill="1" applyProtection="1">
      <alignment/>
      <protection/>
    </xf>
    <xf numFmtId="49" fontId="0" fillId="0" borderId="0" xfId="23" applyNumberFormat="1" applyFont="1" applyFill="1" applyAlignment="1" applyProtection="1">
      <alignment horizontal="left"/>
      <protection locked="0"/>
    </xf>
    <xf numFmtId="169" fontId="0" fillId="0" borderId="0" xfId="15" applyNumberFormat="1" applyFont="1" applyAlignment="1">
      <alignment/>
    </xf>
    <xf numFmtId="7" fontId="0" fillId="0" borderId="0" xfId="23" applyNumberFormat="1" applyFont="1" applyFill="1" applyProtection="1">
      <alignment/>
      <protection locked="0"/>
    </xf>
    <xf numFmtId="9" fontId="0" fillId="0" borderId="0" xfId="25" applyFont="1" applyAlignment="1">
      <alignment/>
    </xf>
    <xf numFmtId="37" fontId="0" fillId="0" borderId="0" xfId="23" applyNumberFormat="1" applyFont="1" applyFill="1" applyBorder="1" applyProtection="1">
      <alignment/>
      <protection/>
    </xf>
    <xf numFmtId="170" fontId="0" fillId="0" borderId="0" xfId="23" applyNumberFormat="1" applyFont="1" applyFill="1" applyProtection="1">
      <alignment/>
      <protection locked="0"/>
    </xf>
    <xf numFmtId="167" fontId="0" fillId="0" borderId="0" xfId="23" applyNumberFormat="1" applyFont="1" applyFill="1" applyProtection="1">
      <alignment/>
      <protection locked="0"/>
    </xf>
    <xf numFmtId="167" fontId="0" fillId="0" borderId="0" xfId="23" applyNumberFormat="1" applyFont="1" applyFill="1" applyProtection="1">
      <alignment/>
      <protection/>
    </xf>
    <xf numFmtId="5" fontId="0" fillId="2" borderId="0" xfId="23" applyNumberFormat="1" applyFont="1" applyFill="1" applyProtection="1">
      <alignment/>
      <protection/>
    </xf>
    <xf numFmtId="7" fontId="0" fillId="0" borderId="0" xfId="23" applyNumberFormat="1" applyFont="1" applyFill="1" applyProtection="1">
      <alignment/>
      <protection/>
    </xf>
    <xf numFmtId="5" fontId="0" fillId="0" borderId="0" xfId="23" applyNumberFormat="1" applyFont="1" applyFill="1" applyBorder="1" applyProtection="1">
      <alignment/>
      <protection/>
    </xf>
    <xf numFmtId="37" fontId="0" fillId="0" borderId="1" xfId="23" applyNumberFormat="1" applyFont="1" applyFill="1" applyBorder="1" applyProtection="1">
      <alignment/>
      <protection/>
    </xf>
    <xf numFmtId="171" fontId="0" fillId="0" borderId="0" xfId="23" applyNumberFormat="1" applyFont="1" applyFill="1" applyProtection="1">
      <alignment/>
      <protection locked="0"/>
    </xf>
    <xf numFmtId="5" fontId="0" fillId="0" borderId="5" xfId="23" applyNumberFormat="1" applyFont="1" applyFill="1" applyBorder="1" applyProtection="1">
      <alignment/>
      <protection/>
    </xf>
    <xf numFmtId="5" fontId="0" fillId="0" borderId="1" xfId="23" applyNumberFormat="1" applyFont="1" applyFill="1" applyBorder="1" applyProtection="1">
      <alignment/>
      <protection/>
    </xf>
    <xf numFmtId="37" fontId="0" fillId="0" borderId="4" xfId="23" applyNumberFormat="1" applyFont="1" applyFill="1" applyBorder="1" applyProtection="1">
      <alignment/>
      <protection/>
    </xf>
    <xf numFmtId="167" fontId="0" fillId="0" borderId="4" xfId="23" applyFont="1" applyFill="1" applyBorder="1">
      <alignment/>
      <protection/>
    </xf>
    <xf numFmtId="5" fontId="0" fillId="0" borderId="4" xfId="23" applyNumberFormat="1" applyFont="1" applyFill="1" applyBorder="1" applyProtection="1">
      <alignment/>
      <protection/>
    </xf>
    <xf numFmtId="167" fontId="0" fillId="0" borderId="6" xfId="23" applyFont="1" applyBorder="1">
      <alignment/>
      <protection/>
    </xf>
    <xf numFmtId="5" fontId="0" fillId="0" borderId="7" xfId="23" applyNumberFormat="1" applyFont="1" applyFill="1" applyBorder="1" applyProtection="1">
      <alignment/>
      <protection/>
    </xf>
    <xf numFmtId="165" fontId="0" fillId="0" borderId="0" xfId="15" applyNumberFormat="1" applyFont="1" applyAlignment="1">
      <alignment/>
    </xf>
    <xf numFmtId="167" fontId="0" fillId="0" borderId="8" xfId="23" applyFont="1" applyBorder="1">
      <alignment/>
      <protection/>
    </xf>
    <xf numFmtId="5" fontId="0" fillId="0" borderId="9" xfId="23" applyNumberFormat="1" applyFont="1" applyFill="1" applyBorder="1" applyProtection="1">
      <alignment/>
      <protection/>
    </xf>
    <xf numFmtId="167" fontId="0" fillId="0" borderId="10" xfId="23" applyFont="1" applyBorder="1">
      <alignment/>
      <protection/>
    </xf>
    <xf numFmtId="5" fontId="0" fillId="0" borderId="11" xfId="23" applyNumberFormat="1" applyFont="1" applyFill="1" applyBorder="1" applyProtection="1">
      <alignment/>
      <protection/>
    </xf>
    <xf numFmtId="172" fontId="0" fillId="0" borderId="0" xfId="23" applyNumberFormat="1" applyFont="1" applyFill="1" applyProtection="1">
      <alignment/>
      <protection/>
    </xf>
    <xf numFmtId="171" fontId="0" fillId="0" borderId="0" xfId="23" applyNumberFormat="1" applyFont="1" applyFill="1" applyProtection="1">
      <alignment/>
      <protection/>
    </xf>
    <xf numFmtId="173" fontId="0" fillId="0" borderId="0" xfId="23" applyNumberFormat="1" applyFont="1" applyFill="1" applyProtection="1">
      <alignment/>
      <protection locked="0"/>
    </xf>
    <xf numFmtId="10" fontId="0" fillId="0" borderId="0" xfId="25" applyNumberFormat="1" applyFont="1" applyAlignment="1">
      <alignment/>
    </xf>
    <xf numFmtId="167" fontId="0" fillId="0" borderId="3" xfId="23" applyFont="1" applyFill="1" applyBorder="1">
      <alignment/>
      <protection/>
    </xf>
    <xf numFmtId="5" fontId="0" fillId="0" borderId="3" xfId="23" applyNumberFormat="1" applyFont="1" applyFill="1" applyBorder="1" applyProtection="1">
      <alignment/>
      <protection/>
    </xf>
    <xf numFmtId="49" fontId="0" fillId="0" borderId="0" xfId="23" applyNumberFormat="1" applyFont="1" applyFill="1">
      <alignment/>
      <protection/>
    </xf>
    <xf numFmtId="37" fontId="0" fillId="0" borderId="3" xfId="23" applyNumberFormat="1" applyFont="1" applyFill="1" applyBorder="1" applyProtection="1">
      <alignment/>
      <protection/>
    </xf>
    <xf numFmtId="171" fontId="0" fillId="0" borderId="3" xfId="23" applyNumberFormat="1" applyFont="1" applyFill="1" applyBorder="1" applyProtection="1">
      <alignment/>
      <protection/>
    </xf>
    <xf numFmtId="9" fontId="0" fillId="0" borderId="0" xfId="25" applyNumberFormat="1" applyFont="1" applyAlignment="1">
      <alignment/>
    </xf>
    <xf numFmtId="9" fontId="0" fillId="0" borderId="0" xfId="23" applyNumberFormat="1" applyFont="1">
      <alignment/>
      <protection/>
    </xf>
    <xf numFmtId="167" fontId="0" fillId="0" borderId="0" xfId="23" applyFont="1" applyFill="1" applyAlignment="1" applyProtection="1">
      <alignment horizontal="left"/>
      <protection locked="0"/>
    </xf>
    <xf numFmtId="10" fontId="0" fillId="0" borderId="0" xfId="25" applyNumberFormat="1" applyFont="1" applyFill="1" applyAlignment="1" applyProtection="1">
      <alignment/>
      <protection/>
    </xf>
    <xf numFmtId="7" fontId="0" fillId="0" borderId="0" xfId="23" applyNumberFormat="1" applyFont="1" applyFill="1" applyAlignment="1" applyProtection="1">
      <alignment horizontal="left"/>
      <protection/>
    </xf>
    <xf numFmtId="173" fontId="0" fillId="0" borderId="0" xfId="23" applyNumberFormat="1" applyFont="1" applyFill="1" applyProtection="1">
      <alignment/>
      <protection/>
    </xf>
    <xf numFmtId="167" fontId="0" fillId="0" borderId="0" xfId="23" applyFont="1" applyFill="1" quotePrefix="1">
      <alignment/>
      <protection/>
    </xf>
    <xf numFmtId="168" fontId="0" fillId="0" borderId="0" xfId="25" applyNumberFormat="1" applyFont="1" applyAlignment="1">
      <alignment/>
    </xf>
    <xf numFmtId="5" fontId="0" fillId="0" borderId="0" xfId="23" applyNumberFormat="1" applyFont="1" applyProtection="1">
      <alignment/>
      <protection/>
    </xf>
    <xf numFmtId="173" fontId="0" fillId="0" borderId="0" xfId="23" applyNumberFormat="1" applyFont="1" applyProtection="1">
      <alignment/>
      <protection locked="0"/>
    </xf>
    <xf numFmtId="173" fontId="0" fillId="0" borderId="0" xfId="23" applyNumberFormat="1" applyFont="1" applyProtection="1">
      <alignment/>
      <protection/>
    </xf>
    <xf numFmtId="173" fontId="0" fillId="0" borderId="0" xfId="23" applyNumberFormat="1" applyFont="1" applyProtection="1">
      <alignment/>
      <protection/>
    </xf>
    <xf numFmtId="5" fontId="0" fillId="0" borderId="0" xfId="0" applyNumberFormat="1" applyFont="1" applyAlignment="1">
      <alignment/>
    </xf>
    <xf numFmtId="167" fontId="0" fillId="0" borderId="0" xfId="23" applyFont="1" applyProtection="1">
      <alignment/>
      <protection locked="0"/>
    </xf>
    <xf numFmtId="49" fontId="0" fillId="0" borderId="0" xfId="23" applyNumberFormat="1" applyFont="1" applyFill="1" applyAlignment="1">
      <alignment horizontal="left"/>
      <protection/>
    </xf>
    <xf numFmtId="37" fontId="0" fillId="0" borderId="0" xfId="23" applyNumberFormat="1" applyFont="1" applyProtection="1">
      <alignment/>
      <protection/>
    </xf>
    <xf numFmtId="10" fontId="0" fillId="0" borderId="0" xfId="25" applyNumberFormat="1" applyFont="1" applyFill="1" applyAlignment="1">
      <alignment/>
    </xf>
    <xf numFmtId="167" fontId="0" fillId="0" borderId="0" xfId="23" applyFont="1" quotePrefix="1">
      <alignment/>
      <protection/>
    </xf>
    <xf numFmtId="3" fontId="0" fillId="0" borderId="0" xfId="23" applyNumberFormat="1" applyFont="1" quotePrefix="1">
      <alignment/>
      <protection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7" fontId="0" fillId="0" borderId="0" xfId="23" applyFont="1" applyFill="1" applyAlignment="1">
      <alignment horizontal="right"/>
      <protection/>
    </xf>
    <xf numFmtId="168" fontId="0" fillId="0" borderId="0" xfId="25" applyNumberFormat="1" applyFont="1" applyFill="1" applyAlignment="1">
      <alignment/>
    </xf>
    <xf numFmtId="37" fontId="0" fillId="0" borderId="2" xfId="23" applyNumberFormat="1" applyFont="1" applyFill="1" applyBorder="1" applyProtection="1">
      <alignment/>
      <protection/>
    </xf>
    <xf numFmtId="167" fontId="0" fillId="0" borderId="1" xfId="23" applyFont="1" applyFill="1" applyBorder="1">
      <alignment/>
      <protection/>
    </xf>
    <xf numFmtId="37" fontId="0" fillId="0" borderId="0" xfId="23" applyNumberFormat="1" applyFont="1" applyFill="1" applyAlignment="1" applyProtection="1">
      <alignment/>
      <protection/>
    </xf>
    <xf numFmtId="7" fontId="0" fillId="0" borderId="1" xfId="23" applyNumberFormat="1" applyFont="1" applyFill="1" applyBorder="1" applyProtection="1">
      <alignment/>
      <protection locked="0"/>
    </xf>
    <xf numFmtId="37" fontId="0" fillId="2" borderId="0" xfId="23" applyNumberFormat="1" applyFont="1" applyFill="1" applyProtection="1">
      <alignment/>
      <protection/>
    </xf>
    <xf numFmtId="5" fontId="0" fillId="0" borderId="1" xfId="23" applyNumberFormat="1" applyFont="1" applyFill="1" applyBorder="1" applyProtection="1">
      <alignment/>
      <protection locked="0"/>
    </xf>
    <xf numFmtId="37" fontId="0" fillId="0" borderId="0" xfId="23" applyNumberFormat="1" applyFont="1" applyFill="1" applyProtection="1">
      <alignment/>
      <protection locked="0"/>
    </xf>
    <xf numFmtId="174" fontId="0" fillId="0" borderId="3" xfId="15" applyNumberFormat="1" applyFont="1" applyFill="1" applyBorder="1" applyAlignment="1">
      <alignment/>
    </xf>
    <xf numFmtId="167" fontId="0" fillId="0" borderId="0" xfId="23" applyFont="1" applyFill="1" applyBorder="1" applyAlignment="1">
      <alignment horizontal="left"/>
      <protection/>
    </xf>
    <xf numFmtId="167" fontId="0" fillId="0" borderId="0" xfId="23" applyFont="1" applyBorder="1">
      <alignment/>
      <protection/>
    </xf>
    <xf numFmtId="167" fontId="0" fillId="0" borderId="0" xfId="23" applyFont="1" applyBorder="1">
      <alignment/>
      <protection/>
    </xf>
    <xf numFmtId="3" fontId="0" fillId="0" borderId="0" xfId="23" applyNumberFormat="1" applyFont="1" applyBorder="1">
      <alignment/>
      <protection/>
    </xf>
    <xf numFmtId="167" fontId="0" fillId="0" borderId="0" xfId="23" applyFont="1" applyFill="1" applyAlignment="1" quotePrefix="1">
      <alignment horizontal="left"/>
      <protection/>
    </xf>
    <xf numFmtId="7" fontId="0" fillId="0" borderId="1" xfId="23" applyNumberFormat="1" applyFont="1" applyFill="1" applyBorder="1" applyProtection="1">
      <alignment/>
      <protection/>
    </xf>
    <xf numFmtId="37" fontId="0" fillId="0" borderId="0" xfId="0" applyNumberFormat="1" applyFont="1" applyAlignment="1">
      <alignment/>
    </xf>
    <xf numFmtId="175" fontId="0" fillId="0" borderId="0" xfId="23" applyNumberFormat="1" applyFont="1" applyFill="1" applyProtection="1">
      <alignment/>
      <protection/>
    </xf>
    <xf numFmtId="175" fontId="0" fillId="0" borderId="1" xfId="23" applyNumberFormat="1" applyFont="1" applyFill="1" applyBorder="1" applyProtection="1">
      <alignment/>
      <protection/>
    </xf>
    <xf numFmtId="0" fontId="0" fillId="0" borderId="0" xfId="0" applyFont="1" applyAlignment="1" quotePrefix="1">
      <alignment/>
    </xf>
    <xf numFmtId="180" fontId="0" fillId="0" borderId="0" xfId="23" applyNumberFormat="1" applyFont="1" applyFill="1">
      <alignment/>
      <protection/>
    </xf>
    <xf numFmtId="180" fontId="0" fillId="0" borderId="0" xfId="0" applyNumberFormat="1" applyFont="1" applyAlignment="1">
      <alignment/>
    </xf>
    <xf numFmtId="37" fontId="0" fillId="0" borderId="0" xfId="23" applyNumberFormat="1" applyFont="1" applyFill="1" applyBorder="1" applyProtection="1">
      <alignment/>
      <protection locked="0"/>
    </xf>
    <xf numFmtId="3" fontId="0" fillId="0" borderId="0" xfId="23" applyNumberFormat="1" applyFont="1" applyFill="1">
      <alignment/>
      <protection/>
    </xf>
    <xf numFmtId="9" fontId="0" fillId="0" borderId="0" xfId="25" applyFont="1" applyFill="1" applyAlignment="1">
      <alignment/>
    </xf>
    <xf numFmtId="167" fontId="0" fillId="0" borderId="0" xfId="23" applyFont="1" applyAlignment="1">
      <alignment horizontal="right"/>
      <protection/>
    </xf>
    <xf numFmtId="7" fontId="0" fillId="0" borderId="5" xfId="23" applyNumberFormat="1" applyFont="1" applyFill="1" applyBorder="1" applyProtection="1">
      <alignment/>
      <protection locked="0"/>
    </xf>
    <xf numFmtId="7" fontId="0" fillId="0" borderId="0" xfId="23" applyNumberFormat="1" applyFont="1" applyFill="1" applyBorder="1" applyProtection="1">
      <alignment/>
      <protection locked="0"/>
    </xf>
    <xf numFmtId="5" fontId="0" fillId="0" borderId="0" xfId="23" applyNumberFormat="1" applyFont="1" applyFill="1" applyBorder="1" applyProtection="1">
      <alignment/>
      <protection locked="0"/>
    </xf>
    <xf numFmtId="167" fontId="0" fillId="0" borderId="5" xfId="23" applyNumberFormat="1" applyFont="1" applyFill="1" applyBorder="1" applyProtection="1">
      <alignment/>
      <protection locked="0"/>
    </xf>
    <xf numFmtId="169" fontId="0" fillId="0" borderId="5" xfId="15" applyNumberFormat="1" applyFont="1" applyFill="1" applyBorder="1" applyAlignment="1" applyProtection="1">
      <alignment/>
      <protection locked="0"/>
    </xf>
    <xf numFmtId="169" fontId="0" fillId="0" borderId="0" xfId="15" applyNumberFormat="1" applyFont="1" applyFill="1" applyAlignment="1" applyProtection="1">
      <alignment/>
      <protection locked="0"/>
    </xf>
    <xf numFmtId="9" fontId="0" fillId="0" borderId="0" xfId="25" applyNumberFormat="1" applyFont="1" applyAlignment="1" applyProtection="1">
      <alignment/>
      <protection/>
    </xf>
    <xf numFmtId="176" fontId="0" fillId="0" borderId="0" xfId="23" applyNumberFormat="1" applyFont="1" applyFill="1" applyProtection="1">
      <alignment/>
      <protection locked="0"/>
    </xf>
    <xf numFmtId="176" fontId="0" fillId="0" borderId="0" xfId="23" applyNumberFormat="1" applyFont="1" applyFill="1" applyProtection="1">
      <alignment/>
      <protection/>
    </xf>
    <xf numFmtId="37" fontId="0" fillId="0" borderId="3" xfId="23" applyNumberFormat="1" applyFont="1" applyFill="1" applyBorder="1" applyProtection="1">
      <alignment/>
      <protection locked="0"/>
    </xf>
    <xf numFmtId="5" fontId="0" fillId="0" borderId="0" xfId="23" applyNumberFormat="1" applyFont="1" applyFill="1" applyProtection="1">
      <alignment/>
      <protection locked="0"/>
    </xf>
    <xf numFmtId="177" fontId="0" fillId="0" borderId="0" xfId="23" applyNumberFormat="1" applyFont="1" applyFill="1" applyProtection="1">
      <alignment/>
      <protection/>
    </xf>
    <xf numFmtId="178" fontId="0" fillId="0" borderId="0" xfId="23" applyNumberFormat="1" applyFont="1" applyFill="1" applyProtection="1">
      <alignment/>
      <protection/>
    </xf>
    <xf numFmtId="167" fontId="0" fillId="0" borderId="0" xfId="23" applyFont="1" applyFill="1" applyProtection="1">
      <alignment/>
      <protection locked="0"/>
    </xf>
    <xf numFmtId="179" fontId="0" fillId="0" borderId="0" xfId="23" applyNumberFormat="1" applyFont="1" applyFill="1" applyProtection="1">
      <alignment/>
      <protection/>
    </xf>
    <xf numFmtId="171" fontId="0" fillId="0" borderId="0" xfId="23" applyNumberFormat="1" applyFont="1" applyFill="1" applyBorder="1" applyProtection="1">
      <alignment/>
      <protection locked="0"/>
    </xf>
    <xf numFmtId="171" fontId="0" fillId="0" borderId="0" xfId="23" applyNumberFormat="1" applyFont="1" applyFill="1" applyBorder="1" applyProtection="1">
      <alignment/>
      <protection/>
    </xf>
    <xf numFmtId="165" fontId="0" fillId="0" borderId="0" xfId="15" applyNumberFormat="1" applyFont="1" applyFill="1" applyAlignment="1">
      <alignment/>
    </xf>
    <xf numFmtId="44" fontId="0" fillId="0" borderId="0" xfId="23" applyNumberFormat="1" applyFont="1" applyFill="1" applyProtection="1">
      <alignment/>
      <protection/>
    </xf>
    <xf numFmtId="165" fontId="0" fillId="0" borderId="5" xfId="15" applyNumberFormat="1" applyFont="1" applyFill="1" applyBorder="1" applyAlignment="1">
      <alignment/>
    </xf>
    <xf numFmtId="171" fontId="0" fillId="0" borderId="5" xfId="23" applyNumberFormat="1" applyFont="1" applyFill="1" applyBorder="1" applyProtection="1">
      <alignment/>
      <protection/>
    </xf>
    <xf numFmtId="165" fontId="0" fillId="0" borderId="4" xfId="15" applyNumberFormat="1" applyFont="1" applyFill="1" applyBorder="1" applyAlignment="1">
      <alignment/>
    </xf>
    <xf numFmtId="171" fontId="0" fillId="0" borderId="0" xfId="23" applyNumberFormat="1" applyFont="1" applyProtection="1">
      <alignment/>
      <protection/>
    </xf>
    <xf numFmtId="167" fontId="0" fillId="0" borderId="0" xfId="23" applyFont="1" applyFill="1" applyAlignment="1">
      <alignment horizontal="center"/>
      <protection/>
    </xf>
    <xf numFmtId="165" fontId="0" fillId="2" borderId="0" xfId="15" applyNumberFormat="1" applyFont="1" applyFill="1" applyAlignment="1">
      <alignment/>
    </xf>
    <xf numFmtId="167" fontId="0" fillId="0" borderId="5" xfId="23" applyFont="1" applyBorder="1">
      <alignment/>
      <protection/>
    </xf>
    <xf numFmtId="167" fontId="0" fillId="0" borderId="5" xfId="23" applyFont="1" applyFill="1" applyBorder="1">
      <alignment/>
      <protection/>
    </xf>
    <xf numFmtId="167" fontId="0" fillId="0" borderId="5" xfId="23" applyFont="1" applyFill="1" applyBorder="1" applyAlignment="1">
      <alignment horizontal="center"/>
      <protection/>
    </xf>
    <xf numFmtId="165" fontId="0" fillId="0" borderId="0" xfId="15" applyNumberFormat="1" applyFont="1" applyFill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eneral" xfId="20"/>
    <cellStyle name="Hyperlink" xfId="21"/>
    <cellStyle name="nONE" xfId="22"/>
    <cellStyle name="Normal_Blocking 09-00" xfId="23"/>
    <cellStyle name="Normal_Book4" xfId="24"/>
    <cellStyle name="Percent" xfId="25"/>
    <cellStyle name="TRANSMISSION RELIABILITY PORTION OF PROJEC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09653\My%20Documents\Oregon%20Rate%20Case\SB%201149\Rebuttal\MC%20OR%202001%20Rebut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N\PA&amp;D\CASES\Utah%2003\Testimony\Stipulated\Sample%20Sprea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lement"/>
      <sheetName val="Schedule 6 (8 Loads)"/>
      <sheetName val="Schedule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23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</v>
          </cell>
          <cell r="E15">
            <v>20466.656409999992</v>
          </cell>
          <cell r="F15">
            <v>13169.252369999998</v>
          </cell>
          <cell r="G15">
            <v>9.931611440000001</v>
          </cell>
          <cell r="H15">
            <v>9554.55</v>
          </cell>
          <cell r="I15">
            <v>10204.283743488439</v>
          </cell>
          <cell r="J15">
            <v>9791.869922132832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45403.32787000001</v>
          </cell>
          <cell r="E18">
            <v>44288.20015999998</v>
          </cell>
          <cell r="F18">
            <v>33509.593870000004</v>
          </cell>
          <cell r="G18">
            <v>11448.850963</v>
          </cell>
          <cell r="H18">
            <v>17999.157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133326.61135</v>
          </cell>
          <cell r="E21">
            <v>118190.50362</v>
          </cell>
          <cell r="F21">
            <v>80792.632</v>
          </cell>
          <cell r="G21">
            <v>17741.29023</v>
          </cell>
          <cell r="H21">
            <v>38187.253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</v>
          </cell>
          <cell r="E27">
            <v>14156.656409999992</v>
          </cell>
          <cell r="F27">
            <v>9109.252369999998</v>
          </cell>
          <cell r="G27">
            <v>6.931611440000001</v>
          </cell>
          <cell r="H27">
            <v>6608.549999999999</v>
          </cell>
          <cell r="I27">
            <v>7058.283743488439</v>
          </cell>
          <cell r="J27">
            <v>6772.869922132832</v>
          </cell>
          <cell r="K27">
            <v>7111.104775469861</v>
          </cell>
          <cell r="L27">
            <v>7313.43210686645</v>
          </cell>
          <cell r="M27">
            <v>104858.5298493976</v>
          </cell>
        </row>
        <row r="28">
          <cell r="A28">
            <v>14</v>
          </cell>
          <cell r="B28" t="str">
            <v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</v>
          </cell>
          <cell r="D30">
            <v>60076.32787000001</v>
          </cell>
          <cell r="E30">
            <v>50598.20015999998</v>
          </cell>
          <cell r="F30">
            <v>37569.593870000004</v>
          </cell>
          <cell r="G30">
            <v>11451.850963</v>
          </cell>
          <cell r="H30">
            <v>20945.157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0.7854288840173103</v>
          </cell>
          <cell r="D33">
            <v>0.8397081444620376</v>
          </cell>
          <cell r="E33">
            <v>0.8518534617107997</v>
          </cell>
          <cell r="F33">
            <v>0.9088466851777635</v>
          </cell>
          <cell r="G33">
            <v>0.931982887218074</v>
          </cell>
          <cell r="H33">
            <v>0.9439931717642331</v>
          </cell>
          <cell r="I33">
            <v>0.9709977692839937</v>
          </cell>
          <cell r="J33">
            <v>0.9791396583507029</v>
          </cell>
          <cell r="K33">
            <v>0.9587174193326287</v>
          </cell>
          <cell r="L33">
            <v>0.9762888543201345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>   Lines 1 - 7</v>
          </cell>
          <cell r="B45" t="str">
            <v>Actual &amp; Forecast Demand Related Investments</v>
          </cell>
        </row>
        <row r="46">
          <cell r="A46" t="str">
            <v>   Line   10</v>
          </cell>
          <cell r="B46" t="str">
            <v>Demand Portion of Transmission  = 8.33 / (8.33+18.69) =</v>
          </cell>
          <cell r="D46">
            <v>0.3083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X10"/>
      <sheetName val="1X1, 10"/>
      <sheetName val="Spre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AY1313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.625" defaultRowHeight="15.75"/>
  <cols>
    <col min="1" max="1" width="6.625" style="55" customWidth="1"/>
    <col min="2" max="2" width="14.625" style="58" customWidth="1"/>
    <col min="3" max="3" width="2.625" style="58" customWidth="1"/>
    <col min="4" max="4" width="14.875" style="58" customWidth="1"/>
    <col min="5" max="5" width="17.75390625" style="58" customWidth="1"/>
    <col min="6" max="6" width="1.00390625" style="58" customWidth="1"/>
    <col min="7" max="7" width="16.625" style="58" customWidth="1"/>
    <col min="8" max="8" width="1.00390625" style="58" customWidth="1"/>
    <col min="9" max="9" width="18.00390625" style="58" customWidth="1"/>
    <col min="10" max="10" width="9.875" style="58" customWidth="1"/>
    <col min="11" max="11" width="16.75390625" style="58" customWidth="1"/>
    <col min="12" max="12" width="1.00390625" style="58" customWidth="1"/>
    <col min="13" max="13" width="19.25390625" style="58" customWidth="1"/>
    <col min="14" max="14" width="1.00390625" style="58" customWidth="1"/>
    <col min="15" max="15" width="17.00390625" style="58" customWidth="1"/>
    <col min="16" max="16" width="12.875" style="58" customWidth="1"/>
    <col min="17" max="17" width="16.75390625" style="58" customWidth="1"/>
    <col min="18" max="18" width="15.50390625" style="58" customWidth="1"/>
    <col min="19" max="19" width="12.75390625" style="55" customWidth="1"/>
    <col min="20" max="20" width="16.75390625" style="55" customWidth="1"/>
    <col min="21" max="21" width="18.125" style="55" customWidth="1"/>
    <col min="22" max="22" width="13.25390625" style="55" customWidth="1"/>
    <col min="23" max="23" width="12.50390625" style="55" customWidth="1"/>
    <col min="24" max="24" width="14.00390625" style="55" customWidth="1"/>
    <col min="25" max="25" width="12.75390625" style="55" customWidth="1"/>
    <col min="26" max="26" width="9.625" style="55" bestFit="1" customWidth="1"/>
    <col min="27" max="27" width="11.50390625" style="55" customWidth="1"/>
    <col min="28" max="28" width="8.125" style="55" bestFit="1" customWidth="1"/>
    <col min="29" max="29" width="12.75390625" style="55" customWidth="1"/>
    <col min="30" max="30" width="11.625" style="55" bestFit="1" customWidth="1"/>
    <col min="31" max="31" width="12.50390625" style="55" customWidth="1"/>
    <col min="32" max="32" width="11.375" style="55" customWidth="1"/>
    <col min="33" max="33" width="11.875" style="55" customWidth="1"/>
    <col min="34" max="34" width="12.75390625" style="55" customWidth="1"/>
    <col min="35" max="35" width="13.875" style="55" customWidth="1"/>
    <col min="36" max="36" width="9.125" style="55" customWidth="1"/>
    <col min="37" max="37" width="12.75390625" style="55" customWidth="1"/>
    <col min="38" max="38" width="8.75390625" style="55" customWidth="1"/>
    <col min="39" max="40" width="1.625" style="55" customWidth="1"/>
    <col min="41" max="41" width="8.75390625" style="56" customWidth="1"/>
    <col min="42" max="42" width="9.125" style="56" customWidth="1"/>
    <col min="43" max="43" width="13.25390625" style="56" customWidth="1"/>
    <col min="44" max="44" width="7.75390625" style="56" customWidth="1"/>
    <col min="45" max="45" width="11.25390625" style="56" customWidth="1"/>
    <col min="46" max="46" width="1.00390625" style="58" customWidth="1"/>
    <col min="47" max="47" width="17.50390625" style="58" customWidth="1"/>
    <col min="48" max="48" width="10.375" style="58" customWidth="1"/>
    <col min="49" max="49" width="16.75390625" style="58" customWidth="1"/>
    <col min="50" max="50" width="6.00390625" style="58" bestFit="1" customWidth="1"/>
    <col min="51" max="51" width="8.00390625" style="58" bestFit="1" customWidth="1"/>
    <col min="52" max="57" width="6.75390625" style="55" bestFit="1" customWidth="1"/>
    <col min="58" max="16384" width="1.625" style="55" customWidth="1"/>
  </cols>
  <sheetData>
    <row r="1" spans="1:51" s="21" customFormat="1" ht="15.75">
      <c r="A1" s="52">
        <v>1</v>
      </c>
      <c r="B1" s="18"/>
      <c r="C1" s="14"/>
      <c r="D1" s="14"/>
      <c r="E1" s="29"/>
      <c r="F1" s="14"/>
      <c r="G1" s="29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AO1" s="48"/>
      <c r="AP1" s="48"/>
      <c r="AQ1" s="48"/>
      <c r="AR1" s="48"/>
      <c r="AS1" s="48"/>
      <c r="AT1" s="14"/>
      <c r="AU1" s="14"/>
      <c r="AV1" s="14"/>
      <c r="AW1" s="14"/>
      <c r="AX1" s="14"/>
      <c r="AY1" s="14"/>
    </row>
    <row r="2" spans="1:51" s="21" customFormat="1" ht="15.75">
      <c r="A2" s="52">
        <f aca="true" t="shared" si="0" ref="A2:A33">A1+1</f>
        <v>2</v>
      </c>
      <c r="B2" s="14"/>
      <c r="C2" s="14"/>
      <c r="D2" s="14"/>
      <c r="E2" s="29"/>
      <c r="F2" s="14"/>
      <c r="G2" s="29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AO2" s="48"/>
      <c r="AP2" s="48"/>
      <c r="AQ2" s="48"/>
      <c r="AR2" s="48"/>
      <c r="AS2" s="48"/>
      <c r="AT2" s="14"/>
      <c r="AU2" s="14"/>
      <c r="AV2" s="14"/>
      <c r="AW2" s="14"/>
      <c r="AX2" s="14"/>
      <c r="AY2" s="14"/>
    </row>
    <row r="3" spans="1:51" ht="18.75">
      <c r="A3" s="52">
        <f t="shared" si="0"/>
        <v>3</v>
      </c>
      <c r="B3" s="1" t="s">
        <v>19</v>
      </c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53"/>
      <c r="S3" s="54"/>
      <c r="T3" s="54"/>
      <c r="U3" s="54"/>
      <c r="V3" s="54"/>
      <c r="AT3" s="1"/>
      <c r="AU3" s="1"/>
      <c r="AV3" s="1"/>
      <c r="AW3" s="1"/>
      <c r="AX3" s="2"/>
      <c r="AY3" s="2"/>
    </row>
    <row r="4" spans="1:51" ht="15.75">
      <c r="A4" s="57">
        <f t="shared" si="0"/>
        <v>4</v>
      </c>
      <c r="B4" s="3" t="s">
        <v>20</v>
      </c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53"/>
      <c r="S4" s="54"/>
      <c r="T4" s="54"/>
      <c r="U4" s="54"/>
      <c r="V4" s="54"/>
      <c r="AT4" s="3"/>
      <c r="AU4" s="3"/>
      <c r="AV4" s="3"/>
      <c r="AW4" s="3"/>
      <c r="AX4" s="4"/>
      <c r="AY4" s="4"/>
    </row>
    <row r="5" spans="1:51" ht="15.75">
      <c r="A5" s="57">
        <f t="shared" si="0"/>
        <v>5</v>
      </c>
      <c r="B5" s="5" t="s">
        <v>21</v>
      </c>
      <c r="C5" s="5"/>
      <c r="D5" s="5"/>
      <c r="E5" s="5"/>
      <c r="F5" s="5"/>
      <c r="G5" s="5"/>
      <c r="H5" s="5"/>
      <c r="I5" s="5"/>
      <c r="J5" s="5"/>
      <c r="K5" s="5"/>
      <c r="L5" s="4"/>
      <c r="M5" s="4"/>
      <c r="N5" s="4"/>
      <c r="O5" s="4"/>
      <c r="P5" s="4"/>
      <c r="Q5" s="4"/>
      <c r="R5" s="53"/>
      <c r="S5" s="54"/>
      <c r="T5" s="54"/>
      <c r="U5" s="54"/>
      <c r="V5" s="54"/>
      <c r="AT5" s="5"/>
      <c r="AU5" s="5"/>
      <c r="AV5" s="5"/>
      <c r="AW5" s="5"/>
      <c r="AX5" s="4"/>
      <c r="AY5" s="4"/>
    </row>
    <row r="6" spans="1:51" ht="15.75">
      <c r="A6" s="57">
        <f t="shared" si="0"/>
        <v>6</v>
      </c>
      <c r="B6" s="3" t="s">
        <v>22</v>
      </c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53"/>
      <c r="S6" s="54"/>
      <c r="T6" s="54"/>
      <c r="U6" s="54"/>
      <c r="V6" s="54"/>
      <c r="AT6" s="3"/>
      <c r="AU6" s="3"/>
      <c r="AV6" s="3"/>
      <c r="AW6" s="3"/>
      <c r="AX6" s="4"/>
      <c r="AY6" s="4"/>
    </row>
    <row r="7" spans="1:7" ht="15.75">
      <c r="A7" s="57">
        <f t="shared" si="0"/>
        <v>7</v>
      </c>
      <c r="E7" s="59"/>
      <c r="G7" s="59"/>
    </row>
    <row r="8" spans="1:51" ht="15.75">
      <c r="A8" s="57">
        <f t="shared" si="0"/>
        <v>8</v>
      </c>
      <c r="E8" s="6"/>
      <c r="G8" s="6"/>
      <c r="I8" s="4" t="s">
        <v>23</v>
      </c>
      <c r="J8" s="4" t="s">
        <v>23</v>
      </c>
      <c r="K8" s="4" t="s">
        <v>23</v>
      </c>
      <c r="M8" s="4" t="s">
        <v>23</v>
      </c>
      <c r="O8" s="4" t="s">
        <v>24</v>
      </c>
      <c r="P8" s="4" t="s">
        <v>24</v>
      </c>
      <c r="Q8" s="4" t="s">
        <v>24</v>
      </c>
      <c r="AG8" s="60"/>
      <c r="AH8" s="60"/>
      <c r="AU8" s="4" t="s">
        <v>25</v>
      </c>
      <c r="AV8" s="4" t="s">
        <v>25</v>
      </c>
      <c r="AW8" s="4" t="s">
        <v>25</v>
      </c>
      <c r="AX8" s="4"/>
      <c r="AY8" s="4"/>
    </row>
    <row r="9" spans="1:51" ht="15.75">
      <c r="A9" s="57">
        <f t="shared" si="0"/>
        <v>9</v>
      </c>
      <c r="E9" s="7" t="s">
        <v>26</v>
      </c>
      <c r="G9" s="6"/>
      <c r="I9" s="4" t="s">
        <v>2</v>
      </c>
      <c r="J9" s="4" t="s">
        <v>2</v>
      </c>
      <c r="K9" s="4" t="s">
        <v>2</v>
      </c>
      <c r="M9" s="4" t="s">
        <v>27</v>
      </c>
      <c r="O9" s="4" t="s">
        <v>0</v>
      </c>
      <c r="P9" s="4" t="s">
        <v>0</v>
      </c>
      <c r="Q9" s="4" t="s">
        <v>0</v>
      </c>
      <c r="AG9" s="60"/>
      <c r="AH9" s="60"/>
      <c r="AU9" s="4" t="s">
        <v>5</v>
      </c>
      <c r="AV9" s="4" t="s">
        <v>5</v>
      </c>
      <c r="AW9" s="4" t="s">
        <v>5</v>
      </c>
      <c r="AX9" s="4"/>
      <c r="AY9" s="4"/>
    </row>
    <row r="10" spans="1:51" ht="15.75">
      <c r="A10" s="57">
        <f t="shared" si="0"/>
        <v>10</v>
      </c>
      <c r="E10" s="7" t="s">
        <v>5</v>
      </c>
      <c r="G10" s="7" t="s">
        <v>27</v>
      </c>
      <c r="I10" s="4" t="s">
        <v>28</v>
      </c>
      <c r="J10" s="4" t="s">
        <v>28</v>
      </c>
      <c r="K10" s="4" t="s">
        <v>17</v>
      </c>
      <c r="M10" s="4" t="s">
        <v>17</v>
      </c>
      <c r="O10" s="4" t="s">
        <v>28</v>
      </c>
      <c r="P10" s="4" t="s">
        <v>28</v>
      </c>
      <c r="Q10" s="4" t="s">
        <v>17</v>
      </c>
      <c r="R10" s="58" t="s">
        <v>29</v>
      </c>
      <c r="S10" s="58" t="s">
        <v>29</v>
      </c>
      <c r="AG10" s="60"/>
      <c r="AH10" s="60"/>
      <c r="AU10" s="4" t="s">
        <v>28</v>
      </c>
      <c r="AV10" s="4" t="s">
        <v>28</v>
      </c>
      <c r="AW10" s="4" t="s">
        <v>17</v>
      </c>
      <c r="AX10" s="4"/>
      <c r="AY10" s="4"/>
    </row>
    <row r="11" spans="1:51" ht="15.75">
      <c r="A11" s="57">
        <f t="shared" si="0"/>
        <v>11</v>
      </c>
      <c r="E11" s="8" t="s">
        <v>30</v>
      </c>
      <c r="G11" s="8" t="s">
        <v>30</v>
      </c>
      <c r="I11" s="9" t="s">
        <v>31</v>
      </c>
      <c r="J11" s="9" t="s">
        <v>32</v>
      </c>
      <c r="K11" s="9" t="s">
        <v>31</v>
      </c>
      <c r="M11" s="9" t="s">
        <v>31</v>
      </c>
      <c r="O11" s="9" t="s">
        <v>31</v>
      </c>
      <c r="P11" s="9" t="s">
        <v>32</v>
      </c>
      <c r="Q11" s="9" t="s">
        <v>31</v>
      </c>
      <c r="R11" s="58" t="s">
        <v>31</v>
      </c>
      <c r="S11" s="58" t="s">
        <v>32</v>
      </c>
      <c r="T11" s="55" t="s">
        <v>33</v>
      </c>
      <c r="U11" s="55" t="s">
        <v>34</v>
      </c>
      <c r="V11" s="55" t="s">
        <v>30</v>
      </c>
      <c r="AG11" s="60"/>
      <c r="AH11" s="60"/>
      <c r="AU11" s="9" t="s">
        <v>31</v>
      </c>
      <c r="AV11" s="9" t="s">
        <v>32</v>
      </c>
      <c r="AW11" s="9" t="s">
        <v>31</v>
      </c>
      <c r="AX11" s="10"/>
      <c r="AY11" s="10"/>
    </row>
    <row r="12" spans="1:51" ht="15.75">
      <c r="A12" s="57">
        <f t="shared" si="0"/>
        <v>12</v>
      </c>
      <c r="E12" s="11" t="s">
        <v>35</v>
      </c>
      <c r="G12" s="11" t="s">
        <v>36</v>
      </c>
      <c r="I12" s="12" t="s">
        <v>37</v>
      </c>
      <c r="J12" s="61"/>
      <c r="K12" s="61"/>
      <c r="M12" s="11" t="s">
        <v>36</v>
      </c>
      <c r="O12" s="62"/>
      <c r="P12" s="62"/>
      <c r="Q12" s="62"/>
      <c r="AG12" s="60"/>
      <c r="AH12" s="60"/>
      <c r="AT12" s="63"/>
      <c r="AU12" s="13" t="s">
        <v>38</v>
      </c>
      <c r="AV12" s="13"/>
      <c r="AW12" s="13"/>
      <c r="AX12" s="63" t="s">
        <v>39</v>
      </c>
      <c r="AY12" s="63" t="s">
        <v>16</v>
      </c>
    </row>
    <row r="13" spans="1:51" ht="15.75">
      <c r="A13" s="57">
        <f t="shared" si="0"/>
        <v>13</v>
      </c>
      <c r="B13" s="64" t="s">
        <v>40</v>
      </c>
      <c r="E13" s="59"/>
      <c r="G13" s="59"/>
      <c r="AG13" s="60"/>
      <c r="AH13" s="60"/>
      <c r="AV13" s="65"/>
      <c r="AX13" s="58" t="s">
        <v>41</v>
      </c>
      <c r="AY13" s="58">
        <v>1</v>
      </c>
    </row>
    <row r="14" spans="1:51" ht="15.75">
      <c r="A14" s="57">
        <f t="shared" si="0"/>
        <v>14</v>
      </c>
      <c r="B14" s="64" t="s">
        <v>42</v>
      </c>
      <c r="E14" s="59"/>
      <c r="G14" s="59"/>
      <c r="S14" s="66"/>
      <c r="AG14" s="60"/>
      <c r="AH14" s="60"/>
      <c r="AX14" s="58" t="s">
        <v>41</v>
      </c>
      <c r="AY14" s="58">
        <v>1</v>
      </c>
    </row>
    <row r="15" spans="1:51" ht="15.75">
      <c r="A15" s="57">
        <f t="shared" si="0"/>
        <v>15</v>
      </c>
      <c r="B15" s="67" t="s">
        <v>43</v>
      </c>
      <c r="E15" s="59"/>
      <c r="G15" s="59"/>
      <c r="S15" s="68"/>
      <c r="AG15" s="60"/>
      <c r="AH15" s="60"/>
      <c r="AX15" s="58" t="s">
        <v>41</v>
      </c>
      <c r="AY15" s="58">
        <v>1</v>
      </c>
    </row>
    <row r="16" spans="1:51" ht="15.75">
      <c r="A16" s="57">
        <f t="shared" si="0"/>
        <v>16</v>
      </c>
      <c r="B16" s="67"/>
      <c r="E16" s="59"/>
      <c r="G16" s="59"/>
      <c r="S16" s="68"/>
      <c r="AG16" s="60"/>
      <c r="AH16" s="60"/>
      <c r="AX16" s="58" t="s">
        <v>41</v>
      </c>
      <c r="AY16" s="58">
        <v>1</v>
      </c>
    </row>
    <row r="17" spans="1:51" ht="15.75">
      <c r="A17" s="57">
        <f t="shared" si="0"/>
        <v>17</v>
      </c>
      <c r="B17" s="64" t="s">
        <v>44</v>
      </c>
      <c r="E17" s="59">
        <f>40+3628286+605+1+1+3534528-4-90383-423-62-1-1-88797-436+45-15-(374+361-4-4)</f>
        <v>6982657</v>
      </c>
      <c r="G17" s="15">
        <v>7538991.991307423</v>
      </c>
      <c r="I17" s="69">
        <v>0.98</v>
      </c>
      <c r="J17" s="16"/>
      <c r="K17" s="66">
        <f>ROUND(I17*$E17,0)</f>
        <v>6843004</v>
      </c>
      <c r="M17" s="66">
        <f>ROUND(I17*$G17,0)</f>
        <v>7388212</v>
      </c>
      <c r="O17" s="69">
        <v>0.98</v>
      </c>
      <c r="P17" s="16"/>
      <c r="Q17" s="66">
        <f>ROUND(O17*$G17,0)</f>
        <v>7388212</v>
      </c>
      <c r="S17" s="68">
        <f>ROUND(U17*100/V17,3)</f>
        <v>0</v>
      </c>
      <c r="T17" s="70">
        <v>1</v>
      </c>
      <c r="U17" s="66">
        <f>T17*S$33</f>
        <v>-2330.6529682278633</v>
      </c>
      <c r="V17" s="17">
        <f>T17*SUM(G17,G20,G39,G42,G61,G64)</f>
        <v>614824318.2693573</v>
      </c>
      <c r="AG17" s="60"/>
      <c r="AH17" s="60"/>
      <c r="AU17" s="69">
        <v>0.98</v>
      </c>
      <c r="AV17" s="16"/>
      <c r="AW17" s="66">
        <f>ROUND(AU17*$E17,0)</f>
        <v>6843004</v>
      </c>
      <c r="AX17" s="66" t="s">
        <v>41</v>
      </c>
      <c r="AY17" s="58">
        <v>1</v>
      </c>
    </row>
    <row r="18" spans="1:51" ht="15.75">
      <c r="A18" s="57">
        <f t="shared" si="0"/>
        <v>18</v>
      </c>
      <c r="B18" s="64" t="s">
        <v>45</v>
      </c>
      <c r="E18" s="71">
        <f>3437+118928580+123829+938009939-3-109004-554-771639+2553-65-(97196+12764-1-38)</f>
        <v>1056077152</v>
      </c>
      <c r="G18" s="15">
        <v>1186676946.473317</v>
      </c>
      <c r="I18" s="19"/>
      <c r="J18" s="72">
        <v>6.663</v>
      </c>
      <c r="K18" s="66">
        <f>ROUND(J18*$E18/100,0)</f>
        <v>70366421</v>
      </c>
      <c r="M18" s="66">
        <f aca="true" t="shared" si="1" ref="M18:M25">ROUND(J18*$G18/100,0)</f>
        <v>79068285</v>
      </c>
      <c r="O18" s="19"/>
      <c r="P18" s="72">
        <v>6.936</v>
      </c>
      <c r="Q18" s="66">
        <f>ROUND(P18*$G18/100,0)</f>
        <v>82307913</v>
      </c>
      <c r="S18" s="68">
        <f>ROUND($S$33/$G$31*100,3)</f>
        <v>0</v>
      </c>
      <c r="T18" s="70"/>
      <c r="U18" s="66"/>
      <c r="V18" s="17"/>
      <c r="AG18" s="60"/>
      <c r="AH18" s="60"/>
      <c r="AU18" s="19"/>
      <c r="AV18" s="73">
        <v>6.3029</v>
      </c>
      <c r="AW18" s="66">
        <f>ROUND(AV18*$E18/100,0)</f>
        <v>66563487</v>
      </c>
      <c r="AX18" s="66" t="s">
        <v>41</v>
      </c>
      <c r="AY18" s="58">
        <v>1</v>
      </c>
    </row>
    <row r="19" spans="1:51" ht="15.75">
      <c r="A19" s="57">
        <f t="shared" si="0"/>
        <v>19</v>
      </c>
      <c r="B19" s="64" t="s">
        <v>46</v>
      </c>
      <c r="E19" s="71">
        <f>1760+71250833+75740+789105761+2957-(48911+5183)</f>
        <v>860382957</v>
      </c>
      <c r="G19" s="15">
        <v>995096990.3259184</v>
      </c>
      <c r="I19" s="19"/>
      <c r="J19" s="72">
        <v>7.6</v>
      </c>
      <c r="K19" s="66">
        <f>ROUND(J19*$E19/100,0)</f>
        <v>65389105</v>
      </c>
      <c r="M19" s="66">
        <f t="shared" si="1"/>
        <v>75627371</v>
      </c>
      <c r="O19" s="19"/>
      <c r="P19" s="72">
        <v>7.872</v>
      </c>
      <c r="Q19" s="66">
        <f>ROUND(P19*$G19/100,0)</f>
        <v>78334035</v>
      </c>
      <c r="S19" s="68">
        <f>ROUND($S$33/$G$31*100,3)</f>
        <v>0</v>
      </c>
      <c r="T19" s="70"/>
      <c r="U19" s="74"/>
      <c r="V19" s="17"/>
      <c r="AG19" s="60"/>
      <c r="AH19" s="60"/>
      <c r="AU19" s="19"/>
      <c r="AV19" s="73">
        <v>7.0866</v>
      </c>
      <c r="AW19" s="66">
        <f>ROUND(AV19*$E19/100,0)</f>
        <v>60971899</v>
      </c>
      <c r="AX19" s="66" t="s">
        <v>41</v>
      </c>
      <c r="AY19" s="58">
        <v>1</v>
      </c>
    </row>
    <row r="20" spans="1:51" ht="15.75">
      <c r="A20" s="57">
        <f t="shared" si="0"/>
        <v>20</v>
      </c>
      <c r="B20" s="64" t="s">
        <v>47</v>
      </c>
      <c r="E20" s="71">
        <f>234617+500922096+1434+19369663+1385-(18076-12764-5183)-(175976-97196-48911)</f>
        <v>520499197</v>
      </c>
      <c r="G20" s="15">
        <v>601996082.7457988</v>
      </c>
      <c r="I20" s="19"/>
      <c r="J20" s="72">
        <v>9</v>
      </c>
      <c r="K20" s="66">
        <f>ROUND(J20*$E20/100,0)</f>
        <v>46844928</v>
      </c>
      <c r="M20" s="66">
        <f t="shared" si="1"/>
        <v>54179647</v>
      </c>
      <c r="O20" s="19"/>
      <c r="P20" s="72">
        <v>9.272</v>
      </c>
      <c r="Q20" s="66">
        <f>ROUND(P20*$G20/100,0)</f>
        <v>55817077</v>
      </c>
      <c r="S20" s="68">
        <f>ROUND($S$33/$G$31*100,3)</f>
        <v>0</v>
      </c>
      <c r="T20" s="60"/>
      <c r="U20" s="60"/>
      <c r="V20" s="60"/>
      <c r="AG20" s="60"/>
      <c r="AH20" s="60"/>
      <c r="AU20" s="19"/>
      <c r="AV20" s="73">
        <v>7.0866</v>
      </c>
      <c r="AW20" s="66">
        <f>ROUND(AV20*$E20/100,0)</f>
        <v>36885696</v>
      </c>
      <c r="AX20" s="66" t="s">
        <v>41</v>
      </c>
      <c r="AY20" s="58">
        <v>1</v>
      </c>
    </row>
    <row r="21" spans="1:51" ht="15.75">
      <c r="A21" s="57">
        <f t="shared" si="0"/>
        <v>21</v>
      </c>
      <c r="B21" s="64" t="s">
        <v>48</v>
      </c>
      <c r="E21" s="71">
        <f>17258+2410489551+190926+543105689-4-914953-32-304353+18905-20-226762-44075</f>
        <v>2952332130</v>
      </c>
      <c r="G21" s="15">
        <f>G31-SUM(G18:G20)-G29</f>
        <v>3217828778.3630476</v>
      </c>
      <c r="I21" s="19"/>
      <c r="J21" s="20">
        <f>J18</f>
        <v>6.663</v>
      </c>
      <c r="K21" s="66">
        <f>ROUND(J21*$E21/100,0)</f>
        <v>196713890</v>
      </c>
      <c r="M21" s="66">
        <f t="shared" si="1"/>
        <v>214403932</v>
      </c>
      <c r="O21" s="19"/>
      <c r="P21" s="20">
        <f>((P18)+0)+0</f>
        <v>6.936</v>
      </c>
      <c r="Q21" s="66">
        <f>ROUND(P21*$G21/100,0)</f>
        <v>223188604</v>
      </c>
      <c r="S21" s="60"/>
      <c r="U21" s="66"/>
      <c r="AG21" s="60"/>
      <c r="AH21" s="60"/>
      <c r="AU21" s="19"/>
      <c r="AV21" s="20">
        <f>AV$18</f>
        <v>6.3029</v>
      </c>
      <c r="AW21" s="66">
        <f>ROUND(AV21*$E21/100,0)</f>
        <v>186082542</v>
      </c>
      <c r="AX21" s="66" t="s">
        <v>41</v>
      </c>
      <c r="AY21" s="58">
        <v>1</v>
      </c>
    </row>
    <row r="22" spans="1:51" ht="15.75">
      <c r="A22" s="57">
        <f t="shared" si="0"/>
        <v>22</v>
      </c>
      <c r="B22" s="64" t="s">
        <v>49</v>
      </c>
      <c r="E22" s="17">
        <v>-14447307.350062087</v>
      </c>
      <c r="G22" s="15"/>
      <c r="I22" s="19"/>
      <c r="J22" s="20">
        <f>K22/E22*100</f>
        <v>6.66300000875847</v>
      </c>
      <c r="K22" s="66">
        <v>-962624.09</v>
      </c>
      <c r="M22" s="66">
        <f t="shared" si="1"/>
        <v>0</v>
      </c>
      <c r="O22" s="19"/>
      <c r="P22" s="20"/>
      <c r="Q22" s="66">
        <f>M22</f>
        <v>0</v>
      </c>
      <c r="S22" s="68"/>
      <c r="AG22" s="60"/>
      <c r="AH22" s="60"/>
      <c r="AU22" s="19"/>
      <c r="AV22" s="20">
        <f>AW22/E22*100</f>
        <v>6.302899965619453</v>
      </c>
      <c r="AW22" s="66">
        <v>-910599.33</v>
      </c>
      <c r="AX22" s="66" t="s">
        <v>41</v>
      </c>
      <c r="AY22" s="58">
        <v>1</v>
      </c>
    </row>
    <row r="23" spans="1:51" ht="15.75">
      <c r="A23" s="57">
        <f t="shared" si="0"/>
        <v>23</v>
      </c>
      <c r="B23" s="64" t="s">
        <v>50</v>
      </c>
      <c r="E23" s="17">
        <v>-11770178.90690457</v>
      </c>
      <c r="G23" s="15"/>
      <c r="I23" s="19"/>
      <c r="J23" s="20">
        <f>K23/E23*100</f>
        <v>7.600000026127493</v>
      </c>
      <c r="K23" s="66">
        <v>-894533.6</v>
      </c>
      <c r="M23" s="66">
        <f t="shared" si="1"/>
        <v>0</v>
      </c>
      <c r="O23" s="19"/>
      <c r="P23" s="20"/>
      <c r="Q23" s="66">
        <f>M23</f>
        <v>0</v>
      </c>
      <c r="S23" s="68"/>
      <c r="AG23" s="60"/>
      <c r="AH23" s="60"/>
      <c r="AU23" s="19"/>
      <c r="AV23" s="20">
        <f>AW23/E23*100</f>
        <v>7.086600013451798</v>
      </c>
      <c r="AW23" s="66">
        <v>-834105.5</v>
      </c>
      <c r="AX23" s="66" t="s">
        <v>41</v>
      </c>
      <c r="AY23" s="58">
        <v>1</v>
      </c>
    </row>
    <row r="24" spans="1:51" ht="15.75">
      <c r="A24" s="57">
        <f t="shared" si="0"/>
        <v>24</v>
      </c>
      <c r="B24" s="64" t="s">
        <v>51</v>
      </c>
      <c r="E24" s="17">
        <v>-7120513.743033343</v>
      </c>
      <c r="G24" s="15"/>
      <c r="I24" s="19"/>
      <c r="J24" s="20">
        <f>K24/E24*100</f>
        <v>9.000000043915358</v>
      </c>
      <c r="K24" s="66">
        <v>-640846.24</v>
      </c>
      <c r="M24" s="66">
        <f t="shared" si="1"/>
        <v>0</v>
      </c>
      <c r="O24" s="19"/>
      <c r="P24" s="20"/>
      <c r="Q24" s="66">
        <f>M24</f>
        <v>0</v>
      </c>
      <c r="S24" s="68"/>
      <c r="AG24" s="60"/>
      <c r="AH24" s="60"/>
      <c r="AU24" s="19"/>
      <c r="AV24" s="20">
        <f>AW24/E24*100</f>
        <v>7.086600043342366</v>
      </c>
      <c r="AW24" s="66">
        <v>-504602.33</v>
      </c>
      <c r="AX24" s="66" t="s">
        <v>41</v>
      </c>
      <c r="AY24" s="58">
        <v>1</v>
      </c>
    </row>
    <row r="25" spans="1:51" ht="15.75">
      <c r="A25" s="57">
        <f t="shared" si="0"/>
        <v>25</v>
      </c>
      <c r="B25" s="64" t="s">
        <v>52</v>
      </c>
      <c r="E25" s="17">
        <v>-69660000</v>
      </c>
      <c r="G25" s="15"/>
      <c r="I25" s="19"/>
      <c r="J25" s="20">
        <f>K25/E25*100</f>
        <v>6.662999999999999</v>
      </c>
      <c r="K25" s="66">
        <v>-4641445.8</v>
      </c>
      <c r="M25" s="66">
        <f t="shared" si="1"/>
        <v>0</v>
      </c>
      <c r="O25" s="19"/>
      <c r="P25" s="20"/>
      <c r="Q25" s="66">
        <f>M25</f>
        <v>0</v>
      </c>
      <c r="S25" s="68"/>
      <c r="AG25" s="60"/>
      <c r="AH25" s="60"/>
      <c r="AU25" s="19"/>
      <c r="AV25" s="20">
        <f>AW25/E25*100</f>
        <v>6.3029</v>
      </c>
      <c r="AW25" s="66">
        <v>-4390600.14</v>
      </c>
      <c r="AX25" s="66" t="s">
        <v>41</v>
      </c>
      <c r="AY25" s="58">
        <v>1</v>
      </c>
    </row>
    <row r="26" spans="1:51" ht="15.75">
      <c r="A26" s="57">
        <f t="shared" si="0"/>
        <v>26</v>
      </c>
      <c r="B26" s="64" t="s">
        <v>53</v>
      </c>
      <c r="E26" s="59">
        <f>4+90383+62+1+1+88797+15</f>
        <v>179263</v>
      </c>
      <c r="G26" s="15">
        <v>193545.568876968</v>
      </c>
      <c r="I26" s="69">
        <v>3.54</v>
      </c>
      <c r="J26" s="16"/>
      <c r="K26" s="66">
        <f>ROUND(I26*$E26,0)</f>
        <v>634591</v>
      </c>
      <c r="M26" s="66">
        <f>ROUND(I26*$G26,0)</f>
        <v>685151</v>
      </c>
      <c r="O26" s="69">
        <v>3.67</v>
      </c>
      <c r="P26" s="16"/>
      <c r="Q26" s="66">
        <f>ROUND(O26*$G26,0)</f>
        <v>710312</v>
      </c>
      <c r="R26" s="69">
        <f>ROUND(O26*$S$33/$S$31,2)</f>
        <v>0</v>
      </c>
      <c r="S26" s="60"/>
      <c r="U26" s="75"/>
      <c r="AG26" s="60"/>
      <c r="AH26" s="60"/>
      <c r="AU26" s="69">
        <v>3.54</v>
      </c>
      <c r="AV26" s="16"/>
      <c r="AW26" s="66">
        <f>ROUND(AU26*$E26,0)</f>
        <v>634591</v>
      </c>
      <c r="AX26" s="66" t="s">
        <v>41</v>
      </c>
      <c r="AY26" s="58">
        <v>1</v>
      </c>
    </row>
    <row r="27" spans="1:51" ht="15.75">
      <c r="A27" s="57">
        <f t="shared" si="0"/>
        <v>27</v>
      </c>
      <c r="B27" s="64" t="s">
        <v>54</v>
      </c>
      <c r="E27" s="59">
        <f>436+423</f>
        <v>859</v>
      </c>
      <c r="G27" s="15">
        <v>927.4398156078806</v>
      </c>
      <c r="I27" s="76">
        <v>10.62</v>
      </c>
      <c r="J27" s="16"/>
      <c r="K27" s="66">
        <f>ROUND(I27*$E27,0)</f>
        <v>9123</v>
      </c>
      <c r="M27" s="66">
        <f>ROUND(I27*$G27,0)</f>
        <v>9849</v>
      </c>
      <c r="O27" s="76">
        <f>O26*3</f>
        <v>11.01</v>
      </c>
      <c r="P27" s="16"/>
      <c r="Q27" s="66">
        <f>ROUND(O27*$G27,0)</f>
        <v>10211</v>
      </c>
      <c r="R27" s="69"/>
      <c r="S27" s="60"/>
      <c r="AG27" s="60"/>
      <c r="AH27" s="60"/>
      <c r="AU27" s="76">
        <v>10.62</v>
      </c>
      <c r="AV27" s="16"/>
      <c r="AW27" s="66">
        <f>ROUND(AU27*$E27,0)</f>
        <v>9123</v>
      </c>
      <c r="AX27" s="66" t="s">
        <v>41</v>
      </c>
      <c r="AY27" s="58">
        <v>1</v>
      </c>
    </row>
    <row r="28" spans="1:51" ht="15.75">
      <c r="A28" s="57">
        <f t="shared" si="0"/>
        <v>28</v>
      </c>
      <c r="B28" s="64" t="s">
        <v>55</v>
      </c>
      <c r="E28" s="71">
        <v>0</v>
      </c>
      <c r="G28" s="15">
        <v>0</v>
      </c>
      <c r="I28" s="76">
        <v>46</v>
      </c>
      <c r="J28" s="16"/>
      <c r="K28" s="77">
        <f>ROUND(I28*$E28,0)</f>
        <v>0</v>
      </c>
      <c r="M28" s="77">
        <f>ROUND(I28*$G28,0)</f>
        <v>0</v>
      </c>
      <c r="O28" s="76">
        <v>46</v>
      </c>
      <c r="P28" s="16"/>
      <c r="Q28" s="77">
        <f>ROUND(O28*$G28,0)</f>
        <v>0</v>
      </c>
      <c r="S28" s="60"/>
      <c r="U28" s="66"/>
      <c r="AG28" s="60"/>
      <c r="AH28" s="60"/>
      <c r="AU28" s="76">
        <v>46</v>
      </c>
      <c r="AV28" s="16"/>
      <c r="AW28" s="77">
        <f>ROUND(AU28*$E28,0)</f>
        <v>0</v>
      </c>
      <c r="AX28" s="77" t="s">
        <v>41</v>
      </c>
      <c r="AY28" s="58">
        <v>1</v>
      </c>
    </row>
    <row r="29" spans="1:51" ht="15.75">
      <c r="A29" s="57">
        <f t="shared" si="0"/>
        <v>29</v>
      </c>
      <c r="B29" s="64" t="s">
        <v>56</v>
      </c>
      <c r="E29" s="78">
        <f>554+771639+32+304353+4+914953+3+109004</f>
        <v>2100542</v>
      </c>
      <c r="G29" s="22">
        <f>E29*($G$31-$G$30)/($E$31-$E$30)</f>
        <v>2384773.091917979</v>
      </c>
      <c r="I29" s="19"/>
      <c r="J29" s="79">
        <v>0</v>
      </c>
      <c r="K29" s="80">
        <f>ROUND(J29*$E29/100,0)</f>
        <v>0</v>
      </c>
      <c r="M29" s="80">
        <f>ROUND(J29*$G29/100,0)</f>
        <v>0</v>
      </c>
      <c r="O29" s="19"/>
      <c r="P29" s="79">
        <v>0</v>
      </c>
      <c r="Q29" s="80">
        <f>ROUND(P29*$G29/100,0)</f>
        <v>0</v>
      </c>
      <c r="AG29" s="60"/>
      <c r="AH29" s="60"/>
      <c r="AU29" s="19"/>
      <c r="AV29" s="79">
        <v>0</v>
      </c>
      <c r="AW29" s="80">
        <f>ROUND(AV29*$E29/100,0)</f>
        <v>0</v>
      </c>
      <c r="AX29" s="77" t="s">
        <v>41</v>
      </c>
      <c r="AY29" s="58">
        <v>1</v>
      </c>
    </row>
    <row r="30" spans="1:51" ht="15.75">
      <c r="A30" s="57">
        <f t="shared" si="0"/>
        <v>30</v>
      </c>
      <c r="B30" s="64" t="s">
        <v>57</v>
      </c>
      <c r="E30" s="22">
        <v>72287712</v>
      </c>
      <c r="G30" s="22">
        <v>0</v>
      </c>
      <c r="I30" s="76"/>
      <c r="K30" s="81">
        <f>AW30</f>
        <v>4933553</v>
      </c>
      <c r="M30" s="81">
        <v>0</v>
      </c>
      <c r="O30" s="76"/>
      <c r="Q30" s="81">
        <v>0</v>
      </c>
      <c r="AG30" s="60"/>
      <c r="AH30" s="60"/>
      <c r="AU30" s="76"/>
      <c r="AW30" s="81">
        <v>4933553</v>
      </c>
      <c r="AX30" s="77" t="s">
        <v>41</v>
      </c>
      <c r="AY30" s="58">
        <v>1</v>
      </c>
    </row>
    <row r="31" spans="1:51" ht="16.5" thickBot="1">
      <c r="A31" s="57">
        <f t="shared" si="0"/>
        <v>31</v>
      </c>
      <c r="B31" s="64" t="s">
        <v>58</v>
      </c>
      <c r="E31" s="82">
        <f>SUM(E18:E21,E29)+SUM(E22:E25)+E30</f>
        <v>5360681690</v>
      </c>
      <c r="G31" s="82">
        <v>6003983571</v>
      </c>
      <c r="I31" s="83"/>
      <c r="J31" s="83"/>
      <c r="K31" s="84">
        <f>SUM(K17:K30)</f>
        <v>384595165.27</v>
      </c>
      <c r="M31" s="84">
        <f>SUM(M17:M30)</f>
        <v>431362447</v>
      </c>
      <c r="O31" s="83"/>
      <c r="P31" s="83"/>
      <c r="Q31" s="84">
        <f>SUM(Q17:Q30)</f>
        <v>447756364</v>
      </c>
      <c r="R31" s="85" t="s">
        <v>59</v>
      </c>
      <c r="S31" s="86">
        <f>Q31+Q49+Q71</f>
        <v>458148134</v>
      </c>
      <c r="U31" s="60"/>
      <c r="V31" s="60"/>
      <c r="W31" s="87"/>
      <c r="AG31" s="60"/>
      <c r="AH31" s="60"/>
      <c r="AU31" s="83"/>
      <c r="AV31" s="83"/>
      <c r="AW31" s="84">
        <f>SUM(AW17:AW30)</f>
        <v>356283987.70000005</v>
      </c>
      <c r="AX31" s="77" t="s">
        <v>41</v>
      </c>
      <c r="AY31" s="58">
        <v>1</v>
      </c>
    </row>
    <row r="32" spans="1:51" ht="16.5" thickTop="1">
      <c r="A32" s="57">
        <f t="shared" si="0"/>
        <v>32</v>
      </c>
      <c r="B32" s="64" t="s">
        <v>60</v>
      </c>
      <c r="E32" s="59"/>
      <c r="G32" s="59"/>
      <c r="I32" s="76"/>
      <c r="J32" s="26">
        <v>0</v>
      </c>
      <c r="K32" s="81">
        <f>ROUND(SUM(K18:K25)*J32,0)</f>
        <v>0</v>
      </c>
      <c r="M32" s="81">
        <f>ROUND(SUM(M18:M25)*J32,0)</f>
        <v>0</v>
      </c>
      <c r="O32" s="76"/>
      <c r="P32" s="26">
        <v>0</v>
      </c>
      <c r="Q32" s="81">
        <f>ROUND(SUM(Q18:Q25)*P32,0)</f>
        <v>0</v>
      </c>
      <c r="R32" s="88" t="s">
        <v>61</v>
      </c>
      <c r="S32" s="89">
        <v>458145803.3470318</v>
      </c>
      <c r="U32" s="60"/>
      <c r="V32" s="60"/>
      <c r="AG32" s="60"/>
      <c r="AH32" s="60"/>
      <c r="AU32" s="76"/>
      <c r="AV32" s="26">
        <v>0.0359</v>
      </c>
      <c r="AW32" s="81">
        <f>ROUND(SUM(AW18:AW25)*AV32,0)</f>
        <v>12344707</v>
      </c>
      <c r="AX32" s="77" t="s">
        <v>41</v>
      </c>
      <c r="AY32" s="58">
        <v>1</v>
      </c>
    </row>
    <row r="33" spans="1:51" ht="15.75">
      <c r="A33" s="57">
        <f t="shared" si="0"/>
        <v>33</v>
      </c>
      <c r="B33" s="64" t="s">
        <v>62</v>
      </c>
      <c r="E33" s="59"/>
      <c r="G33" s="59"/>
      <c r="I33" s="76"/>
      <c r="J33" s="26">
        <v>0.0304</v>
      </c>
      <c r="K33" s="81">
        <f>ROUND(SUM(K18:K25,K32)*J33,0)</f>
        <v>11314117</v>
      </c>
      <c r="M33" s="81">
        <f>ROUND(SUM(M18:M25,M32)*J33,0)</f>
        <v>12867689</v>
      </c>
      <c r="O33" s="76"/>
      <c r="P33" s="26">
        <v>0.0304</v>
      </c>
      <c r="Q33" s="81">
        <f>ROUND(SUM(Q18:Q25,Q32)*P33,0)</f>
        <v>13365288</v>
      </c>
      <c r="R33" s="90" t="s">
        <v>515</v>
      </c>
      <c r="S33" s="91">
        <f>S32-S31</f>
        <v>-2330.6529682278633</v>
      </c>
      <c r="U33" s="60"/>
      <c r="V33" s="60"/>
      <c r="AG33" s="60"/>
      <c r="AH33" s="60"/>
      <c r="AU33" s="76"/>
      <c r="AV33" s="26"/>
      <c r="AW33" s="81">
        <f>ROUND(SUM(AW18:AW25,AW32)*AV33,0)</f>
        <v>0</v>
      </c>
      <c r="AX33" s="77" t="s">
        <v>41</v>
      </c>
      <c r="AY33" s="58">
        <v>1</v>
      </c>
    </row>
    <row r="34" spans="1:51" ht="15.75">
      <c r="A34" s="57">
        <f aca="true" t="shared" si="2" ref="A34:A65">A33+1</f>
        <v>34</v>
      </c>
      <c r="E34" s="59"/>
      <c r="G34" s="59"/>
      <c r="W34" s="87"/>
      <c r="AG34" s="60"/>
      <c r="AH34" s="60"/>
      <c r="AX34" s="58" t="s">
        <v>41</v>
      </c>
      <c r="AY34" s="58">
        <v>1</v>
      </c>
    </row>
    <row r="35" spans="1:51" ht="15.75">
      <c r="A35" s="57">
        <f t="shared" si="2"/>
        <v>35</v>
      </c>
      <c r="B35" s="64" t="s">
        <v>63</v>
      </c>
      <c r="E35" s="59"/>
      <c r="G35" s="59"/>
      <c r="R35" s="55"/>
      <c r="AG35" s="60"/>
      <c r="AH35" s="60"/>
      <c r="AV35" s="65"/>
      <c r="AX35" s="58" t="s">
        <v>41</v>
      </c>
      <c r="AY35" s="58">
        <v>3</v>
      </c>
    </row>
    <row r="36" spans="1:51" ht="15.75">
      <c r="A36" s="57">
        <f t="shared" si="2"/>
        <v>36</v>
      </c>
      <c r="B36" s="64" t="s">
        <v>42</v>
      </c>
      <c r="E36" s="59"/>
      <c r="G36" s="59"/>
      <c r="S36" s="66"/>
      <c r="AG36" s="60"/>
      <c r="AH36" s="60"/>
      <c r="AX36" s="58" t="s">
        <v>41</v>
      </c>
      <c r="AY36" s="58">
        <v>3</v>
      </c>
    </row>
    <row r="37" spans="1:51" ht="15.75">
      <c r="A37" s="57">
        <f t="shared" si="2"/>
        <v>37</v>
      </c>
      <c r="B37" s="67" t="s">
        <v>64</v>
      </c>
      <c r="E37" s="59"/>
      <c r="G37" s="59"/>
      <c r="S37" s="68"/>
      <c r="T37" s="60"/>
      <c r="U37" s="60"/>
      <c r="AG37" s="60"/>
      <c r="AH37" s="60"/>
      <c r="AX37" s="58" t="s">
        <v>41</v>
      </c>
      <c r="AY37" s="58">
        <v>3</v>
      </c>
    </row>
    <row r="38" spans="1:51" ht="15.75">
      <c r="A38" s="57">
        <f t="shared" si="2"/>
        <v>38</v>
      </c>
      <c r="B38" s="67"/>
      <c r="E38" s="59"/>
      <c r="G38" s="59"/>
      <c r="S38" s="68"/>
      <c r="T38" s="60"/>
      <c r="U38" s="60"/>
      <c r="AG38" s="60"/>
      <c r="AH38" s="60"/>
      <c r="AX38" s="58" t="s">
        <v>41</v>
      </c>
      <c r="AY38" s="58">
        <v>3</v>
      </c>
    </row>
    <row r="39" spans="1:51" ht="15.75">
      <c r="A39" s="57">
        <f t="shared" si="2"/>
        <v>39</v>
      </c>
      <c r="B39" s="64" t="s">
        <v>44</v>
      </c>
      <c r="E39" s="59">
        <f>222033+2-1-1413-16-20</f>
        <v>220585</v>
      </c>
      <c r="G39" s="23">
        <v>219145.33301803932</v>
      </c>
      <c r="I39" s="24">
        <f>I17</f>
        <v>0.98</v>
      </c>
      <c r="J39" s="16"/>
      <c r="K39" s="66">
        <f>ROUND(I39*$E39,0)</f>
        <v>216173</v>
      </c>
      <c r="M39" s="66">
        <f>ROUND(I39*$G39,0)</f>
        <v>214762</v>
      </c>
      <c r="O39" s="24">
        <f>O17</f>
        <v>0.98</v>
      </c>
      <c r="P39" s="16"/>
      <c r="Q39" s="66">
        <f>ROUND(O39*$G39,0)</f>
        <v>214762</v>
      </c>
      <c r="S39" s="66"/>
      <c r="T39" s="66"/>
      <c r="AG39" s="60"/>
      <c r="AH39" s="60"/>
      <c r="AU39" s="24">
        <f>AU17</f>
        <v>0.98</v>
      </c>
      <c r="AV39" s="16"/>
      <c r="AW39" s="66">
        <f>ROUND(AU39*$E39,0)</f>
        <v>216173</v>
      </c>
      <c r="AX39" s="66" t="s">
        <v>41</v>
      </c>
      <c r="AY39" s="58">
        <v>3</v>
      </c>
    </row>
    <row r="40" spans="1:51" ht="15.75">
      <c r="A40" s="57">
        <f t="shared" si="2"/>
        <v>40</v>
      </c>
      <c r="B40" s="64" t="s">
        <v>45</v>
      </c>
      <c r="E40" s="71">
        <f>46+31773877-6835-2339</f>
        <v>31764749</v>
      </c>
      <c r="G40" s="15">
        <v>33966592.056993246</v>
      </c>
      <c r="I40" s="19"/>
      <c r="J40" s="20">
        <f>J18</f>
        <v>6.663</v>
      </c>
      <c r="K40" s="66">
        <f>ROUND(J40*$E40/100,0)</f>
        <v>2116485</v>
      </c>
      <c r="M40" s="66">
        <f>ROUND(J40*$G40/100,0)</f>
        <v>2263194</v>
      </c>
      <c r="O40" s="19"/>
      <c r="P40" s="20">
        <f>P18</f>
        <v>6.936</v>
      </c>
      <c r="Q40" s="66">
        <f>ROUND(P40*$G40/100,0)</f>
        <v>2355923</v>
      </c>
      <c r="S40" s="60"/>
      <c r="T40" s="60"/>
      <c r="U40" s="60"/>
      <c r="V40" s="60"/>
      <c r="AG40" s="60"/>
      <c r="AH40" s="60"/>
      <c r="AU40" s="19"/>
      <c r="AV40" s="25">
        <f>AV18</f>
        <v>6.3029</v>
      </c>
      <c r="AW40" s="66">
        <f>ROUND(AV40*$E40/100,0)</f>
        <v>2002100</v>
      </c>
      <c r="AX40" s="66" t="s">
        <v>41</v>
      </c>
      <c r="AY40" s="58">
        <v>3</v>
      </c>
    </row>
    <row r="41" spans="1:51" ht="15.75">
      <c r="A41" s="57">
        <f t="shared" si="2"/>
        <v>41</v>
      </c>
      <c r="B41" s="64" t="s">
        <v>46</v>
      </c>
      <c r="E41" s="71">
        <f>18910948-0-126</f>
        <v>18910822</v>
      </c>
      <c r="G41" s="15">
        <v>20846491.651688445</v>
      </c>
      <c r="I41" s="19"/>
      <c r="J41" s="20">
        <f>J19</f>
        <v>7.6</v>
      </c>
      <c r="K41" s="66">
        <f>ROUND(J41*$E41/100,0)</f>
        <v>1437222</v>
      </c>
      <c r="M41" s="66">
        <f>ROUND(J41*$G41/100,0)</f>
        <v>1584333</v>
      </c>
      <c r="O41" s="19"/>
      <c r="P41" s="20">
        <f>P19</f>
        <v>7.872</v>
      </c>
      <c r="Q41" s="66">
        <f>ROUND(P41*$G41/100,0)</f>
        <v>1641036</v>
      </c>
      <c r="S41" s="60"/>
      <c r="T41" s="60"/>
      <c r="U41" s="60"/>
      <c r="V41" s="60"/>
      <c r="AG41" s="60"/>
      <c r="AH41" s="60"/>
      <c r="AU41" s="19"/>
      <c r="AV41" s="25">
        <f>AV19</f>
        <v>7.0866</v>
      </c>
      <c r="AW41" s="66">
        <f>ROUND(AV41*$E41/100,0)</f>
        <v>1340134</v>
      </c>
      <c r="AX41" s="66" t="s">
        <v>41</v>
      </c>
      <c r="AY41" s="58">
        <v>3</v>
      </c>
    </row>
    <row r="42" spans="1:51" ht="15.75">
      <c r="A42" s="57">
        <f t="shared" si="2"/>
        <v>42</v>
      </c>
      <c r="B42" s="64" t="s">
        <v>47</v>
      </c>
      <c r="E42" s="71">
        <v>4538572</v>
      </c>
      <c r="G42" s="15">
        <v>5003090.408737861</v>
      </c>
      <c r="I42" s="19"/>
      <c r="J42" s="20">
        <f>J20</f>
        <v>9</v>
      </c>
      <c r="K42" s="66">
        <f>ROUND(J42*$E42/100,0)</f>
        <v>408471</v>
      </c>
      <c r="M42" s="66">
        <f>ROUND(J42*$G42/100,0)</f>
        <v>450278</v>
      </c>
      <c r="O42" s="19"/>
      <c r="P42" s="20">
        <f>P20</f>
        <v>9.272</v>
      </c>
      <c r="Q42" s="66">
        <f>ROUND(P42*$G42/100,0)</f>
        <v>463887</v>
      </c>
      <c r="S42" s="60"/>
      <c r="T42" s="60"/>
      <c r="U42" s="60"/>
      <c r="V42" s="60"/>
      <c r="AG42" s="60"/>
      <c r="AH42" s="60"/>
      <c r="AU42" s="19"/>
      <c r="AV42" s="25">
        <f>AV20</f>
        <v>7.0866</v>
      </c>
      <c r="AW42" s="66">
        <f>ROUND(AV42*$E42/100,0)</f>
        <v>321630</v>
      </c>
      <c r="AX42" s="66" t="s">
        <v>41</v>
      </c>
      <c r="AY42" s="58">
        <v>3</v>
      </c>
    </row>
    <row r="43" spans="1:51" ht="15.75">
      <c r="A43" s="57">
        <f t="shared" si="2"/>
        <v>43</v>
      </c>
      <c r="B43" s="64" t="s">
        <v>65</v>
      </c>
      <c r="E43" s="71">
        <f>90+83862106-28-12452-5449</f>
        <v>83844267</v>
      </c>
      <c r="G43" s="23">
        <f>G49-SUM(G40:G42,G47)</f>
        <v>82230880.76438737</v>
      </c>
      <c r="I43" s="19"/>
      <c r="J43" s="20">
        <f>J21</f>
        <v>6.663</v>
      </c>
      <c r="K43" s="66">
        <f>ROUND(J43*$E43/100,0)</f>
        <v>5586544</v>
      </c>
      <c r="M43" s="66">
        <f>ROUND(J43*$G43/100,0)</f>
        <v>5479044</v>
      </c>
      <c r="O43" s="19"/>
      <c r="P43" s="20">
        <f>P21</f>
        <v>6.936</v>
      </c>
      <c r="Q43" s="66">
        <f>ROUND(P43*$G43/100,0)</f>
        <v>5703534</v>
      </c>
      <c r="S43" s="60"/>
      <c r="T43" s="60"/>
      <c r="U43" s="60"/>
      <c r="V43" s="60"/>
      <c r="AG43" s="60"/>
      <c r="AH43" s="60"/>
      <c r="AU43" s="19"/>
      <c r="AV43" s="25">
        <f>AV21</f>
        <v>6.3029</v>
      </c>
      <c r="AW43" s="66">
        <f>ROUND(AV43*$E43/100,0)</f>
        <v>5284620</v>
      </c>
      <c r="AX43" s="66" t="s">
        <v>41</v>
      </c>
      <c r="AY43" s="58">
        <v>3</v>
      </c>
    </row>
    <row r="44" spans="1:51" ht="15.75">
      <c r="A44" s="57">
        <f t="shared" si="2"/>
        <v>44</v>
      </c>
      <c r="B44" s="64" t="s">
        <v>53</v>
      </c>
      <c r="E44" s="59">
        <f>1+1413</f>
        <v>1414</v>
      </c>
      <c r="G44" s="23">
        <v>1404.771407337342</v>
      </c>
      <c r="I44" s="24">
        <f>I26</f>
        <v>3.54</v>
      </c>
      <c r="J44" s="16"/>
      <c r="K44" s="66">
        <f>ROUND(I44*$E44,0)</f>
        <v>5006</v>
      </c>
      <c r="M44" s="66">
        <f>ROUND(I44*$G44,0)</f>
        <v>4973</v>
      </c>
      <c r="O44" s="24">
        <f>O26</f>
        <v>3.67</v>
      </c>
      <c r="P44" s="16"/>
      <c r="Q44" s="66">
        <f>ROUND(O44*$G44,0)</f>
        <v>5156</v>
      </c>
      <c r="S44" s="60"/>
      <c r="T44" s="60"/>
      <c r="U44" s="60"/>
      <c r="V44" s="60"/>
      <c r="AG44" s="60"/>
      <c r="AH44" s="60"/>
      <c r="AU44" s="24">
        <f>AU26</f>
        <v>3.54</v>
      </c>
      <c r="AV44" s="16"/>
      <c r="AW44" s="66">
        <f>ROUND(AU44*$E44,0)</f>
        <v>5006</v>
      </c>
      <c r="AX44" s="66" t="s">
        <v>41</v>
      </c>
      <c r="AY44" s="58">
        <v>3</v>
      </c>
    </row>
    <row r="45" spans="1:51" ht="15.75">
      <c r="A45" s="57">
        <f t="shared" si="2"/>
        <v>45</v>
      </c>
      <c r="B45" s="64" t="s">
        <v>54</v>
      </c>
      <c r="E45" s="59">
        <f>16+0</f>
        <v>16</v>
      </c>
      <c r="G45" s="23">
        <v>15.89557462333626</v>
      </c>
      <c r="I45" s="24">
        <f>I27</f>
        <v>10.62</v>
      </c>
      <c r="J45" s="16"/>
      <c r="K45" s="66">
        <f>ROUND(I45*$E45,0)</f>
        <v>170</v>
      </c>
      <c r="M45" s="66">
        <f>ROUND(I45*$G45,0)</f>
        <v>169</v>
      </c>
      <c r="O45" s="24">
        <f>O27</f>
        <v>11.01</v>
      </c>
      <c r="P45" s="16"/>
      <c r="Q45" s="66">
        <f>ROUND(O45*$G45,0)</f>
        <v>175</v>
      </c>
      <c r="S45" s="60"/>
      <c r="T45" s="60"/>
      <c r="U45" s="60"/>
      <c r="V45" s="60"/>
      <c r="AG45" s="60"/>
      <c r="AH45" s="60"/>
      <c r="AU45" s="24">
        <f>AU27</f>
        <v>10.62</v>
      </c>
      <c r="AV45" s="16"/>
      <c r="AW45" s="66">
        <f>ROUND(AU45*$E45,0)</f>
        <v>170</v>
      </c>
      <c r="AX45" s="66" t="s">
        <v>41</v>
      </c>
      <c r="AY45" s="58">
        <v>3</v>
      </c>
    </row>
    <row r="46" spans="1:51" ht="15.75">
      <c r="A46" s="57">
        <f t="shared" si="2"/>
        <v>46</v>
      </c>
      <c r="B46" s="64" t="s">
        <v>55</v>
      </c>
      <c r="E46" s="71">
        <v>0</v>
      </c>
      <c r="G46" s="23">
        <v>0</v>
      </c>
      <c r="I46" s="24">
        <f>I28</f>
        <v>46</v>
      </c>
      <c r="J46" s="16"/>
      <c r="K46" s="77">
        <f>ROUND(I46*$E46,0)</f>
        <v>0</v>
      </c>
      <c r="M46" s="77">
        <f>ROUND(I46*$G46,0)</f>
        <v>0</v>
      </c>
      <c r="O46" s="24">
        <f>O28</f>
        <v>46</v>
      </c>
      <c r="P46" s="16"/>
      <c r="Q46" s="77">
        <f>ROUND(O46*$G46,0)</f>
        <v>0</v>
      </c>
      <c r="S46" s="60"/>
      <c r="T46" s="60"/>
      <c r="U46" s="60"/>
      <c r="V46" s="60"/>
      <c r="AG46" s="60"/>
      <c r="AH46" s="60"/>
      <c r="AU46" s="24">
        <f>AU28</f>
        <v>46</v>
      </c>
      <c r="AV46" s="16"/>
      <c r="AW46" s="77">
        <f>ROUND(AU46*$E46,0)</f>
        <v>0</v>
      </c>
      <c r="AX46" s="77" t="s">
        <v>41</v>
      </c>
      <c r="AY46" s="58">
        <v>3</v>
      </c>
    </row>
    <row r="47" spans="1:51" ht="15.75">
      <c r="A47" s="57">
        <f t="shared" si="2"/>
        <v>47</v>
      </c>
      <c r="B47" s="64" t="s">
        <v>56</v>
      </c>
      <c r="E47" s="78">
        <f>28+19287</f>
        <v>19315</v>
      </c>
      <c r="G47" s="22">
        <f>E47*($G$49-$G$48)/($E$49-$E$48)</f>
        <v>19730.118193082322</v>
      </c>
      <c r="I47" s="19"/>
      <c r="J47" s="20">
        <f>J29</f>
        <v>0</v>
      </c>
      <c r="K47" s="80">
        <f>ROUND(J47*$E47/100,0)</f>
        <v>0</v>
      </c>
      <c r="M47" s="80">
        <f>ROUND(J47*$G47/100,0)</f>
        <v>0</v>
      </c>
      <c r="O47" s="19"/>
      <c r="P47" s="20">
        <f>P29</f>
        <v>0</v>
      </c>
      <c r="Q47" s="80">
        <f>ROUND(P47*$G47/100,0)</f>
        <v>0</v>
      </c>
      <c r="S47" s="60"/>
      <c r="T47" s="60"/>
      <c r="U47" s="60"/>
      <c r="V47" s="60"/>
      <c r="AG47" s="60"/>
      <c r="AH47" s="60"/>
      <c r="AU47" s="19"/>
      <c r="AV47" s="20">
        <f>AV29</f>
        <v>0</v>
      </c>
      <c r="AW47" s="80">
        <f>ROUND(AV47*$E47/100,0)</f>
        <v>0</v>
      </c>
      <c r="AX47" s="77" t="s">
        <v>41</v>
      </c>
      <c r="AY47" s="58">
        <v>3</v>
      </c>
    </row>
    <row r="48" spans="1:51" ht="15.75">
      <c r="A48" s="57">
        <f t="shared" si="2"/>
        <v>48</v>
      </c>
      <c r="B48" s="64" t="s">
        <v>57</v>
      </c>
      <c r="E48" s="22">
        <v>1915159</v>
      </c>
      <c r="G48" s="22">
        <v>0</v>
      </c>
      <c r="I48" s="76"/>
      <c r="K48" s="81">
        <f>AW48</f>
        <v>130707</v>
      </c>
      <c r="M48" s="81">
        <v>0</v>
      </c>
      <c r="O48" s="76"/>
      <c r="Q48" s="81">
        <v>0</v>
      </c>
      <c r="S48" s="60"/>
      <c r="T48" s="60"/>
      <c r="U48" s="60"/>
      <c r="V48" s="60"/>
      <c r="AG48" s="60"/>
      <c r="AH48" s="60"/>
      <c r="AU48" s="76"/>
      <c r="AW48" s="81">
        <v>130707</v>
      </c>
      <c r="AX48" s="77" t="s">
        <v>41</v>
      </c>
      <c r="AY48" s="58">
        <v>3</v>
      </c>
    </row>
    <row r="49" spans="1:51" ht="16.5" thickBot="1">
      <c r="A49" s="57">
        <f t="shared" si="2"/>
        <v>49</v>
      </c>
      <c r="B49" s="64" t="s">
        <v>58</v>
      </c>
      <c r="E49" s="82">
        <f>E48+E40+E47+E42+E43+E41</f>
        <v>140992884</v>
      </c>
      <c r="G49" s="82">
        <v>142066785</v>
      </c>
      <c r="I49" s="83"/>
      <c r="J49" s="83"/>
      <c r="K49" s="84">
        <f>SUM(K39:K48)</f>
        <v>9900778</v>
      </c>
      <c r="M49" s="84">
        <f>SUM(M38:M48)</f>
        <v>9996753</v>
      </c>
      <c r="O49" s="83"/>
      <c r="P49" s="83"/>
      <c r="Q49" s="84">
        <f>SUM(Q38:Q48)</f>
        <v>10384473</v>
      </c>
      <c r="S49" s="60"/>
      <c r="T49" s="60"/>
      <c r="U49" s="60"/>
      <c r="V49" s="60"/>
      <c r="W49" s="87"/>
      <c r="AG49" s="60"/>
      <c r="AH49" s="60"/>
      <c r="AU49" s="83"/>
      <c r="AV49" s="83"/>
      <c r="AW49" s="84">
        <f>SUM(AW39:AW48)</f>
        <v>9300540</v>
      </c>
      <c r="AX49" s="77" t="s">
        <v>41</v>
      </c>
      <c r="AY49" s="58">
        <v>3</v>
      </c>
    </row>
    <row r="50" spans="1:51" ht="16.5" thickTop="1">
      <c r="A50" s="57">
        <f t="shared" si="2"/>
        <v>50</v>
      </c>
      <c r="B50" s="64" t="s">
        <v>60</v>
      </c>
      <c r="E50" s="59"/>
      <c r="G50" s="59"/>
      <c r="I50" s="76"/>
      <c r="J50" s="26">
        <f>J32</f>
        <v>0</v>
      </c>
      <c r="K50" s="81">
        <f>ROUND(SUM(K40:K43)*J50,0)</f>
        <v>0</v>
      </c>
      <c r="M50" s="81">
        <f>ROUND(SUM(M40:M43)*J50,0)</f>
        <v>0</v>
      </c>
      <c r="O50" s="76"/>
      <c r="P50" s="26">
        <f>P32</f>
        <v>0</v>
      </c>
      <c r="Q50" s="81">
        <f>ROUND(SUM(Q40:Q43)*P50,0)</f>
        <v>0</v>
      </c>
      <c r="S50" s="60"/>
      <c r="T50" s="60"/>
      <c r="U50" s="60"/>
      <c r="V50" s="60"/>
      <c r="AG50" s="60"/>
      <c r="AH50" s="60"/>
      <c r="AU50" s="76"/>
      <c r="AV50" s="26">
        <f>AV32</f>
        <v>0.0359</v>
      </c>
      <c r="AW50" s="81">
        <f>ROUND(SUM(AW40:AW43)*AV50,0)</f>
        <v>321251</v>
      </c>
      <c r="AX50" s="77" t="s">
        <v>41</v>
      </c>
      <c r="AY50" s="58">
        <v>3</v>
      </c>
    </row>
    <row r="51" spans="1:51" ht="15.75">
      <c r="A51" s="57">
        <f t="shared" si="2"/>
        <v>51</v>
      </c>
      <c r="B51" s="64" t="s">
        <v>62</v>
      </c>
      <c r="E51" s="59"/>
      <c r="G51" s="59"/>
      <c r="I51" s="76"/>
      <c r="J51" s="26">
        <v>0.0304</v>
      </c>
      <c r="K51" s="81">
        <f>ROUND(SUM(K40:K43,K50)*J51,0)</f>
        <v>290281</v>
      </c>
      <c r="M51" s="81">
        <f>ROUND(SUM(M40:M43,M50)*J51,0)</f>
        <v>297216</v>
      </c>
      <c r="O51" s="76"/>
      <c r="P51" s="26">
        <v>0.0304</v>
      </c>
      <c r="Q51" s="81">
        <f>ROUND(SUM(Q40:Q43,Q50)*P51,0)</f>
        <v>308997</v>
      </c>
      <c r="S51" s="60"/>
      <c r="T51" s="60"/>
      <c r="U51" s="60"/>
      <c r="V51" s="60"/>
      <c r="AG51" s="60"/>
      <c r="AH51" s="60"/>
      <c r="AU51" s="76"/>
      <c r="AV51" s="26">
        <f>AV33</f>
        <v>0</v>
      </c>
      <c r="AW51" s="81">
        <f>ROUND(SUM(AW40:AW43,AW50)*AV51,0)</f>
        <v>0</v>
      </c>
      <c r="AX51" s="77" t="s">
        <v>41</v>
      </c>
      <c r="AY51" s="58">
        <v>3</v>
      </c>
    </row>
    <row r="52" spans="1:51" ht="15.75">
      <c r="A52" s="57">
        <f t="shared" si="2"/>
        <v>52</v>
      </c>
      <c r="E52" s="59"/>
      <c r="G52" s="59"/>
      <c r="S52" s="60"/>
      <c r="T52" s="60"/>
      <c r="U52" s="60"/>
      <c r="V52" s="60"/>
      <c r="W52" s="87"/>
      <c r="AG52" s="60"/>
      <c r="AH52" s="60"/>
      <c r="AX52" s="58" t="s">
        <v>41</v>
      </c>
      <c r="AY52" s="58">
        <v>3</v>
      </c>
    </row>
    <row r="53" spans="1:51" ht="15.75">
      <c r="A53" s="57">
        <f t="shared" si="2"/>
        <v>53</v>
      </c>
      <c r="B53" s="64" t="s">
        <v>66</v>
      </c>
      <c r="E53" s="59"/>
      <c r="G53" s="59"/>
      <c r="S53" s="60"/>
      <c r="T53" s="60"/>
      <c r="U53" s="60"/>
      <c r="V53" s="60"/>
      <c r="AG53" s="60"/>
      <c r="AH53" s="60"/>
      <c r="AW53" s="92"/>
      <c r="AX53" s="58" t="s">
        <v>41</v>
      </c>
      <c r="AY53" s="58">
        <v>2</v>
      </c>
    </row>
    <row r="54" spans="1:51" ht="15.75">
      <c r="A54" s="57">
        <f t="shared" si="2"/>
        <v>54</v>
      </c>
      <c r="B54" s="64" t="s">
        <v>67</v>
      </c>
      <c r="E54" s="59"/>
      <c r="G54" s="59"/>
      <c r="J54" s="93"/>
      <c r="P54" s="93"/>
      <c r="S54" s="60"/>
      <c r="T54" s="60"/>
      <c r="U54" s="60"/>
      <c r="V54" s="60"/>
      <c r="AG54" s="60"/>
      <c r="AH54" s="60"/>
      <c r="AV54" s="93"/>
      <c r="AX54" s="58" t="s">
        <v>41</v>
      </c>
      <c r="AY54" s="58">
        <v>2</v>
      </c>
    </row>
    <row r="55" spans="1:51" ht="15.75">
      <c r="A55" s="57">
        <f t="shared" si="2"/>
        <v>55</v>
      </c>
      <c r="B55" s="67" t="s">
        <v>68</v>
      </c>
      <c r="E55" s="59"/>
      <c r="G55" s="59"/>
      <c r="S55" s="60"/>
      <c r="T55" s="60"/>
      <c r="U55" s="60"/>
      <c r="V55" s="60"/>
      <c r="AG55" s="60"/>
      <c r="AH55" s="60"/>
      <c r="AX55" s="58" t="s">
        <v>41</v>
      </c>
      <c r="AY55" s="58">
        <v>2</v>
      </c>
    </row>
    <row r="56" spans="1:51" ht="15.75">
      <c r="A56" s="57">
        <f t="shared" si="2"/>
        <v>56</v>
      </c>
      <c r="E56" s="59"/>
      <c r="G56" s="59"/>
      <c r="S56" s="60"/>
      <c r="T56" s="60"/>
      <c r="U56" s="60"/>
      <c r="V56" s="60"/>
      <c r="AG56" s="60"/>
      <c r="AH56" s="60"/>
      <c r="AX56" s="58" t="s">
        <v>41</v>
      </c>
      <c r="AY56" s="58">
        <v>2</v>
      </c>
    </row>
    <row r="57" spans="1:51" ht="15.75">
      <c r="A57" s="57">
        <f t="shared" si="2"/>
        <v>57</v>
      </c>
      <c r="B57" s="64" t="s">
        <v>44</v>
      </c>
      <c r="E57" s="59">
        <f>20+12+361+374-4-4</f>
        <v>759</v>
      </c>
      <c r="G57" s="23">
        <v>120</v>
      </c>
      <c r="I57" s="24">
        <f>I17</f>
        <v>0.98</v>
      </c>
      <c r="J57" s="16"/>
      <c r="K57" s="66">
        <f>ROUND(I57*$E57,0)</f>
        <v>744</v>
      </c>
      <c r="M57" s="66">
        <f>ROUND(I57*$G57,0)</f>
        <v>118</v>
      </c>
      <c r="O57" s="24">
        <f>O17</f>
        <v>0.98</v>
      </c>
      <c r="P57" s="16"/>
      <c r="Q57" s="66">
        <f>ROUND(O57*$G57,0)</f>
        <v>118</v>
      </c>
      <c r="S57" s="60"/>
      <c r="T57" s="60"/>
      <c r="U57" s="60"/>
      <c r="V57" s="60"/>
      <c r="AG57" s="60"/>
      <c r="AH57" s="60"/>
      <c r="AU57" s="24">
        <f>AU39</f>
        <v>0.98</v>
      </c>
      <c r="AV57" s="16"/>
      <c r="AW57" s="66">
        <f>ROUND(AU57*$E57,0)</f>
        <v>744</v>
      </c>
      <c r="AX57" s="66" t="s">
        <v>41</v>
      </c>
      <c r="AY57" s="58">
        <v>2</v>
      </c>
    </row>
    <row r="58" spans="1:51" ht="15.75">
      <c r="A58" s="57">
        <f t="shared" si="2"/>
        <v>58</v>
      </c>
      <c r="B58" s="64" t="s">
        <v>69</v>
      </c>
      <c r="E58" s="59">
        <f>SUM(E62:E64)*V62</f>
        <v>48609.23925619081</v>
      </c>
      <c r="G58" s="23">
        <f>E58*(SUM($G$62:$G$64)/SUM($E$58:$E$59))</f>
        <v>9528.96905990196</v>
      </c>
      <c r="I58" s="24"/>
      <c r="J58" s="94">
        <v>4.3762</v>
      </c>
      <c r="K58" s="66">
        <f aca="true" t="shared" si="3" ref="K58:K65">ROUND(J58*$E58/100,0)</f>
        <v>2127</v>
      </c>
      <c r="M58" s="66">
        <f aca="true" t="shared" si="4" ref="M58:M65">ROUND(J58*$G58/100,0)</f>
        <v>417</v>
      </c>
      <c r="O58" s="24"/>
      <c r="P58" s="94">
        <v>4.3762</v>
      </c>
      <c r="Q58" s="66">
        <f aca="true" t="shared" si="5" ref="Q58:Q65">ROUND(P58*$G58/100,0)</f>
        <v>417</v>
      </c>
      <c r="S58" s="60"/>
      <c r="T58" s="60"/>
      <c r="U58" s="60" t="s">
        <v>70</v>
      </c>
      <c r="V58" s="60"/>
      <c r="AG58" s="60"/>
      <c r="AH58" s="60"/>
      <c r="AU58" s="69"/>
      <c r="AV58" s="94">
        <v>0</v>
      </c>
      <c r="AW58" s="66">
        <f aca="true" t="shared" si="6" ref="AW58:AW65">ROUND(AV58*$E58/100,0)</f>
        <v>0</v>
      </c>
      <c r="AX58" s="66" t="s">
        <v>41</v>
      </c>
      <c r="AY58" s="58">
        <v>2</v>
      </c>
    </row>
    <row r="59" spans="1:51" ht="15.75">
      <c r="A59" s="57">
        <f t="shared" si="2"/>
        <v>59</v>
      </c>
      <c r="B59" s="64" t="s">
        <v>71</v>
      </c>
      <c r="E59" s="59">
        <f>SUM(E62:E64)-E58</f>
        <v>151796.7607438092</v>
      </c>
      <c r="G59" s="23">
        <f>E59*(SUM($G$62:$G$64)/SUM($E$58:$E$59))</f>
        <v>29757.03094009804</v>
      </c>
      <c r="I59" s="24"/>
      <c r="J59" s="94">
        <v>-1.4014</v>
      </c>
      <c r="K59" s="66">
        <f t="shared" si="3"/>
        <v>-2127</v>
      </c>
      <c r="M59" s="66">
        <f t="shared" si="4"/>
        <v>-417</v>
      </c>
      <c r="O59" s="24"/>
      <c r="P59" s="94">
        <v>-1.4014</v>
      </c>
      <c r="Q59" s="66">
        <f t="shared" si="5"/>
        <v>-417</v>
      </c>
      <c r="S59" s="60"/>
      <c r="T59" s="60"/>
      <c r="U59" s="60" t="s">
        <v>72</v>
      </c>
      <c r="V59" s="60"/>
      <c r="AG59" s="60"/>
      <c r="AH59" s="60"/>
      <c r="AU59" s="69"/>
      <c r="AV59" s="94">
        <v>0</v>
      </c>
      <c r="AW59" s="66">
        <f t="shared" si="6"/>
        <v>0</v>
      </c>
      <c r="AX59" s="66" t="s">
        <v>41</v>
      </c>
      <c r="AY59" s="58">
        <v>2</v>
      </c>
    </row>
    <row r="60" spans="1:51" ht="15.75">
      <c r="A60" s="57">
        <f t="shared" si="2"/>
        <v>60</v>
      </c>
      <c r="B60" s="64" t="s">
        <v>73</v>
      </c>
      <c r="E60" s="59">
        <f>E65*V64</f>
        <v>0</v>
      </c>
      <c r="G60" s="23">
        <f>E60*($G$71-$G$70)/($E$71-$E$70)</f>
        <v>0</v>
      </c>
      <c r="I60" s="19"/>
      <c r="J60" s="94">
        <v>0</v>
      </c>
      <c r="K60" s="66">
        <f t="shared" si="3"/>
        <v>0</v>
      </c>
      <c r="M60" s="66">
        <f t="shared" si="4"/>
        <v>0</v>
      </c>
      <c r="O60" s="19"/>
      <c r="P60" s="94">
        <v>0</v>
      </c>
      <c r="Q60" s="66">
        <f t="shared" si="5"/>
        <v>0</v>
      </c>
      <c r="S60" s="60"/>
      <c r="T60" s="60"/>
      <c r="U60" s="60"/>
      <c r="V60" s="60"/>
      <c r="AG60" s="60"/>
      <c r="AH60" s="60"/>
      <c r="AU60" s="19"/>
      <c r="AV60" s="20">
        <f>AV58</f>
        <v>0</v>
      </c>
      <c r="AW60" s="66">
        <f t="shared" si="6"/>
        <v>0</v>
      </c>
      <c r="AX60" s="66" t="s">
        <v>41</v>
      </c>
      <c r="AY60" s="58">
        <v>2</v>
      </c>
    </row>
    <row r="61" spans="1:51" ht="15.75">
      <c r="A61" s="57">
        <f t="shared" si="2"/>
        <v>61</v>
      </c>
      <c r="B61" s="64" t="s">
        <v>74</v>
      </c>
      <c r="E61" s="71">
        <f>E65-E60</f>
        <v>280336</v>
      </c>
      <c r="G61" s="23">
        <f>G65</f>
        <v>60094</v>
      </c>
      <c r="I61" s="19"/>
      <c r="J61" s="94">
        <v>0</v>
      </c>
      <c r="K61" s="66">
        <f t="shared" si="3"/>
        <v>0</v>
      </c>
      <c r="M61" s="66">
        <f t="shared" si="4"/>
        <v>0</v>
      </c>
      <c r="O61" s="19"/>
      <c r="P61" s="94">
        <v>0</v>
      </c>
      <c r="Q61" s="66">
        <f t="shared" si="5"/>
        <v>0</v>
      </c>
      <c r="S61" s="60"/>
      <c r="T61" s="60"/>
      <c r="U61" s="95"/>
      <c r="V61" s="60"/>
      <c r="W61" s="95"/>
      <c r="AG61" s="60"/>
      <c r="AH61" s="60"/>
      <c r="AU61" s="19"/>
      <c r="AV61" s="20">
        <f>AV59</f>
        <v>0</v>
      </c>
      <c r="AW61" s="66">
        <f t="shared" si="6"/>
        <v>0</v>
      </c>
      <c r="AX61" s="66" t="s">
        <v>41</v>
      </c>
      <c r="AY61" s="58">
        <v>2</v>
      </c>
    </row>
    <row r="62" spans="1:51" ht="15.75">
      <c r="A62" s="57">
        <f t="shared" si="2"/>
        <v>62</v>
      </c>
      <c r="B62" s="64" t="s">
        <v>45</v>
      </c>
      <c r="E62" s="71">
        <f>2339+2000+97196+12764-1-38</f>
        <v>114260</v>
      </c>
      <c r="G62" s="15">
        <v>19500</v>
      </c>
      <c r="I62" s="19"/>
      <c r="J62" s="20">
        <f>J18</f>
        <v>6.663</v>
      </c>
      <c r="K62" s="66">
        <f t="shared" si="3"/>
        <v>7613</v>
      </c>
      <c r="M62" s="66">
        <f t="shared" si="4"/>
        <v>1299</v>
      </c>
      <c r="O62" s="19"/>
      <c r="P62" s="20">
        <f>P18</f>
        <v>6.936</v>
      </c>
      <c r="Q62" s="66">
        <f t="shared" si="5"/>
        <v>1353</v>
      </c>
      <c r="S62" s="60"/>
      <c r="T62" s="60"/>
      <c r="U62" s="60" t="s">
        <v>75</v>
      </c>
      <c r="V62" s="95">
        <v>0.24255381204250778</v>
      </c>
      <c r="AG62" s="60"/>
      <c r="AH62" s="60"/>
      <c r="AU62" s="19"/>
      <c r="AV62" s="20">
        <f>AV40</f>
        <v>6.3029</v>
      </c>
      <c r="AW62" s="66">
        <f t="shared" si="6"/>
        <v>7202</v>
      </c>
      <c r="AX62" s="66" t="s">
        <v>41</v>
      </c>
      <c r="AY62" s="58">
        <v>2</v>
      </c>
    </row>
    <row r="63" spans="1:51" ht="15.75">
      <c r="A63" s="57">
        <f t="shared" si="2"/>
        <v>63</v>
      </c>
      <c r="B63" s="64" t="s">
        <v>46</v>
      </c>
      <c r="E63" s="71">
        <f>126+1728+48911+5183</f>
        <v>55948</v>
      </c>
      <c r="G63" s="15">
        <v>12872.209504794188</v>
      </c>
      <c r="I63" s="19"/>
      <c r="J63" s="20">
        <f>J19</f>
        <v>7.6</v>
      </c>
      <c r="K63" s="66">
        <f t="shared" si="3"/>
        <v>4252</v>
      </c>
      <c r="M63" s="66">
        <f t="shared" si="4"/>
        <v>978</v>
      </c>
      <c r="O63" s="19"/>
      <c r="P63" s="20">
        <f>P19</f>
        <v>7.872</v>
      </c>
      <c r="Q63" s="66">
        <f t="shared" si="5"/>
        <v>1013</v>
      </c>
      <c r="S63" s="60"/>
      <c r="T63" s="60"/>
      <c r="U63" s="60" t="s">
        <v>76</v>
      </c>
      <c r="V63" s="95">
        <v>0.7574461879574922</v>
      </c>
      <c r="AG63" s="60"/>
      <c r="AH63" s="60"/>
      <c r="AU63" s="19"/>
      <c r="AV63" s="20">
        <f>AV41</f>
        <v>7.0866</v>
      </c>
      <c r="AW63" s="66">
        <f t="shared" si="6"/>
        <v>3965</v>
      </c>
      <c r="AX63" s="66" t="s">
        <v>41</v>
      </c>
      <c r="AY63" s="58">
        <v>2</v>
      </c>
    </row>
    <row r="64" spans="1:51" ht="15.75">
      <c r="A64" s="57">
        <f t="shared" si="2"/>
        <v>64</v>
      </c>
      <c r="B64" s="64" t="s">
        <v>47</v>
      </c>
      <c r="E64" s="71">
        <f>0+0+200+(175976-97196-48911)+(18076-12764-5183)</f>
        <v>30198</v>
      </c>
      <c r="G64" s="15">
        <v>6913.790495205814</v>
      </c>
      <c r="I64" s="19"/>
      <c r="J64" s="20">
        <f>J20</f>
        <v>9</v>
      </c>
      <c r="K64" s="66">
        <f t="shared" si="3"/>
        <v>2718</v>
      </c>
      <c r="M64" s="66">
        <f t="shared" si="4"/>
        <v>622</v>
      </c>
      <c r="O64" s="19"/>
      <c r="P64" s="20">
        <f>P20</f>
        <v>9.272</v>
      </c>
      <c r="Q64" s="66">
        <f t="shared" si="5"/>
        <v>641</v>
      </c>
      <c r="S64" s="60"/>
      <c r="T64" s="60"/>
      <c r="U64" s="60" t="s">
        <v>77</v>
      </c>
      <c r="V64" s="95">
        <v>0</v>
      </c>
      <c r="AG64" s="60"/>
      <c r="AH64" s="60"/>
      <c r="AU64" s="19"/>
      <c r="AV64" s="20">
        <f>AV42</f>
        <v>7.0866</v>
      </c>
      <c r="AW64" s="66">
        <f t="shared" si="6"/>
        <v>2140</v>
      </c>
      <c r="AX64" s="66" t="s">
        <v>41</v>
      </c>
      <c r="AY64" s="58">
        <v>2</v>
      </c>
    </row>
    <row r="65" spans="1:51" ht="15.75">
      <c r="A65" s="57">
        <f t="shared" si="2"/>
        <v>65</v>
      </c>
      <c r="B65" s="64" t="s">
        <v>48</v>
      </c>
      <c r="E65" s="71">
        <f>5449+4050+44075+226762</f>
        <v>280336</v>
      </c>
      <c r="G65" s="23">
        <f>G71-SUM(G62:G64,G69)</f>
        <v>60094</v>
      </c>
      <c r="I65" s="19"/>
      <c r="J65" s="20">
        <f>J21</f>
        <v>6.663</v>
      </c>
      <c r="K65" s="66">
        <f t="shared" si="3"/>
        <v>18679</v>
      </c>
      <c r="M65" s="66">
        <f t="shared" si="4"/>
        <v>4004</v>
      </c>
      <c r="O65" s="19"/>
      <c r="P65" s="20">
        <f>P21</f>
        <v>6.936</v>
      </c>
      <c r="Q65" s="66">
        <f t="shared" si="5"/>
        <v>4168</v>
      </c>
      <c r="S65" s="60"/>
      <c r="T65" s="60"/>
      <c r="U65" s="60" t="s">
        <v>78</v>
      </c>
      <c r="V65" s="95">
        <v>1</v>
      </c>
      <c r="AG65" s="60"/>
      <c r="AH65" s="60"/>
      <c r="AU65" s="19"/>
      <c r="AV65" s="20">
        <f>AV43</f>
        <v>6.3029</v>
      </c>
      <c r="AW65" s="66">
        <f t="shared" si="6"/>
        <v>17669</v>
      </c>
      <c r="AX65" s="66" t="s">
        <v>41</v>
      </c>
      <c r="AY65" s="58">
        <v>2</v>
      </c>
    </row>
    <row r="66" spans="1:51" ht="15.75">
      <c r="A66" s="57">
        <f aca="true" t="shared" si="7" ref="A66:A97">A65+1</f>
        <v>66</v>
      </c>
      <c r="B66" s="64" t="s">
        <v>53</v>
      </c>
      <c r="E66" s="59">
        <f>4+4</f>
        <v>8</v>
      </c>
      <c r="G66" s="23">
        <f>E66*($G$57/$E$57)</f>
        <v>1.2648221343873518</v>
      </c>
      <c r="I66" s="24">
        <f>I26</f>
        <v>3.54</v>
      </c>
      <c r="J66" s="16"/>
      <c r="K66" s="66">
        <f>ROUND(I66*$E66,0)</f>
        <v>28</v>
      </c>
      <c r="M66" s="66">
        <f>ROUND(I66*$G66,0)</f>
        <v>4</v>
      </c>
      <c r="O66" s="24">
        <f>I66</f>
        <v>3.54</v>
      </c>
      <c r="P66" s="16"/>
      <c r="Q66" s="66">
        <f>ROUND(O66*$G66,0)</f>
        <v>4</v>
      </c>
      <c r="S66" s="60"/>
      <c r="T66" s="60"/>
      <c r="U66" s="60"/>
      <c r="V66" s="60"/>
      <c r="AG66" s="60"/>
      <c r="AH66" s="60"/>
      <c r="AU66" s="69">
        <f>AU44</f>
        <v>3.54</v>
      </c>
      <c r="AV66" s="16"/>
      <c r="AW66" s="66">
        <f>ROUND(AU66*$E66,0)</f>
        <v>28</v>
      </c>
      <c r="AX66" s="66" t="s">
        <v>41</v>
      </c>
      <c r="AY66" s="58">
        <v>2</v>
      </c>
    </row>
    <row r="67" spans="1:51" ht="15.75">
      <c r="A67" s="57">
        <f t="shared" si="7"/>
        <v>67</v>
      </c>
      <c r="B67" s="64" t="s">
        <v>54</v>
      </c>
      <c r="E67" s="59">
        <v>0</v>
      </c>
      <c r="G67" s="23">
        <f>E67*($G$57/$E$57)</f>
        <v>0</v>
      </c>
      <c r="I67" s="24">
        <f>I27</f>
        <v>10.62</v>
      </c>
      <c r="J67" s="16"/>
      <c r="K67" s="66">
        <f>ROUND(I67*$E67,0)</f>
        <v>0</v>
      </c>
      <c r="M67" s="66">
        <f>ROUND(I67*$G67,0)</f>
        <v>0</v>
      </c>
      <c r="O67" s="24">
        <f>I67</f>
        <v>10.62</v>
      </c>
      <c r="P67" s="16"/>
      <c r="Q67" s="66">
        <f>ROUND(O67*$G67,0)</f>
        <v>0</v>
      </c>
      <c r="S67" s="60"/>
      <c r="T67" s="60"/>
      <c r="U67" s="60"/>
      <c r="V67" s="60"/>
      <c r="AG67" s="60"/>
      <c r="AH67" s="60"/>
      <c r="AU67" s="69">
        <f>AU45</f>
        <v>10.62</v>
      </c>
      <c r="AV67" s="16"/>
      <c r="AW67" s="66">
        <f>ROUND(AU67*$E67,0)</f>
        <v>0</v>
      </c>
      <c r="AX67" s="66" t="s">
        <v>41</v>
      </c>
      <c r="AY67" s="58">
        <v>2</v>
      </c>
    </row>
    <row r="68" spans="1:51" ht="15.75">
      <c r="A68" s="57">
        <f t="shared" si="7"/>
        <v>68</v>
      </c>
      <c r="B68" s="64" t="s">
        <v>55</v>
      </c>
      <c r="E68" s="71">
        <v>0</v>
      </c>
      <c r="G68" s="23">
        <f>E68*($G$57/$E$57)</f>
        <v>0</v>
      </c>
      <c r="I68" s="24">
        <f>I28</f>
        <v>46</v>
      </c>
      <c r="J68" s="16"/>
      <c r="K68" s="77">
        <f>ROUND(I68*$E68,0)</f>
        <v>0</v>
      </c>
      <c r="M68" s="77">
        <f>ROUND(I68*$G68,0)</f>
        <v>0</v>
      </c>
      <c r="O68" s="24">
        <f>I68</f>
        <v>46</v>
      </c>
      <c r="P68" s="16"/>
      <c r="Q68" s="66">
        <f>ROUND(O68*$G68,0)</f>
        <v>0</v>
      </c>
      <c r="S68" s="60"/>
      <c r="T68" s="60"/>
      <c r="U68" s="60"/>
      <c r="V68" s="60"/>
      <c r="AG68" s="60"/>
      <c r="AH68" s="60"/>
      <c r="AU68" s="69">
        <f>AU46</f>
        <v>46</v>
      </c>
      <c r="AV68" s="16"/>
      <c r="AW68" s="77">
        <f>ROUND(AU68*$E68,0)</f>
        <v>0</v>
      </c>
      <c r="AX68" s="66" t="s">
        <v>41</v>
      </c>
      <c r="AY68" s="58">
        <v>2</v>
      </c>
    </row>
    <row r="69" spans="1:51" ht="15.75">
      <c r="A69" s="57">
        <f t="shared" si="7"/>
        <v>69</v>
      </c>
      <c r="B69" s="64" t="s">
        <v>56</v>
      </c>
      <c r="E69" s="78">
        <v>0</v>
      </c>
      <c r="G69" s="22">
        <f>E69*($G$71-$G$70)/($E$71-$E$70)</f>
        <v>0</v>
      </c>
      <c r="I69" s="19"/>
      <c r="J69" s="20">
        <f>J47</f>
        <v>0</v>
      </c>
      <c r="K69" s="80">
        <f>ROUND(J69*$E69/100,0)</f>
        <v>0</v>
      </c>
      <c r="M69" s="80">
        <f>ROUND(J69*$G69/100,0)</f>
        <v>0</v>
      </c>
      <c r="O69" s="19"/>
      <c r="P69" s="20">
        <f>P29</f>
        <v>0</v>
      </c>
      <c r="Q69" s="80">
        <f>ROUND(P69*$G69/100,0)</f>
        <v>0</v>
      </c>
      <c r="S69" s="60"/>
      <c r="T69" s="60"/>
      <c r="U69" s="60"/>
      <c r="V69" s="60"/>
      <c r="AG69" s="60"/>
      <c r="AH69" s="60"/>
      <c r="AU69" s="19"/>
      <c r="AV69" s="20">
        <f>AV29</f>
        <v>0</v>
      </c>
      <c r="AW69" s="80">
        <f>ROUND(AV69*$E69/100,0)</f>
        <v>0</v>
      </c>
      <c r="AX69" s="77" t="s">
        <v>41</v>
      </c>
      <c r="AY69" s="58">
        <v>2</v>
      </c>
    </row>
    <row r="70" spans="1:51" ht="15.75">
      <c r="A70" s="57">
        <f t="shared" si="7"/>
        <v>70</v>
      </c>
      <c r="B70" s="64" t="s">
        <v>57</v>
      </c>
      <c r="E70" s="22">
        <v>1520</v>
      </c>
      <c r="G70" s="22">
        <v>0</v>
      </c>
      <c r="I70" s="76"/>
      <c r="K70" s="81">
        <f>AW70</f>
        <v>104</v>
      </c>
      <c r="M70" s="81">
        <v>0</v>
      </c>
      <c r="O70" s="76"/>
      <c r="Q70" s="81">
        <v>0</v>
      </c>
      <c r="S70" s="60"/>
      <c r="T70" s="60"/>
      <c r="U70" s="60"/>
      <c r="V70" s="60"/>
      <c r="AG70" s="60"/>
      <c r="AH70" s="60"/>
      <c r="AU70" s="76"/>
      <c r="AW70" s="81">
        <v>104</v>
      </c>
      <c r="AX70" s="77" t="s">
        <v>41</v>
      </c>
      <c r="AY70" s="58">
        <v>2</v>
      </c>
    </row>
    <row r="71" spans="1:51" ht="16.5" thickBot="1">
      <c r="A71" s="57">
        <f t="shared" si="7"/>
        <v>71</v>
      </c>
      <c r="B71" s="64" t="s">
        <v>58</v>
      </c>
      <c r="E71" s="82">
        <f>E62+E63+E64+E65+E70</f>
        <v>482262</v>
      </c>
      <c r="G71" s="82">
        <v>99380</v>
      </c>
      <c r="I71" s="96"/>
      <c r="J71" s="96"/>
      <c r="K71" s="97">
        <f>SUM(K57:K70)</f>
        <v>34138</v>
      </c>
      <c r="M71" s="97">
        <f>SUM(M57:M70)</f>
        <v>7025</v>
      </c>
      <c r="O71" s="96"/>
      <c r="P71" s="96"/>
      <c r="Q71" s="97">
        <f>SUM(Q57:Q70)</f>
        <v>7297</v>
      </c>
      <c r="S71" s="60"/>
      <c r="T71" s="60"/>
      <c r="U71" s="60"/>
      <c r="V71" s="60"/>
      <c r="AG71" s="60"/>
      <c r="AH71" s="60"/>
      <c r="AU71" s="96"/>
      <c r="AV71" s="96"/>
      <c r="AW71" s="97">
        <f>SUM(AW57:AW70)</f>
        <v>31852</v>
      </c>
      <c r="AX71" s="77" t="s">
        <v>41</v>
      </c>
      <c r="AY71" s="58">
        <v>2</v>
      </c>
    </row>
    <row r="72" spans="1:51" ht="16.5" thickTop="1">
      <c r="A72" s="57">
        <f t="shared" si="7"/>
        <v>72</v>
      </c>
      <c r="B72" s="64" t="s">
        <v>60</v>
      </c>
      <c r="E72" s="59"/>
      <c r="G72" s="59"/>
      <c r="I72" s="76"/>
      <c r="J72" s="26">
        <f>J32</f>
        <v>0</v>
      </c>
      <c r="K72" s="81">
        <f>ROUND(SUM(K58:K65)*J72,0)</f>
        <v>0</v>
      </c>
      <c r="M72" s="81">
        <f>ROUND(SUM(M58:M65)*J72,0)</f>
        <v>0</v>
      </c>
      <c r="O72" s="76"/>
      <c r="P72" s="26">
        <f>P32</f>
        <v>0</v>
      </c>
      <c r="Q72" s="81">
        <f>ROUND(SUM(Q58:Q65)*P72,0)</f>
        <v>0</v>
      </c>
      <c r="AG72" s="60"/>
      <c r="AH72" s="60"/>
      <c r="AU72" s="76"/>
      <c r="AV72" s="26">
        <v>0.0367</v>
      </c>
      <c r="AW72" s="81">
        <f>ROUND(SUM(AW58:AW65)*AV72,0)</f>
        <v>1137</v>
      </c>
      <c r="AX72" s="77" t="s">
        <v>41</v>
      </c>
      <c r="AY72" s="58">
        <v>2</v>
      </c>
    </row>
    <row r="73" spans="1:51" ht="15.75">
      <c r="A73" s="57">
        <f t="shared" si="7"/>
        <v>73</v>
      </c>
      <c r="B73" s="64" t="s">
        <v>62</v>
      </c>
      <c r="E73" s="59"/>
      <c r="G73" s="59"/>
      <c r="I73" s="76"/>
      <c r="J73" s="26">
        <f>J33</f>
        <v>0.0304</v>
      </c>
      <c r="K73" s="81">
        <f>ROUND(SUM(K58:K65,K72)*J73,0)</f>
        <v>1011</v>
      </c>
      <c r="M73" s="81">
        <f>ROUND(SUM(M58:M65,M72)*J73,0)</f>
        <v>210</v>
      </c>
      <c r="O73" s="76"/>
      <c r="P73" s="26">
        <f>P33</f>
        <v>0.0304</v>
      </c>
      <c r="Q73" s="81">
        <f>ROUND(SUM(Q58:Q65,Q72)*P73,0)</f>
        <v>218</v>
      </c>
      <c r="S73" s="60"/>
      <c r="T73" s="60"/>
      <c r="U73" s="60"/>
      <c r="V73" s="60"/>
      <c r="AG73" s="60"/>
      <c r="AH73" s="60"/>
      <c r="AU73" s="76"/>
      <c r="AV73" s="26">
        <f>AV33</f>
        <v>0</v>
      </c>
      <c r="AW73" s="81">
        <f>ROUND(SUM(AW58:AW65,AW72)*AV73,0)</f>
        <v>0</v>
      </c>
      <c r="AX73" s="77" t="s">
        <v>41</v>
      </c>
      <c r="AY73" s="58">
        <v>2</v>
      </c>
    </row>
    <row r="74" spans="1:51" ht="15.75">
      <c r="A74" s="57">
        <f t="shared" si="7"/>
        <v>74</v>
      </c>
      <c r="E74" s="59"/>
      <c r="G74" s="59"/>
      <c r="T74" s="60"/>
      <c r="U74" s="60"/>
      <c r="AG74" s="60"/>
      <c r="AH74" s="60"/>
      <c r="AX74" s="58" t="s">
        <v>41</v>
      </c>
      <c r="AY74" s="58">
        <v>2</v>
      </c>
    </row>
    <row r="75" spans="1:51" ht="15.75">
      <c r="A75" s="57">
        <f t="shared" si="7"/>
        <v>75</v>
      </c>
      <c r="B75" s="64" t="s">
        <v>79</v>
      </c>
      <c r="E75" s="59"/>
      <c r="G75" s="59"/>
      <c r="T75" s="60"/>
      <c r="U75" s="60"/>
      <c r="AG75" s="60"/>
      <c r="AH75" s="60"/>
      <c r="AX75" s="58" t="s">
        <v>41</v>
      </c>
      <c r="AY75" s="58">
        <v>25</v>
      </c>
    </row>
    <row r="76" spans="1:51" ht="15.75">
      <c r="A76" s="57">
        <f t="shared" si="7"/>
        <v>76</v>
      </c>
      <c r="B76" s="64" t="s">
        <v>80</v>
      </c>
      <c r="E76" s="59"/>
      <c r="G76" s="59"/>
      <c r="T76" s="60"/>
      <c r="U76" s="60"/>
      <c r="AG76" s="60"/>
      <c r="AH76" s="60"/>
      <c r="AX76" s="58" t="s">
        <v>41</v>
      </c>
      <c r="AY76" s="58">
        <v>25</v>
      </c>
    </row>
    <row r="77" spans="1:51" ht="15.75">
      <c r="A77" s="57">
        <f t="shared" si="7"/>
        <v>77</v>
      </c>
      <c r="B77" s="64"/>
      <c r="E77" s="59"/>
      <c r="G77" s="59"/>
      <c r="AG77" s="60"/>
      <c r="AH77" s="60"/>
      <c r="AX77" s="58" t="s">
        <v>41</v>
      </c>
      <c r="AY77" s="58">
        <v>25</v>
      </c>
    </row>
    <row r="78" spans="1:51" ht="15.75">
      <c r="A78" s="57">
        <f t="shared" si="7"/>
        <v>78</v>
      </c>
      <c r="B78" s="98" t="s">
        <v>81</v>
      </c>
      <c r="E78" s="59"/>
      <c r="G78" s="59"/>
      <c r="AG78" s="60"/>
      <c r="AH78" s="60"/>
      <c r="AX78" s="58" t="s">
        <v>41</v>
      </c>
      <c r="AY78" s="58">
        <v>25</v>
      </c>
    </row>
    <row r="79" spans="1:51" ht="15.75">
      <c r="A79" s="57">
        <f t="shared" si="7"/>
        <v>79</v>
      </c>
      <c r="B79" s="64" t="s">
        <v>44</v>
      </c>
      <c r="E79" s="59">
        <v>132</v>
      </c>
      <c r="G79" s="23">
        <v>132</v>
      </c>
      <c r="I79" s="69">
        <v>8.76</v>
      </c>
      <c r="K79" s="66">
        <f>ROUND(I79*$E79,0)</f>
        <v>1156</v>
      </c>
      <c r="M79" s="66">
        <f>ROUND(I79*$G79,0)</f>
        <v>1156</v>
      </c>
      <c r="O79" s="69">
        <v>9</v>
      </c>
      <c r="Q79" s="66">
        <f>ROUND(O79*$G79,0)</f>
        <v>1188</v>
      </c>
      <c r="AG79" s="60"/>
      <c r="AH79" s="60"/>
      <c r="AU79" s="69">
        <v>8.76</v>
      </c>
      <c r="AW79" s="66">
        <f>ROUND(AU79*$E79,0)</f>
        <v>1156</v>
      </c>
      <c r="AX79" s="66" t="s">
        <v>41</v>
      </c>
      <c r="AY79" s="58">
        <v>25</v>
      </c>
    </row>
    <row r="80" spans="1:51" ht="15.75">
      <c r="A80" s="57">
        <f t="shared" si="7"/>
        <v>80</v>
      </c>
      <c r="B80" s="64" t="s">
        <v>82</v>
      </c>
      <c r="E80" s="59">
        <v>26509</v>
      </c>
      <c r="G80" s="23">
        <f>E80*($G$85-$G$84)/($E$85-$E$84)</f>
        <v>26774.746766534492</v>
      </c>
      <c r="I80" s="69">
        <v>4.57</v>
      </c>
      <c r="K80" s="66">
        <f>ROUND(I80*$E80,0)</f>
        <v>121146</v>
      </c>
      <c r="M80" s="66">
        <f>ROUND(I80*$G80,0)</f>
        <v>122361</v>
      </c>
      <c r="O80" s="69">
        <v>4.74</v>
      </c>
      <c r="Q80" s="66">
        <f>ROUND(O80*$G80,0)</f>
        <v>126912</v>
      </c>
      <c r="R80" s="69">
        <f>ROUND(O80*$S$87/$S$85,2)</f>
        <v>0</v>
      </c>
      <c r="S80" s="68"/>
      <c r="T80" s="70"/>
      <c r="U80" s="66"/>
      <c r="V80" s="17"/>
      <c r="AG80" s="60"/>
      <c r="AH80" s="60"/>
      <c r="AU80" s="69">
        <v>4.24</v>
      </c>
      <c r="AW80" s="66">
        <f>ROUND(AU80*$E80,0)</f>
        <v>112398</v>
      </c>
      <c r="AX80" s="66" t="s">
        <v>41</v>
      </c>
      <c r="AY80" s="58">
        <v>25</v>
      </c>
    </row>
    <row r="81" spans="1:51" ht="15.75">
      <c r="A81" s="57">
        <f t="shared" si="7"/>
        <v>81</v>
      </c>
      <c r="B81" s="64" t="s">
        <v>83</v>
      </c>
      <c r="E81" s="59">
        <v>14693</v>
      </c>
      <c r="G81" s="23">
        <f>E81*($G$85-$G$84)/($E$85-$E$84)</f>
        <v>14840.294022433562</v>
      </c>
      <c r="I81" s="69">
        <v>-0.41</v>
      </c>
      <c r="K81" s="66">
        <f>ROUND(I81*$E81,0)</f>
        <v>-6024</v>
      </c>
      <c r="M81" s="66">
        <f>ROUND(I81*$G81,0)</f>
        <v>-6085</v>
      </c>
      <c r="O81" s="69">
        <v>-0.43</v>
      </c>
      <c r="Q81" s="66">
        <f>ROUND(O81*$G81,0)</f>
        <v>-6381</v>
      </c>
      <c r="R81" s="69">
        <f>ROUND(O81*$S$87/$S$85,2)</f>
        <v>0</v>
      </c>
      <c r="T81" s="70"/>
      <c r="U81" s="66"/>
      <c r="V81" s="17"/>
      <c r="AG81" s="60"/>
      <c r="AH81" s="60"/>
      <c r="AU81" s="69">
        <v>-0.41</v>
      </c>
      <c r="AW81" s="66">
        <f>ROUND(AU81*$E81,0)</f>
        <v>-6024</v>
      </c>
      <c r="AX81" s="66" t="s">
        <v>41</v>
      </c>
      <c r="AY81" s="58">
        <v>25</v>
      </c>
    </row>
    <row r="82" spans="1:51" ht="15.75">
      <c r="A82" s="57">
        <f t="shared" si="7"/>
        <v>82</v>
      </c>
      <c r="B82" s="64" t="s">
        <v>84</v>
      </c>
      <c r="E82" s="59">
        <v>11335516</v>
      </c>
      <c r="G82" s="23">
        <f>G85-G84</f>
        <v>11449152</v>
      </c>
      <c r="I82" s="19"/>
      <c r="J82" s="79">
        <v>4.7282</v>
      </c>
      <c r="K82" s="66">
        <f>ROUND(J82*$E82/100,0)</f>
        <v>535966</v>
      </c>
      <c r="M82" s="66">
        <f>ROUND(J82*$G82/100,0)</f>
        <v>541339</v>
      </c>
      <c r="O82" s="19"/>
      <c r="P82" s="79">
        <v>4.9096</v>
      </c>
      <c r="Q82" s="66">
        <f>ROUND(P82*$G82/100,0)</f>
        <v>562108</v>
      </c>
      <c r="S82" s="68">
        <f>ROUND(P82*$S$87/$S$85,4)</f>
        <v>0</v>
      </c>
      <c r="T82" s="70"/>
      <c r="U82" s="66"/>
      <c r="V82" s="17"/>
      <c r="AG82" s="60"/>
      <c r="AH82" s="60"/>
      <c r="AU82" s="19"/>
      <c r="AV82" s="79">
        <v>4.3926</v>
      </c>
      <c r="AW82" s="66">
        <f>ROUND(AV82*$E82/100,0)</f>
        <v>497924</v>
      </c>
      <c r="AX82" s="66" t="s">
        <v>41</v>
      </c>
      <c r="AY82" s="58">
        <v>25</v>
      </c>
    </row>
    <row r="83" spans="1:51" ht="15.75">
      <c r="A83" s="57">
        <f t="shared" si="7"/>
        <v>83</v>
      </c>
      <c r="B83" s="64" t="s">
        <v>85</v>
      </c>
      <c r="E83" s="59">
        <v>0</v>
      </c>
      <c r="G83" s="23">
        <f>E83*($G$79/$E$79)</f>
        <v>0</v>
      </c>
      <c r="I83" s="69">
        <v>4.14</v>
      </c>
      <c r="K83" s="66">
        <f>ROUND(I83*$E83,0)</f>
        <v>0</v>
      </c>
      <c r="M83" s="66">
        <f>ROUND(I83*$G83,0)</f>
        <v>0</v>
      </c>
      <c r="O83" s="69">
        <v>4.14</v>
      </c>
      <c r="Q83" s="66">
        <f>ROUND(O83*$G83,0)</f>
        <v>0</v>
      </c>
      <c r="S83" s="68"/>
      <c r="T83" s="70"/>
      <c r="U83" s="66"/>
      <c r="V83" s="17"/>
      <c r="AG83" s="60"/>
      <c r="AH83" s="60"/>
      <c r="AU83" s="69">
        <v>4.14</v>
      </c>
      <c r="AW83" s="66">
        <f>ROUND(AU83*$E83,0)</f>
        <v>0</v>
      </c>
      <c r="AX83" s="66" t="s">
        <v>41</v>
      </c>
      <c r="AY83" s="58">
        <v>25</v>
      </c>
    </row>
    <row r="84" spans="1:51" ht="15.75">
      <c r="A84" s="57">
        <f t="shared" si="7"/>
        <v>84</v>
      </c>
      <c r="B84" s="64" t="s">
        <v>57</v>
      </c>
      <c r="E84" s="22">
        <v>151015</v>
      </c>
      <c r="G84" s="22">
        <v>0</v>
      </c>
      <c r="I84" s="76"/>
      <c r="K84" s="81">
        <f>AW84</f>
        <v>10307</v>
      </c>
      <c r="M84" s="81">
        <v>0</v>
      </c>
      <c r="O84" s="76"/>
      <c r="Q84" s="81">
        <v>0</v>
      </c>
      <c r="U84" s="66"/>
      <c r="V84" s="17"/>
      <c r="AG84" s="60"/>
      <c r="AH84" s="60"/>
      <c r="AU84" s="76"/>
      <c r="AW84" s="81">
        <v>10307</v>
      </c>
      <c r="AX84" s="77" t="s">
        <v>41</v>
      </c>
      <c r="AY84" s="58">
        <v>25</v>
      </c>
    </row>
    <row r="85" spans="1:51" ht="16.5" thickBot="1">
      <c r="A85" s="57">
        <f t="shared" si="7"/>
        <v>85</v>
      </c>
      <c r="B85" s="64" t="s">
        <v>58</v>
      </c>
      <c r="E85" s="99">
        <f>E82+E84</f>
        <v>11486531</v>
      </c>
      <c r="G85" s="82">
        <v>11449152</v>
      </c>
      <c r="I85" s="96"/>
      <c r="J85" s="100"/>
      <c r="K85" s="97">
        <f>SUM(K79:K84)</f>
        <v>662551</v>
      </c>
      <c r="M85" s="97">
        <f>SUM(M79:M84)</f>
        <v>658771</v>
      </c>
      <c r="O85" s="96"/>
      <c r="P85" s="100"/>
      <c r="Q85" s="97">
        <f>SUM(Q79:Q84)</f>
        <v>683827</v>
      </c>
      <c r="R85" s="85" t="s">
        <v>59</v>
      </c>
      <c r="S85" s="86">
        <f>Q85</f>
        <v>683827</v>
      </c>
      <c r="U85" s="66"/>
      <c r="W85" s="60"/>
      <c r="X85" s="60"/>
      <c r="AG85" s="60"/>
      <c r="AH85" s="60"/>
      <c r="AU85" s="96"/>
      <c r="AV85" s="100"/>
      <c r="AW85" s="97">
        <f>SUM(AW79:AW84)</f>
        <v>615761</v>
      </c>
      <c r="AX85" s="77" t="s">
        <v>41</v>
      </c>
      <c r="AY85" s="58">
        <v>25</v>
      </c>
    </row>
    <row r="86" spans="1:51" ht="16.5" thickTop="1">
      <c r="A86" s="57">
        <f t="shared" si="7"/>
        <v>86</v>
      </c>
      <c r="B86" s="64" t="s">
        <v>60</v>
      </c>
      <c r="E86" s="59"/>
      <c r="G86" s="59"/>
      <c r="I86" s="76"/>
      <c r="J86" s="26">
        <v>0</v>
      </c>
      <c r="K86" s="81">
        <f>ROUND(SUM(K80:K82)*J86,0)</f>
        <v>0</v>
      </c>
      <c r="M86" s="81">
        <f>ROUND(SUM(M80:M82)*J86,0)</f>
        <v>0</v>
      </c>
      <c r="O86" s="76"/>
      <c r="P86" s="26">
        <v>0</v>
      </c>
      <c r="Q86" s="81">
        <f>ROUND(SUM(Q80:Q82)*P86,0)</f>
        <v>0</v>
      </c>
      <c r="R86" s="88" t="s">
        <v>61</v>
      </c>
      <c r="S86" s="89">
        <v>683826.6179038013</v>
      </c>
      <c r="W86" s="60"/>
      <c r="X86" s="60"/>
      <c r="AG86" s="60"/>
      <c r="AH86" s="60"/>
      <c r="AU86" s="76"/>
      <c r="AV86" s="26">
        <v>0.0356</v>
      </c>
      <c r="AW86" s="81">
        <f>ROUND(SUM(AW80:AW82)*AV86,0)</f>
        <v>21513</v>
      </c>
      <c r="AX86" s="77" t="s">
        <v>41</v>
      </c>
      <c r="AY86" s="58">
        <v>25</v>
      </c>
    </row>
    <row r="87" spans="1:51" ht="15.75">
      <c r="A87" s="57">
        <f t="shared" si="7"/>
        <v>87</v>
      </c>
      <c r="B87" s="64" t="s">
        <v>62</v>
      </c>
      <c r="E87" s="59"/>
      <c r="G87" s="59"/>
      <c r="I87" s="76"/>
      <c r="J87" s="26">
        <v>0.0301</v>
      </c>
      <c r="K87" s="81">
        <f>ROUND(SUM(K80:K82,K86)*J87,0)</f>
        <v>19598</v>
      </c>
      <c r="M87" s="81">
        <f>ROUND(SUM(M80:M82,M86)*J87,0)</f>
        <v>19794</v>
      </c>
      <c r="O87" s="76"/>
      <c r="P87" s="26">
        <v>0.0301</v>
      </c>
      <c r="Q87" s="81">
        <f>ROUND(SUM(Q80:Q82,Q86)*P87,0)</f>
        <v>20547</v>
      </c>
      <c r="R87" s="90" t="s">
        <v>515</v>
      </c>
      <c r="S87" s="91">
        <f>S86-S85</f>
        <v>-0.38209619873669</v>
      </c>
      <c r="U87" s="66"/>
      <c r="W87" s="60"/>
      <c r="X87" s="60"/>
      <c r="AG87" s="60"/>
      <c r="AH87" s="60"/>
      <c r="AU87" s="76"/>
      <c r="AV87" s="26"/>
      <c r="AW87" s="81">
        <f>ROUND(SUM(AW80:AW82,AW86)*AV87,0)</f>
        <v>0</v>
      </c>
      <c r="AX87" s="77" t="s">
        <v>41</v>
      </c>
      <c r="AY87" s="58">
        <v>25</v>
      </c>
    </row>
    <row r="88" spans="1:51" ht="15.75">
      <c r="A88" s="57">
        <f t="shared" si="7"/>
        <v>88</v>
      </c>
      <c r="B88" s="64"/>
      <c r="E88" s="59"/>
      <c r="G88" s="59"/>
      <c r="J88" s="93"/>
      <c r="P88" s="93"/>
      <c r="R88" s="55"/>
      <c r="T88" s="60"/>
      <c r="U88" s="60"/>
      <c r="AG88" s="60"/>
      <c r="AH88" s="60"/>
      <c r="AV88" s="93"/>
      <c r="AX88" s="58" t="s">
        <v>41</v>
      </c>
      <c r="AY88" s="58">
        <v>25</v>
      </c>
    </row>
    <row r="89" spans="1:51" ht="15.75">
      <c r="A89" s="57">
        <f t="shared" si="7"/>
        <v>89</v>
      </c>
      <c r="AG89" s="60"/>
      <c r="AH89" s="60"/>
      <c r="AX89" s="58" t="s">
        <v>41</v>
      </c>
      <c r="AY89" s="58">
        <v>25</v>
      </c>
    </row>
    <row r="90" spans="1:51" ht="15.75">
      <c r="A90" s="57">
        <f t="shared" si="7"/>
        <v>90</v>
      </c>
      <c r="E90" s="59"/>
      <c r="G90" s="59"/>
      <c r="J90" s="93"/>
      <c r="P90" s="93"/>
      <c r="U90" s="68"/>
      <c r="AG90" s="60"/>
      <c r="AH90" s="60"/>
      <c r="AV90" s="93"/>
      <c r="AX90" s="58" t="s">
        <v>41</v>
      </c>
      <c r="AY90" s="58">
        <v>25</v>
      </c>
    </row>
    <row r="91" spans="1:51" ht="15.75">
      <c r="A91" s="57">
        <f t="shared" si="7"/>
        <v>91</v>
      </c>
      <c r="B91" s="64" t="s">
        <v>86</v>
      </c>
      <c r="E91" s="59"/>
      <c r="G91" s="59"/>
      <c r="AG91" s="60"/>
      <c r="AH91" s="60"/>
      <c r="AX91" s="58" t="s">
        <v>87</v>
      </c>
      <c r="AY91" s="58">
        <v>23</v>
      </c>
    </row>
    <row r="92" spans="1:51" ht="15.75">
      <c r="A92" s="57">
        <f t="shared" si="7"/>
        <v>92</v>
      </c>
      <c r="B92" s="64" t="s">
        <v>88</v>
      </c>
      <c r="E92" s="59"/>
      <c r="G92" s="59"/>
      <c r="AG92" s="60"/>
      <c r="AH92" s="60"/>
      <c r="AX92" s="58" t="s">
        <v>87</v>
      </c>
      <c r="AY92" s="58">
        <v>23</v>
      </c>
    </row>
    <row r="93" spans="1:51" ht="15.75">
      <c r="A93" s="57">
        <f t="shared" si="7"/>
        <v>93</v>
      </c>
      <c r="B93" s="64" t="s">
        <v>89</v>
      </c>
      <c r="E93" s="59"/>
      <c r="G93" s="59"/>
      <c r="AG93" s="60"/>
      <c r="AH93" s="60"/>
      <c r="AX93" s="58" t="s">
        <v>87</v>
      </c>
      <c r="AY93" s="58">
        <v>23</v>
      </c>
    </row>
    <row r="94" spans="1:51" ht="15.75">
      <c r="A94" s="57">
        <f t="shared" si="7"/>
        <v>94</v>
      </c>
      <c r="E94" s="59"/>
      <c r="G94" s="59"/>
      <c r="AG94" s="60"/>
      <c r="AH94" s="60"/>
      <c r="AX94" s="58" t="s">
        <v>87</v>
      </c>
      <c r="AY94" s="58">
        <v>23</v>
      </c>
    </row>
    <row r="95" spans="1:51" ht="15.75">
      <c r="A95" s="57">
        <f t="shared" si="7"/>
        <v>95</v>
      </c>
      <c r="B95" s="64" t="s">
        <v>44</v>
      </c>
      <c r="E95" s="59">
        <f>E119+E137+E155+E192+E209+E174</f>
        <v>710824.1699999999</v>
      </c>
      <c r="G95" s="59">
        <f>G119+G137+G155+G192+G209+G174</f>
        <v>762597</v>
      </c>
      <c r="I95" s="69">
        <v>3.93</v>
      </c>
      <c r="J95" s="16"/>
      <c r="K95" s="66">
        <f>ROUND(I95*$E95,0)</f>
        <v>2793539</v>
      </c>
      <c r="M95" s="66">
        <f>ROUND(I95*$G95,0)</f>
        <v>2997006</v>
      </c>
      <c r="O95" s="69">
        <v>4</v>
      </c>
      <c r="P95" s="16"/>
      <c r="Q95" s="66">
        <f>ROUND(O95*$G95,0)</f>
        <v>3050388</v>
      </c>
      <c r="AG95" s="60"/>
      <c r="AH95" s="60"/>
      <c r="AU95" s="69">
        <v>3.93</v>
      </c>
      <c r="AV95" s="16"/>
      <c r="AW95" s="66">
        <f>ROUND(AU95*$E95,0)</f>
        <v>2793539</v>
      </c>
      <c r="AX95" s="66" t="s">
        <v>87</v>
      </c>
      <c r="AY95" s="58">
        <v>23</v>
      </c>
    </row>
    <row r="96" spans="1:51" ht="15.75">
      <c r="A96" s="57">
        <f t="shared" si="7"/>
        <v>96</v>
      </c>
      <c r="B96" s="64" t="s">
        <v>90</v>
      </c>
      <c r="E96" s="15">
        <f>E226+E243</f>
        <v>0</v>
      </c>
      <c r="G96" s="15">
        <f>G226+G243</f>
        <v>0</v>
      </c>
      <c r="I96" s="69">
        <v>6.69</v>
      </c>
      <c r="J96" s="16"/>
      <c r="K96" s="66">
        <f>ROUND(I96*$E96,0)</f>
        <v>0</v>
      </c>
      <c r="M96" s="66">
        <f>ROUND(I96*$G96,0)</f>
        <v>0</v>
      </c>
      <c r="O96" s="69">
        <v>7</v>
      </c>
      <c r="P96" s="16"/>
      <c r="Q96" s="66">
        <f>ROUND(O96*$G96,0)</f>
        <v>0</v>
      </c>
      <c r="AG96" s="60"/>
      <c r="AH96" s="60"/>
      <c r="AU96" s="69">
        <v>6.69</v>
      </c>
      <c r="AV96" s="16"/>
      <c r="AW96" s="66">
        <f>ROUND(AU96*$E96,0)</f>
        <v>0</v>
      </c>
      <c r="AX96" s="66" t="s">
        <v>87</v>
      </c>
      <c r="AY96" s="58">
        <v>23</v>
      </c>
    </row>
    <row r="97" spans="1:51" ht="15.75">
      <c r="A97" s="57">
        <f t="shared" si="7"/>
        <v>97</v>
      </c>
      <c r="B97" s="64" t="s">
        <v>91</v>
      </c>
      <c r="E97" s="59">
        <f aca="true" t="shared" si="8" ref="E97:E103">E120+E138+E156+E193+E210+E175+E227+E244</f>
        <v>292767.25</v>
      </c>
      <c r="G97" s="59">
        <f aca="true" t="shared" si="9" ref="G97:G103">G120+G138+G156+G193+G210+G175+G227+G244</f>
        <v>325175.271245388</v>
      </c>
      <c r="I97" s="69">
        <v>6.03</v>
      </c>
      <c r="J97" s="16"/>
      <c r="K97" s="66">
        <f>ROUND(I97*$E97,0)</f>
        <v>1765387</v>
      </c>
      <c r="M97" s="66">
        <f>ROUND(I97*$G97,0)</f>
        <v>1960807</v>
      </c>
      <c r="O97" s="69">
        <v>6.27</v>
      </c>
      <c r="P97" s="16"/>
      <c r="Q97" s="66">
        <f>ROUND(O97*$G97,0)</f>
        <v>2038849</v>
      </c>
      <c r="R97" s="69">
        <f>ROUND(O97*$S$113/$S$111,2)</f>
        <v>0</v>
      </c>
      <c r="S97" s="68"/>
      <c r="T97" s="101"/>
      <c r="U97" s="66"/>
      <c r="V97" s="17"/>
      <c r="W97" s="70"/>
      <c r="AG97" s="60"/>
      <c r="AH97" s="60"/>
      <c r="AU97" s="69">
        <v>5.58</v>
      </c>
      <c r="AV97" s="16"/>
      <c r="AW97" s="66">
        <f>ROUND(AU97*$E97,0)</f>
        <v>1633641</v>
      </c>
      <c r="AX97" s="66" t="s">
        <v>87</v>
      </c>
      <c r="AY97" s="58">
        <v>23</v>
      </c>
    </row>
    <row r="98" spans="1:51" ht="15.75">
      <c r="A98" s="57">
        <f aca="true" t="shared" si="10" ref="A98:A104">A97+1</f>
        <v>98</v>
      </c>
      <c r="B98" s="64" t="s">
        <v>92</v>
      </c>
      <c r="E98" s="59">
        <f t="shared" si="8"/>
        <v>298601.56</v>
      </c>
      <c r="G98" s="59">
        <f t="shared" si="9"/>
        <v>331655.41319015704</v>
      </c>
      <c r="I98" s="69">
        <v>6.08</v>
      </c>
      <c r="J98" s="16"/>
      <c r="K98" s="66">
        <f>ROUND(I98*$E98,0)</f>
        <v>1815497</v>
      </c>
      <c r="M98" s="66">
        <f>ROUND(I98*$G98,0)</f>
        <v>2016465</v>
      </c>
      <c r="O98" s="69">
        <v>6.32</v>
      </c>
      <c r="P98" s="16"/>
      <c r="Q98" s="66">
        <f>ROUND(O98*$G98,0)</f>
        <v>2096062</v>
      </c>
      <c r="R98" s="69">
        <f>ROUND(O98*$S$113/$S$111,2)</f>
        <v>0</v>
      </c>
      <c r="S98" s="68"/>
      <c r="T98" s="101"/>
      <c r="U98" s="66"/>
      <c r="V98" s="17"/>
      <c r="W98" s="70"/>
      <c r="AG98" s="60"/>
      <c r="AH98" s="60"/>
      <c r="AU98" s="69">
        <f>AU97</f>
        <v>5.58</v>
      </c>
      <c r="AV98" s="16"/>
      <c r="AW98" s="66">
        <f>ROUND(AU98*$E98,0)</f>
        <v>1666197</v>
      </c>
      <c r="AX98" s="66" t="s">
        <v>87</v>
      </c>
      <c r="AY98" s="58">
        <v>23</v>
      </c>
    </row>
    <row r="99" spans="1:51" ht="15.75">
      <c r="A99" s="57">
        <f t="shared" si="10"/>
        <v>99</v>
      </c>
      <c r="B99" s="64" t="s">
        <v>93</v>
      </c>
      <c r="E99" s="59">
        <f t="shared" si="8"/>
        <v>7661</v>
      </c>
      <c r="G99" s="59">
        <f t="shared" si="9"/>
        <v>8509.038333389126</v>
      </c>
      <c r="I99" s="69">
        <v>-0.34</v>
      </c>
      <c r="J99" s="16"/>
      <c r="K99" s="66">
        <f>ROUND(I99*$E99,0)</f>
        <v>-2605</v>
      </c>
      <c r="M99" s="66">
        <f>ROUND(I99*$G99,0)</f>
        <v>-2893</v>
      </c>
      <c r="O99" s="69">
        <v>-0.35</v>
      </c>
      <c r="P99" s="16"/>
      <c r="Q99" s="66">
        <f>ROUND(O99*$G99,0)</f>
        <v>-2978</v>
      </c>
      <c r="R99" s="69">
        <f>ROUND(O99*$S$113/$S$111,2)</f>
        <v>0</v>
      </c>
      <c r="T99" s="102"/>
      <c r="U99" s="66"/>
      <c r="V99" s="17"/>
      <c r="AG99" s="60"/>
      <c r="AH99" s="60"/>
      <c r="AU99" s="69">
        <v>-0.34</v>
      </c>
      <c r="AV99" s="16"/>
      <c r="AW99" s="66">
        <f>ROUND(AU99*$E99,0)</f>
        <v>-2605</v>
      </c>
      <c r="AX99" s="66" t="s">
        <v>87</v>
      </c>
      <c r="AY99" s="58">
        <v>23</v>
      </c>
    </row>
    <row r="100" spans="1:51" ht="15.75">
      <c r="A100" s="57">
        <f t="shared" si="10"/>
        <v>100</v>
      </c>
      <c r="B100" s="64" t="s">
        <v>94</v>
      </c>
      <c r="E100" s="59">
        <f t="shared" si="8"/>
        <v>229751905</v>
      </c>
      <c r="G100" s="59">
        <f t="shared" si="9"/>
        <v>222246225.06354824</v>
      </c>
      <c r="I100" s="19"/>
      <c r="J100" s="79">
        <v>8.1827</v>
      </c>
      <c r="K100" s="66">
        <f>ROUND(J100*$E100/100,0)</f>
        <v>18799909</v>
      </c>
      <c r="M100" s="66">
        <f aca="true" t="shared" si="11" ref="M100:M107">ROUND(J100*$G100/100,0)</f>
        <v>18185742</v>
      </c>
      <c r="O100" s="19"/>
      <c r="P100" s="79">
        <v>8.4999</v>
      </c>
      <c r="Q100" s="66">
        <f>ROUND(P100*$G100/100,0)</f>
        <v>18890707</v>
      </c>
      <c r="S100" s="68">
        <f>ROUND(P100*$S$113/$S$111,4)</f>
        <v>0</v>
      </c>
      <c r="T100" s="101"/>
      <c r="U100" s="66"/>
      <c r="V100" s="17"/>
      <c r="W100" s="70"/>
      <c r="AG100" s="60"/>
      <c r="AH100" s="60"/>
      <c r="AU100" s="19"/>
      <c r="AV100" s="79">
        <v>7.5316</v>
      </c>
      <c r="AW100" s="66">
        <f>ROUND(AV100*$E100/100,0)</f>
        <v>17303994</v>
      </c>
      <c r="AX100" s="66" t="s">
        <v>87</v>
      </c>
      <c r="AY100" s="58">
        <v>23</v>
      </c>
    </row>
    <row r="101" spans="1:51" ht="15.75">
      <c r="A101" s="57">
        <f t="shared" si="10"/>
        <v>101</v>
      </c>
      <c r="B101" s="64" t="s">
        <v>95</v>
      </c>
      <c r="E101" s="59">
        <f t="shared" si="8"/>
        <v>255566789</v>
      </c>
      <c r="G101" s="59">
        <f t="shared" si="9"/>
        <v>247217772.1741299</v>
      </c>
      <c r="I101" s="16"/>
      <c r="J101" s="79">
        <v>4.5876</v>
      </c>
      <c r="K101" s="66">
        <f>ROUND(J101*$E101/100,0)</f>
        <v>11724382</v>
      </c>
      <c r="M101" s="66">
        <f t="shared" si="11"/>
        <v>11341363</v>
      </c>
      <c r="O101" s="16"/>
      <c r="P101" s="79">
        <v>4.765400000000001</v>
      </c>
      <c r="Q101" s="66">
        <f>ROUND(P101*$G101/100,0)</f>
        <v>11780916</v>
      </c>
      <c r="S101" s="68">
        <f>ROUND(P101*$S$113/$S$111,4)</f>
        <v>0</v>
      </c>
      <c r="T101" s="101"/>
      <c r="U101" s="66"/>
      <c r="V101" s="17"/>
      <c r="W101" s="70"/>
      <c r="AG101" s="60"/>
      <c r="AH101" s="60"/>
      <c r="AU101" s="16"/>
      <c r="AV101" s="79">
        <v>4.2227</v>
      </c>
      <c r="AW101" s="66">
        <f>ROUND(AV101*$E101/100,0)</f>
        <v>10791819</v>
      </c>
      <c r="AX101" s="66" t="s">
        <v>87</v>
      </c>
      <c r="AY101" s="58">
        <v>23</v>
      </c>
    </row>
    <row r="102" spans="1:51" ht="15.75">
      <c r="A102" s="57">
        <f t="shared" si="10"/>
        <v>102</v>
      </c>
      <c r="B102" s="64" t="s">
        <v>96</v>
      </c>
      <c r="E102" s="59">
        <f t="shared" si="8"/>
        <v>323728201</v>
      </c>
      <c r="G102" s="59">
        <f t="shared" si="9"/>
        <v>386455380.5988963</v>
      </c>
      <c r="I102" s="19"/>
      <c r="J102" s="79">
        <v>7.5316</v>
      </c>
      <c r="K102" s="66">
        <f>ROUND(J102*$E102/100,0)</f>
        <v>24381913</v>
      </c>
      <c r="M102" s="66">
        <f t="shared" si="11"/>
        <v>29106273</v>
      </c>
      <c r="O102" s="19"/>
      <c r="P102" s="79">
        <v>7.8236</v>
      </c>
      <c r="Q102" s="66">
        <f>ROUND(P102*$G102/100,0)</f>
        <v>30234723</v>
      </c>
      <c r="S102" s="68">
        <f>ROUND(P102*$S$113/$S$111,4)</f>
        <v>0</v>
      </c>
      <c r="T102" s="101"/>
      <c r="U102" s="66"/>
      <c r="V102" s="17"/>
      <c r="W102" s="70"/>
      <c r="AG102" s="60"/>
      <c r="AH102" s="60"/>
      <c r="AU102" s="19"/>
      <c r="AV102" s="20">
        <f>AV100</f>
        <v>7.5316</v>
      </c>
      <c r="AW102" s="66">
        <f>ROUND(AV102*$E102/100,0)</f>
        <v>24381913</v>
      </c>
      <c r="AX102" s="66" t="s">
        <v>87</v>
      </c>
      <c r="AY102" s="58">
        <v>23</v>
      </c>
    </row>
    <row r="103" spans="1:51" ht="15.75">
      <c r="A103" s="57">
        <f t="shared" si="10"/>
        <v>103</v>
      </c>
      <c r="B103" s="64" t="s">
        <v>97</v>
      </c>
      <c r="E103" s="59">
        <f t="shared" si="8"/>
        <v>292262058</v>
      </c>
      <c r="G103" s="59">
        <f t="shared" si="9"/>
        <v>354527648.16342574</v>
      </c>
      <c r="I103" s="16"/>
      <c r="J103" s="79">
        <v>4.2227</v>
      </c>
      <c r="K103" s="66">
        <f>ROUND(J103*$E103/100,0)</f>
        <v>12341350</v>
      </c>
      <c r="M103" s="66">
        <f t="shared" si="11"/>
        <v>14970639</v>
      </c>
      <c r="O103" s="16"/>
      <c r="P103" s="79">
        <v>4.3864</v>
      </c>
      <c r="Q103" s="66">
        <f>ROUND(P103*$G103/100,0)</f>
        <v>15551001</v>
      </c>
      <c r="S103" s="68">
        <f>ROUND(P103*$S$113/$S$111,4)</f>
        <v>0</v>
      </c>
      <c r="T103" s="101"/>
      <c r="U103" s="66"/>
      <c r="V103" s="17"/>
      <c r="W103" s="70"/>
      <c r="AG103" s="60"/>
      <c r="AH103" s="60"/>
      <c r="AU103" s="16"/>
      <c r="AV103" s="20">
        <f>AV101</f>
        <v>4.2227</v>
      </c>
      <c r="AW103" s="66">
        <f>ROUND(AV103*$E103/100,0)</f>
        <v>12341350</v>
      </c>
      <c r="AX103" s="66" t="s">
        <v>87</v>
      </c>
      <c r="AY103" s="58">
        <v>23</v>
      </c>
    </row>
    <row r="104" spans="1:51" ht="15.75">
      <c r="A104" s="57">
        <f t="shared" si="10"/>
        <v>104</v>
      </c>
      <c r="B104" s="64" t="s">
        <v>98</v>
      </c>
      <c r="E104" s="59">
        <v>-29655458.903289225</v>
      </c>
      <c r="G104" s="59"/>
      <c r="I104" s="19"/>
      <c r="J104" s="20">
        <f>K104/E104*100</f>
        <v>8.182700014569164</v>
      </c>
      <c r="K104" s="66">
        <v>-2426617.24</v>
      </c>
      <c r="M104" s="66">
        <f t="shared" si="11"/>
        <v>0</v>
      </c>
      <c r="O104" s="19"/>
      <c r="P104" s="20"/>
      <c r="Q104" s="66">
        <f>M104</f>
        <v>0</v>
      </c>
      <c r="S104" s="68"/>
      <c r="T104" s="70"/>
      <c r="U104" s="66"/>
      <c r="V104" s="17"/>
      <c r="AG104" s="60"/>
      <c r="AH104" s="60"/>
      <c r="AU104" s="19"/>
      <c r="AV104" s="20">
        <f>AW104/E104*100</f>
        <v>7.531600024413275</v>
      </c>
      <c r="AW104" s="66">
        <v>-2233530.55</v>
      </c>
      <c r="AX104" s="66" t="s">
        <v>99</v>
      </c>
      <c r="AY104" s="58">
        <v>23</v>
      </c>
    </row>
    <row r="105" spans="1:51" ht="15.75">
      <c r="A105" s="57">
        <f>A102+1</f>
        <v>103</v>
      </c>
      <c r="B105" s="64" t="s">
        <v>100</v>
      </c>
      <c r="E105" s="59">
        <v>-32987541.096710775</v>
      </c>
      <c r="G105" s="59"/>
      <c r="I105" s="19"/>
      <c r="J105" s="20">
        <f>K105/E105*100</f>
        <v>4.58759998377356</v>
      </c>
      <c r="K105" s="66">
        <v>-1513336.43</v>
      </c>
      <c r="M105" s="66">
        <f t="shared" si="11"/>
        <v>0</v>
      </c>
      <c r="O105" s="19"/>
      <c r="P105" s="20"/>
      <c r="Q105" s="66">
        <f>M105</f>
        <v>0</v>
      </c>
      <c r="S105" s="68"/>
      <c r="T105" s="70"/>
      <c r="U105" s="66"/>
      <c r="V105" s="17"/>
      <c r="AG105" s="60"/>
      <c r="AH105" s="60"/>
      <c r="AU105" s="19"/>
      <c r="AV105" s="20">
        <f>AW105/E105*100</f>
        <v>4.222700006393911</v>
      </c>
      <c r="AW105" s="66">
        <v>-1392964.9</v>
      </c>
      <c r="AX105" s="66" t="s">
        <v>99</v>
      </c>
      <c r="AY105" s="58">
        <v>23</v>
      </c>
    </row>
    <row r="106" spans="1:51" ht="15.75">
      <c r="A106" s="57">
        <f>A104+1</f>
        <v>105</v>
      </c>
      <c r="B106" s="64" t="s">
        <v>101</v>
      </c>
      <c r="E106" s="59">
        <v>24211784.080421183</v>
      </c>
      <c r="G106" s="59"/>
      <c r="I106" s="19"/>
      <c r="J106" s="20">
        <f>K106/E106*100</f>
        <v>7.531599959519704</v>
      </c>
      <c r="K106" s="66">
        <v>1823534.72</v>
      </c>
      <c r="M106" s="66">
        <f t="shared" si="11"/>
        <v>0</v>
      </c>
      <c r="O106" s="19"/>
      <c r="P106" s="20"/>
      <c r="Q106" s="66">
        <f>M106</f>
        <v>0</v>
      </c>
      <c r="S106" s="68"/>
      <c r="T106" s="70"/>
      <c r="U106" s="66"/>
      <c r="V106" s="17"/>
      <c r="AG106" s="60"/>
      <c r="AH106" s="60"/>
      <c r="AU106" s="19"/>
      <c r="AV106" s="20">
        <f>AW106/E106*100</f>
        <v>7.531599959519704</v>
      </c>
      <c r="AW106" s="66">
        <v>1823534.72</v>
      </c>
      <c r="AX106" s="66" t="s">
        <v>99</v>
      </c>
      <c r="AY106" s="58">
        <v>23</v>
      </c>
    </row>
    <row r="107" spans="1:51" ht="15.75">
      <c r="A107" s="57">
        <f>A104+1</f>
        <v>105</v>
      </c>
      <c r="B107" s="64" t="s">
        <v>100</v>
      </c>
      <c r="E107" s="59">
        <v>26932215.919578817</v>
      </c>
      <c r="G107" s="59"/>
      <c r="I107" s="19"/>
      <c r="J107" s="20">
        <f>K107/E107*100</f>
        <v>4.222699993925287</v>
      </c>
      <c r="K107" s="66">
        <v>1137266.68</v>
      </c>
      <c r="M107" s="66">
        <f t="shared" si="11"/>
        <v>0</v>
      </c>
      <c r="O107" s="19"/>
      <c r="P107" s="20"/>
      <c r="Q107" s="66">
        <f>M107</f>
        <v>0</v>
      </c>
      <c r="S107" s="68"/>
      <c r="T107" s="70"/>
      <c r="U107" s="66"/>
      <c r="V107" s="17"/>
      <c r="AG107" s="60"/>
      <c r="AH107" s="60"/>
      <c r="AU107" s="19"/>
      <c r="AV107" s="20">
        <f>AW107/E107*100</f>
        <v>4.222699993925287</v>
      </c>
      <c r="AW107" s="66">
        <v>1137266.68</v>
      </c>
      <c r="AX107" s="66" t="s">
        <v>99</v>
      </c>
      <c r="AY107" s="58">
        <v>23</v>
      </c>
    </row>
    <row r="108" spans="1:51" ht="15.75">
      <c r="A108" s="57">
        <f aca="true" t="shared" si="12" ref="A108:A171">A107+1</f>
        <v>106</v>
      </c>
      <c r="B108" s="64" t="s">
        <v>102</v>
      </c>
      <c r="E108" s="59">
        <f>E127+E145+E163+E200+E217+E182</f>
        <v>0</v>
      </c>
      <c r="G108" s="59">
        <f>G127+G145+G163+G200+G217+G182</f>
        <v>0</v>
      </c>
      <c r="I108" s="24">
        <f>I95*12</f>
        <v>47.160000000000004</v>
      </c>
      <c r="K108" s="66">
        <f>ROUND(I108*$E108,0)</f>
        <v>0</v>
      </c>
      <c r="M108" s="66">
        <f>ROUND(I108*$G108,0)</f>
        <v>0</v>
      </c>
      <c r="O108" s="24">
        <f>O95*12</f>
        <v>48</v>
      </c>
      <c r="Q108" s="66">
        <f>ROUND(O108*$G108,0)</f>
        <v>0</v>
      </c>
      <c r="S108" s="68"/>
      <c r="T108" s="70"/>
      <c r="U108" s="66"/>
      <c r="V108" s="17"/>
      <c r="AG108" s="60"/>
      <c r="AH108" s="60"/>
      <c r="AU108" s="24">
        <f>AU95*12</f>
        <v>47.160000000000004</v>
      </c>
      <c r="AW108" s="66">
        <f>ROUND(AU108*$E108,0)</f>
        <v>0</v>
      </c>
      <c r="AX108" s="66" t="s">
        <v>87</v>
      </c>
      <c r="AY108" s="58">
        <v>23</v>
      </c>
    </row>
    <row r="109" spans="1:51" ht="15.75">
      <c r="A109" s="57">
        <f t="shared" si="12"/>
        <v>107</v>
      </c>
      <c r="B109" s="64" t="s">
        <v>103</v>
      </c>
      <c r="E109" s="59">
        <f>E234+E251</f>
        <v>0</v>
      </c>
      <c r="G109" s="59">
        <f>G234+G251</f>
        <v>0</v>
      </c>
      <c r="I109" s="24">
        <f>I96*12</f>
        <v>80.28</v>
      </c>
      <c r="K109" s="66">
        <f>ROUND(I109*$E109,0)</f>
        <v>0</v>
      </c>
      <c r="M109" s="66">
        <f>ROUND(I109*$G109,0)</f>
        <v>0</v>
      </c>
      <c r="O109" s="24">
        <f>O96*12</f>
        <v>84</v>
      </c>
      <c r="Q109" s="66">
        <f>ROUND(O109*$G109,0)</f>
        <v>0</v>
      </c>
      <c r="S109" s="68"/>
      <c r="T109" s="70"/>
      <c r="U109" s="66"/>
      <c r="V109" s="17"/>
      <c r="AG109" s="60"/>
      <c r="AH109" s="60"/>
      <c r="AU109" s="24">
        <f>AU96*12</f>
        <v>80.28</v>
      </c>
      <c r="AW109" s="66">
        <f>ROUND(AU109*$E109,0)</f>
        <v>0</v>
      </c>
      <c r="AX109" s="66" t="s">
        <v>87</v>
      </c>
      <c r="AY109" s="58">
        <v>23</v>
      </c>
    </row>
    <row r="110" spans="1:51" ht="15.75">
      <c r="A110" s="57">
        <f t="shared" si="12"/>
        <v>108</v>
      </c>
      <c r="B110" s="64" t="s">
        <v>57</v>
      </c>
      <c r="E110" s="22">
        <f>E128+E146+E164+E183</f>
        <v>2240363</v>
      </c>
      <c r="G110" s="22">
        <f>G128+G146+G164+G183</f>
        <v>0</v>
      </c>
      <c r="I110" s="76"/>
      <c r="K110" s="81">
        <f>K128+K146+K164+K183</f>
        <v>167607.12203901532</v>
      </c>
      <c r="M110" s="81">
        <v>0</v>
      </c>
      <c r="O110" s="76"/>
      <c r="Q110" s="81">
        <f>Q128+Q146+Q164+Q183</f>
        <v>0</v>
      </c>
      <c r="U110" s="66"/>
      <c r="V110" s="17"/>
      <c r="AG110" s="60"/>
      <c r="AH110" s="60"/>
      <c r="AU110" s="76"/>
      <c r="AW110" s="81">
        <f>AW128+AW146+AW164+AW183</f>
        <v>167607.12203901532</v>
      </c>
      <c r="AX110" s="77" t="s">
        <v>87</v>
      </c>
      <c r="AY110" s="58">
        <v>23</v>
      </c>
    </row>
    <row r="111" spans="1:51" ht="16.5" thickBot="1">
      <c r="A111" s="57">
        <f t="shared" si="12"/>
        <v>109</v>
      </c>
      <c r="B111" s="64" t="s">
        <v>58</v>
      </c>
      <c r="E111" s="99">
        <f>E100+E101+E110+E104+E102+E103+E107+E105+E106</f>
        <v>1092050315.9999998</v>
      </c>
      <c r="G111" s="99">
        <v>1210447026</v>
      </c>
      <c r="I111" s="96"/>
      <c r="J111" s="96"/>
      <c r="K111" s="97">
        <f>SUM(K95:K110)</f>
        <v>72807826.85203902</v>
      </c>
      <c r="M111" s="97">
        <f>SUM(M95:M110)</f>
        <v>80575402</v>
      </c>
      <c r="O111" s="96"/>
      <c r="P111" s="96"/>
      <c r="Q111" s="97">
        <f>SUM(Q95:Q110)</f>
        <v>83639668</v>
      </c>
      <c r="R111" s="85" t="s">
        <v>59</v>
      </c>
      <c r="S111" s="86">
        <f>Q111</f>
        <v>83639668</v>
      </c>
      <c r="U111" s="66"/>
      <c r="W111" s="60"/>
      <c r="X111" s="60"/>
      <c r="AG111" s="60"/>
      <c r="AH111" s="60"/>
      <c r="AU111" s="96"/>
      <c r="AV111" s="96"/>
      <c r="AW111" s="97">
        <f>SUM(AW95:AW110)</f>
        <v>70411761.07203902</v>
      </c>
      <c r="AX111" s="77" t="s">
        <v>87</v>
      </c>
      <c r="AY111" s="58">
        <v>23</v>
      </c>
    </row>
    <row r="112" spans="1:51" ht="16.5" thickTop="1">
      <c r="A112" s="57">
        <f t="shared" si="12"/>
        <v>110</v>
      </c>
      <c r="B112" s="64" t="s">
        <v>60</v>
      </c>
      <c r="E112" s="59"/>
      <c r="G112" s="59"/>
      <c r="I112" s="76"/>
      <c r="J112" s="26">
        <v>0</v>
      </c>
      <c r="K112" s="81">
        <f>ROUND(SUM(K97:K107)*J112,0)</f>
        <v>0</v>
      </c>
      <c r="M112" s="81">
        <f>ROUND(SUM(M97:M107)*J112,0)</f>
        <v>0</v>
      </c>
      <c r="O112" s="76"/>
      <c r="P112" s="26">
        <v>0</v>
      </c>
      <c r="Q112" s="81">
        <f>ROUND(SUM(Q97:Q107)*P112,0)</f>
        <v>0</v>
      </c>
      <c r="R112" s="88" t="s">
        <v>61</v>
      </c>
      <c r="S112" s="89">
        <v>83639997.26141435</v>
      </c>
      <c r="W112" s="60"/>
      <c r="X112" s="60"/>
      <c r="AG112" s="60"/>
      <c r="AH112" s="60"/>
      <c r="AU112" s="76"/>
      <c r="AV112" s="26">
        <v>0.0365</v>
      </c>
      <c r="AW112" s="81">
        <f>ROUND(SUM(AW97:AW107)*AV112,0)</f>
        <v>2461947</v>
      </c>
      <c r="AX112" s="77" t="s">
        <v>87</v>
      </c>
      <c r="AY112" s="58">
        <v>23</v>
      </c>
    </row>
    <row r="113" spans="1:51" ht="15.75">
      <c r="A113" s="57">
        <f t="shared" si="12"/>
        <v>111</v>
      </c>
      <c r="B113" s="64" t="s">
        <v>62</v>
      </c>
      <c r="E113" s="59"/>
      <c r="G113" s="59"/>
      <c r="I113" s="76"/>
      <c r="J113" s="26">
        <v>0.0311</v>
      </c>
      <c r="K113" s="81">
        <f>ROUND(SUM(K97:K107,K112)*J113,0)</f>
        <v>2172232</v>
      </c>
      <c r="M113" s="81">
        <f>ROUND(SUM(M97:M107,M112)*J113,0)</f>
        <v>2412688</v>
      </c>
      <c r="O113" s="76"/>
      <c r="P113" s="26">
        <v>0.0311</v>
      </c>
      <c r="Q113" s="81">
        <f>ROUND(SUM(Q97:Q107,Q112)*P113,0)</f>
        <v>2506327</v>
      </c>
      <c r="R113" s="90" t="s">
        <v>515</v>
      </c>
      <c r="S113" s="91">
        <f>S112-S111</f>
        <v>329.26141434907913</v>
      </c>
      <c r="U113" s="66"/>
      <c r="W113" s="60"/>
      <c r="X113" s="60"/>
      <c r="AG113" s="60"/>
      <c r="AH113" s="60"/>
      <c r="AU113" s="76"/>
      <c r="AV113" s="26"/>
      <c r="AW113" s="81">
        <f>ROUND(SUM(AW97:AW107,AW112)*AV113,0)</f>
        <v>0</v>
      </c>
      <c r="AX113" s="77" t="s">
        <v>87</v>
      </c>
      <c r="AY113" s="58">
        <v>23</v>
      </c>
    </row>
    <row r="114" spans="1:51" ht="15.75">
      <c r="A114" s="57">
        <f t="shared" si="12"/>
        <v>112</v>
      </c>
      <c r="E114" s="59"/>
      <c r="G114" s="59"/>
      <c r="R114" s="55"/>
      <c r="U114" s="66"/>
      <c r="AG114" s="60"/>
      <c r="AH114" s="60"/>
      <c r="AX114" s="58" t="s">
        <v>87</v>
      </c>
      <c r="AY114" s="58">
        <v>23</v>
      </c>
    </row>
    <row r="115" spans="1:51" ht="15.75">
      <c r="A115" s="57">
        <f t="shared" si="12"/>
        <v>113</v>
      </c>
      <c r="B115" s="64" t="s">
        <v>104</v>
      </c>
      <c r="E115" s="59"/>
      <c r="G115" s="59"/>
      <c r="T115" s="60"/>
      <c r="U115" s="60"/>
      <c r="AG115" s="60"/>
      <c r="AH115" s="60"/>
      <c r="AX115" s="66" t="s">
        <v>99</v>
      </c>
      <c r="AY115" s="58">
        <v>23</v>
      </c>
    </row>
    <row r="116" spans="1:51" ht="15.75">
      <c r="A116" s="57">
        <f t="shared" si="12"/>
        <v>114</v>
      </c>
      <c r="B116" s="64" t="s">
        <v>88</v>
      </c>
      <c r="E116" s="59"/>
      <c r="G116" s="59"/>
      <c r="T116" s="60"/>
      <c r="U116" s="60"/>
      <c r="AG116" s="60"/>
      <c r="AH116" s="60"/>
      <c r="AX116" s="66" t="s">
        <v>99</v>
      </c>
      <c r="AY116" s="58">
        <v>23</v>
      </c>
    </row>
    <row r="117" spans="1:51" ht="15.75">
      <c r="A117" s="57">
        <f t="shared" si="12"/>
        <v>115</v>
      </c>
      <c r="B117" s="103" t="s">
        <v>105</v>
      </c>
      <c r="E117" s="59"/>
      <c r="G117" s="59"/>
      <c r="AG117" s="60"/>
      <c r="AH117" s="60"/>
      <c r="AX117" s="66" t="s">
        <v>99</v>
      </c>
      <c r="AY117" s="58">
        <v>23</v>
      </c>
    </row>
    <row r="118" spans="1:51" ht="15.75">
      <c r="A118" s="57">
        <f t="shared" si="12"/>
        <v>116</v>
      </c>
      <c r="B118" s="98" t="s">
        <v>106</v>
      </c>
      <c r="E118" s="59"/>
      <c r="G118" s="59"/>
      <c r="AG118" s="60"/>
      <c r="AH118" s="60"/>
      <c r="AX118" s="66" t="s">
        <v>99</v>
      </c>
      <c r="AY118" s="58">
        <v>23</v>
      </c>
    </row>
    <row r="119" spans="1:51" ht="15.75">
      <c r="A119" s="57">
        <f t="shared" si="12"/>
        <v>117</v>
      </c>
      <c r="B119" s="64" t="s">
        <v>44</v>
      </c>
      <c r="E119" s="59">
        <f>656394.44+82+144+6</f>
        <v>656626.44</v>
      </c>
      <c r="G119" s="23">
        <v>704451.7820274457</v>
      </c>
      <c r="I119" s="76">
        <f>I95</f>
        <v>3.93</v>
      </c>
      <c r="K119" s="66">
        <f>ROUND(I119*$E119,0)</f>
        <v>2580542</v>
      </c>
      <c r="M119" s="66">
        <f>ROUND(I119*$G119,0)</f>
        <v>2768496</v>
      </c>
      <c r="O119" s="76">
        <f>O95</f>
        <v>4</v>
      </c>
      <c r="Q119" s="66">
        <f>ROUND(O119*$G119,0)</f>
        <v>2817807</v>
      </c>
      <c r="R119" s="27" t="s">
        <v>107</v>
      </c>
      <c r="AG119" s="60"/>
      <c r="AH119" s="60"/>
      <c r="AU119" s="76">
        <f>AU95</f>
        <v>3.93</v>
      </c>
      <c r="AW119" s="66">
        <f>ROUND(AU119*$E119,0)</f>
        <v>2580542</v>
      </c>
      <c r="AX119" s="66" t="s">
        <v>99</v>
      </c>
      <c r="AY119" s="58">
        <v>23</v>
      </c>
    </row>
    <row r="120" spans="1:51" ht="15.75">
      <c r="A120" s="57">
        <f t="shared" si="12"/>
        <v>118</v>
      </c>
      <c r="B120" s="64" t="s">
        <v>91</v>
      </c>
      <c r="E120" s="59">
        <f>273837.88+6+11</f>
        <v>273854.88</v>
      </c>
      <c r="G120" s="23">
        <f>(E120)*($G$111-$G$110)/($E$111-$E$110)</f>
        <v>304169.3867257119</v>
      </c>
      <c r="I120" s="76">
        <f>I97</f>
        <v>6.03</v>
      </c>
      <c r="K120" s="66">
        <f>ROUND(I120*$E120,0)</f>
        <v>1651345</v>
      </c>
      <c r="M120" s="66">
        <f>ROUND(I120*$G120,0)</f>
        <v>1834141</v>
      </c>
      <c r="O120" s="76">
        <f>O97</f>
        <v>6.27</v>
      </c>
      <c r="Q120" s="66">
        <f>ROUND(O120*$G120,0)</f>
        <v>1907142</v>
      </c>
      <c r="R120" s="69">
        <f>ROUND((M$97+M$98)/2/G97,2)</f>
        <v>6.12</v>
      </c>
      <c r="AG120" s="60"/>
      <c r="AH120" s="60"/>
      <c r="AU120" s="76">
        <f>AU97</f>
        <v>5.58</v>
      </c>
      <c r="AW120" s="66">
        <f>ROUND(AU120*$E120,0)</f>
        <v>1528110</v>
      </c>
      <c r="AX120" s="66" t="s">
        <v>99</v>
      </c>
      <c r="AY120" s="58">
        <v>23</v>
      </c>
    </row>
    <row r="121" spans="1:51" ht="15.75">
      <c r="A121" s="57">
        <f t="shared" si="12"/>
        <v>119</v>
      </c>
      <c r="B121" s="64" t="s">
        <v>92</v>
      </c>
      <c r="E121" s="59">
        <f>276951.66+6</f>
        <v>276957.66</v>
      </c>
      <c r="G121" s="23">
        <f>(E121)*($G$111-$G$110)/($E$111-$E$110)</f>
        <v>307615.63055289804</v>
      </c>
      <c r="I121" s="76">
        <f>I98</f>
        <v>6.08</v>
      </c>
      <c r="K121" s="66">
        <f>ROUND(I121*$E121,0)</f>
        <v>1683903</v>
      </c>
      <c r="M121" s="66">
        <f>ROUND(I121*$G121,0)</f>
        <v>1870303</v>
      </c>
      <c r="O121" s="76">
        <f>O98</f>
        <v>6.32</v>
      </c>
      <c r="Q121" s="66">
        <f>ROUND(O121*$G121,0)</f>
        <v>1944131</v>
      </c>
      <c r="R121" s="69">
        <f>ROUND((M$97+M$98)/2/G98,2)</f>
        <v>6</v>
      </c>
      <c r="AG121" s="60"/>
      <c r="AH121" s="60"/>
      <c r="AU121" s="76">
        <f>AU98</f>
        <v>5.58</v>
      </c>
      <c r="AW121" s="66">
        <f>ROUND(AU121*$E121,0)</f>
        <v>1545424</v>
      </c>
      <c r="AX121" s="66" t="s">
        <v>99</v>
      </c>
      <c r="AY121" s="58">
        <v>23</v>
      </c>
    </row>
    <row r="122" spans="1:51" ht="15.75">
      <c r="A122" s="57">
        <f t="shared" si="12"/>
        <v>120</v>
      </c>
      <c r="B122" s="64" t="s">
        <v>93</v>
      </c>
      <c r="E122" s="59">
        <v>4981</v>
      </c>
      <c r="G122" s="23">
        <f>(E122)*($G$111-$G$110)/($E$111-$E$110)</f>
        <v>5532.374355646944</v>
      </c>
      <c r="I122" s="76">
        <f>I99</f>
        <v>-0.34</v>
      </c>
      <c r="K122" s="66">
        <f>ROUND(I122*$E122,0)</f>
        <v>-1694</v>
      </c>
      <c r="M122" s="66">
        <f>ROUND(I122*$G122,0)</f>
        <v>-1881</v>
      </c>
      <c r="O122" s="76">
        <f>O99</f>
        <v>-0.35</v>
      </c>
      <c r="Q122" s="66">
        <f>ROUND(O122*$G122,0)</f>
        <v>-1936</v>
      </c>
      <c r="R122" s="69">
        <f>I99</f>
        <v>-0.34</v>
      </c>
      <c r="AG122" s="60"/>
      <c r="AH122" s="60"/>
      <c r="AU122" s="76">
        <f>AU99</f>
        <v>-0.34</v>
      </c>
      <c r="AW122" s="66">
        <f>ROUND(AU122*$E122,0)</f>
        <v>-1694</v>
      </c>
      <c r="AX122" s="66" t="s">
        <v>99</v>
      </c>
      <c r="AY122" s="58">
        <v>23</v>
      </c>
    </row>
    <row r="123" spans="1:51" ht="15.75">
      <c r="A123" s="57">
        <f t="shared" si="12"/>
        <v>121</v>
      </c>
      <c r="B123" s="64" t="s">
        <v>94</v>
      </c>
      <c r="E123" s="59">
        <f>215658320+45922+59331+4908</f>
        <v>215768481</v>
      </c>
      <c r="G123" s="23">
        <f>(E123+$E$104)*($G$111-$G$110)/($E$111-$E$110)</f>
        <v>206714898.75522903</v>
      </c>
      <c r="I123" s="76"/>
      <c r="J123" s="93">
        <f>J100</f>
        <v>8.1827</v>
      </c>
      <c r="K123" s="66">
        <f>ROUND(J123*$E123/100,0)</f>
        <v>17655687</v>
      </c>
      <c r="M123" s="66">
        <f>ROUND(J123*$G123/100,0)</f>
        <v>16914860</v>
      </c>
      <c r="O123" s="76"/>
      <c r="P123" s="93">
        <f>P100</f>
        <v>8.4999</v>
      </c>
      <c r="Q123" s="66">
        <f>ROUND(P123*$G123/100,0)</f>
        <v>17570560</v>
      </c>
      <c r="S123" s="68">
        <f>ROUND((SUM(M100:M103)/2-G101*(J101-J100)/100)*100/SUM(G100,G101),4)</f>
        <v>9.7323</v>
      </c>
      <c r="AG123" s="60"/>
      <c r="AH123" s="60"/>
      <c r="AU123" s="76"/>
      <c r="AV123" s="93">
        <f>AV100</f>
        <v>7.5316</v>
      </c>
      <c r="AW123" s="66">
        <f>ROUND(AV123*$E123/100,0)</f>
        <v>16250819</v>
      </c>
      <c r="AX123" s="66" t="s">
        <v>99</v>
      </c>
      <c r="AY123" s="58">
        <v>23</v>
      </c>
    </row>
    <row r="124" spans="1:51" ht="15.75">
      <c r="A124" s="57">
        <f t="shared" si="12"/>
        <v>122</v>
      </c>
      <c r="B124" s="64" t="s">
        <v>95</v>
      </c>
      <c r="E124" s="59">
        <f>241901723+53843+9755+2067</f>
        <v>241967388</v>
      </c>
      <c r="G124" s="23">
        <f>(E124+$E$105)*($G$111-$G$110)/($E$111-$E$110)</f>
        <v>232112978.48921537</v>
      </c>
      <c r="I124" s="76"/>
      <c r="J124" s="93">
        <f>J101</f>
        <v>4.5876</v>
      </c>
      <c r="K124" s="66">
        <f>ROUND(J124*$E124/100,0)</f>
        <v>11100496</v>
      </c>
      <c r="M124" s="66">
        <f>ROUND(J124*$G124/100,0)</f>
        <v>10648415</v>
      </c>
      <c r="O124" s="76"/>
      <c r="P124" s="93">
        <f>P101</f>
        <v>4.765400000000001</v>
      </c>
      <c r="Q124" s="66">
        <f>ROUND(P124*$G124/100,0)</f>
        <v>11061112</v>
      </c>
      <c r="R124" s="69"/>
      <c r="S124" s="68">
        <f>S123-J100+J101</f>
        <v>6.1372</v>
      </c>
      <c r="AG124" s="60"/>
      <c r="AH124" s="60"/>
      <c r="AU124" s="76"/>
      <c r="AV124" s="93">
        <f>AV101</f>
        <v>4.2227</v>
      </c>
      <c r="AW124" s="66">
        <f>ROUND(AV124*$E124/100,0)</f>
        <v>10217557</v>
      </c>
      <c r="AX124" s="66" t="s">
        <v>99</v>
      </c>
      <c r="AY124" s="58">
        <v>23</v>
      </c>
    </row>
    <row r="125" spans="1:51" ht="15.75">
      <c r="A125" s="57">
        <f t="shared" si="12"/>
        <v>123</v>
      </c>
      <c r="B125" s="64" t="s">
        <v>96</v>
      </c>
      <c r="E125" s="59">
        <f>304034104+63078+39186+2537</f>
        <v>304138905</v>
      </c>
      <c r="G125" s="23">
        <f>(E125+$E$106)*($G$111-$G$110)/($E$111-$E$110)</f>
        <v>364697637.40765417</v>
      </c>
      <c r="I125" s="76"/>
      <c r="J125" s="93">
        <f>J102</f>
        <v>7.5316</v>
      </c>
      <c r="K125" s="66">
        <f>ROUND(J125*$E125/100,0)</f>
        <v>22906526</v>
      </c>
      <c r="M125" s="66">
        <f>ROUND(J125*$G125/100,0)</f>
        <v>27467567</v>
      </c>
      <c r="O125" s="76"/>
      <c r="P125" s="93">
        <f>P102</f>
        <v>7.8236</v>
      </c>
      <c r="Q125" s="66">
        <f>ROUND(P125*$G125/100,0)</f>
        <v>28532484</v>
      </c>
      <c r="S125" s="68">
        <f>ROUND((SUM(M100:M103)/2-G103*(J103-J102)/100)*100/SUM(G102,G103),4)</f>
        <v>6.5498</v>
      </c>
      <c r="AG125" s="60"/>
      <c r="AH125" s="60"/>
      <c r="AU125" s="76"/>
      <c r="AV125" s="93">
        <f>AV102</f>
        <v>7.5316</v>
      </c>
      <c r="AW125" s="66">
        <f>ROUND(AV125*$E125/100,0)</f>
        <v>22906526</v>
      </c>
      <c r="AX125" s="66" t="s">
        <v>99</v>
      </c>
      <c r="AY125" s="58">
        <v>23</v>
      </c>
    </row>
    <row r="126" spans="1:51" ht="15.75">
      <c r="A126" s="57">
        <f t="shared" si="12"/>
        <v>124</v>
      </c>
      <c r="B126" s="64" t="s">
        <v>97</v>
      </c>
      <c r="E126" s="59">
        <f>275745618+59333+11505+589</f>
        <v>275817045</v>
      </c>
      <c r="G126" s="23">
        <f>(E126+$E$107)*($G$111-$G$110)/($E$111-$E$110)</f>
        <v>336262245.99529076</v>
      </c>
      <c r="I126" s="76"/>
      <c r="J126" s="93">
        <f>J103</f>
        <v>4.2227</v>
      </c>
      <c r="K126" s="66">
        <f>ROUND(J126*$E126/100,0)</f>
        <v>11646926</v>
      </c>
      <c r="M126" s="66">
        <f>ROUND(J126*$G126/100,0)</f>
        <v>14199346</v>
      </c>
      <c r="O126" s="76"/>
      <c r="P126" s="93">
        <f>P103</f>
        <v>4.3864</v>
      </c>
      <c r="Q126" s="66">
        <f>ROUND(P126*$G126/100,0)</f>
        <v>14749807</v>
      </c>
      <c r="S126" s="68">
        <f>S125-J102+J103</f>
        <v>3.2409</v>
      </c>
      <c r="AG126" s="60"/>
      <c r="AH126" s="60"/>
      <c r="AU126" s="76"/>
      <c r="AV126" s="93">
        <f>AV103</f>
        <v>4.2227</v>
      </c>
      <c r="AW126" s="66">
        <f>ROUND(AV126*$E126/100,0)</f>
        <v>11646926</v>
      </c>
      <c r="AX126" s="66" t="s">
        <v>99</v>
      </c>
      <c r="AY126" s="58">
        <v>23</v>
      </c>
    </row>
    <row r="127" spans="1:51" ht="15.75">
      <c r="A127" s="57">
        <f t="shared" si="12"/>
        <v>125</v>
      </c>
      <c r="B127" s="64" t="s">
        <v>102</v>
      </c>
      <c r="E127" s="59">
        <v>0</v>
      </c>
      <c r="G127" s="23">
        <f>E127*G119/E119</f>
        <v>0</v>
      </c>
      <c r="I127" s="76">
        <f>I108</f>
        <v>47.160000000000004</v>
      </c>
      <c r="K127" s="66">
        <f>ROUND(I127*$E127,0)</f>
        <v>0</v>
      </c>
      <c r="M127" s="66">
        <f>ROUND(I127*$G127,0)</f>
        <v>0</v>
      </c>
      <c r="O127" s="76">
        <f>O108</f>
        <v>48</v>
      </c>
      <c r="Q127" s="66">
        <f>ROUND(O127*$G127,0)</f>
        <v>0</v>
      </c>
      <c r="AG127" s="60"/>
      <c r="AH127" s="60"/>
      <c r="AU127" s="76">
        <f>AU108</f>
        <v>47.160000000000004</v>
      </c>
      <c r="AW127" s="66">
        <f>ROUND(AU127*$E127,0)</f>
        <v>0</v>
      </c>
      <c r="AX127" s="66" t="s">
        <v>99</v>
      </c>
      <c r="AY127" s="58">
        <v>23</v>
      </c>
    </row>
    <row r="128" spans="1:51" ht="15.75">
      <c r="A128" s="57">
        <f t="shared" si="12"/>
        <v>126</v>
      </c>
      <c r="B128" s="64" t="s">
        <v>57</v>
      </c>
      <c r="E128" s="22">
        <v>2472398</v>
      </c>
      <c r="G128" s="22">
        <v>0</v>
      </c>
      <c r="I128" s="76"/>
      <c r="K128" s="81">
        <f>AW128</f>
        <v>173332.12203901532</v>
      </c>
      <c r="M128" s="81">
        <v>0</v>
      </c>
      <c r="O128" s="76"/>
      <c r="Q128" s="81">
        <v>0</v>
      </c>
      <c r="AG128" s="60"/>
      <c r="AH128" s="60"/>
      <c r="AU128" s="76"/>
      <c r="AW128" s="81">
        <v>173332.12203901532</v>
      </c>
      <c r="AX128" s="66" t="s">
        <v>99</v>
      </c>
      <c r="AY128" s="58">
        <v>23</v>
      </c>
    </row>
    <row r="129" spans="1:51" ht="16.5" thickBot="1">
      <c r="A129" s="57">
        <f t="shared" si="12"/>
        <v>127</v>
      </c>
      <c r="B129" s="64" t="s">
        <v>58</v>
      </c>
      <c r="E129" s="99">
        <f>E123+E124+E128+E125+E126</f>
        <v>1040164217</v>
      </c>
      <c r="G129" s="99">
        <v>1139787760.647389</v>
      </c>
      <c r="I129" s="96"/>
      <c r="J129" s="96"/>
      <c r="K129" s="97">
        <f>SUM(K119:K128)</f>
        <v>69397063.12203902</v>
      </c>
      <c r="M129" s="97">
        <f>SUM(M119:M128)</f>
        <v>75701247</v>
      </c>
      <c r="O129" s="96"/>
      <c r="P129" s="96"/>
      <c r="Q129" s="97">
        <f>SUM(Q119:Q128)</f>
        <v>78581107</v>
      </c>
      <c r="AG129" s="60"/>
      <c r="AH129" s="60"/>
      <c r="AU129" s="96"/>
      <c r="AV129" s="96"/>
      <c r="AW129" s="97">
        <f>SUM(AW119:AW128)</f>
        <v>66847542.12203901</v>
      </c>
      <c r="AX129" s="66" t="s">
        <v>99</v>
      </c>
      <c r="AY129" s="58">
        <v>23</v>
      </c>
    </row>
    <row r="130" spans="1:51" ht="16.5" thickTop="1">
      <c r="A130" s="57">
        <f t="shared" si="12"/>
        <v>128</v>
      </c>
      <c r="B130" s="64" t="s">
        <v>60</v>
      </c>
      <c r="E130" s="59"/>
      <c r="G130" s="104"/>
      <c r="I130" s="76"/>
      <c r="J130" s="26">
        <f>J112</f>
        <v>0</v>
      </c>
      <c r="K130" s="81">
        <f>ROUND(SUM(K120:K126)*J130,0)</f>
        <v>0</v>
      </c>
      <c r="M130" s="81">
        <f>ROUND(SUM(M120:M126)*J130,0)</f>
        <v>0</v>
      </c>
      <c r="O130" s="76"/>
      <c r="P130" s="26">
        <f>P112</f>
        <v>0</v>
      </c>
      <c r="Q130" s="81">
        <f>ROUND(SUM(Q120:Q126)*P130,0)</f>
        <v>0</v>
      </c>
      <c r="AG130" s="60"/>
      <c r="AH130" s="60"/>
      <c r="AU130" s="76"/>
      <c r="AV130" s="26">
        <f>AV112</f>
        <v>0.0365</v>
      </c>
      <c r="AW130" s="81">
        <f>ROUND(SUM(AW120:AW126)*AV130,0)</f>
        <v>2339419</v>
      </c>
      <c r="AX130" s="66" t="s">
        <v>99</v>
      </c>
      <c r="AY130" s="58">
        <v>23</v>
      </c>
    </row>
    <row r="131" spans="1:51" ht="15.75">
      <c r="A131" s="57">
        <f t="shared" si="12"/>
        <v>129</v>
      </c>
      <c r="B131" s="64" t="s">
        <v>62</v>
      </c>
      <c r="E131" s="59"/>
      <c r="G131" s="104"/>
      <c r="I131" s="76"/>
      <c r="J131" s="26">
        <f>J113</f>
        <v>0.0311</v>
      </c>
      <c r="K131" s="81">
        <f>ROUND(SUM(K120:K126,K130)*J131,0)</f>
        <v>2072603</v>
      </c>
      <c r="M131" s="81">
        <f>ROUND(SUM(M120:M126,M130)*J131,0)</f>
        <v>2268209</v>
      </c>
      <c r="O131" s="76"/>
      <c r="P131" s="26">
        <f>P113</f>
        <v>0.0311</v>
      </c>
      <c r="Q131" s="81">
        <f>ROUND(SUM(Q120:Q126,Q130)*P131,0)</f>
        <v>2356239</v>
      </c>
      <c r="S131" s="60"/>
      <c r="T131" s="60"/>
      <c r="U131" s="60"/>
      <c r="V131" s="60"/>
      <c r="AG131" s="60"/>
      <c r="AH131" s="60"/>
      <c r="AU131" s="76"/>
      <c r="AV131" s="26">
        <f>AV113</f>
        <v>0</v>
      </c>
      <c r="AW131" s="81">
        <f>ROUND(SUM(AW120:AW126,AW130)*AV131,0)</f>
        <v>0</v>
      </c>
      <c r="AX131" s="66" t="s">
        <v>99</v>
      </c>
      <c r="AY131" s="58">
        <v>23</v>
      </c>
    </row>
    <row r="132" spans="1:51" ht="15.75">
      <c r="A132" s="57">
        <f t="shared" si="12"/>
        <v>130</v>
      </c>
      <c r="E132" s="59"/>
      <c r="G132" s="59"/>
      <c r="AG132" s="60"/>
      <c r="AH132" s="60"/>
      <c r="AX132" s="66" t="s">
        <v>99</v>
      </c>
      <c r="AY132" s="58">
        <v>23</v>
      </c>
    </row>
    <row r="133" spans="1:51" ht="15.75">
      <c r="A133" s="57">
        <f t="shared" si="12"/>
        <v>131</v>
      </c>
      <c r="B133" s="64" t="s">
        <v>104</v>
      </c>
      <c r="E133" s="59"/>
      <c r="G133" s="59"/>
      <c r="AG133" s="60"/>
      <c r="AH133" s="60"/>
      <c r="AX133" s="66" t="s">
        <v>108</v>
      </c>
      <c r="AY133" s="58">
        <v>23</v>
      </c>
    </row>
    <row r="134" spans="1:51" ht="15.75">
      <c r="A134" s="57">
        <f t="shared" si="12"/>
        <v>132</v>
      </c>
      <c r="B134" s="64" t="s">
        <v>88</v>
      </c>
      <c r="E134" s="59"/>
      <c r="G134" s="59"/>
      <c r="AG134" s="60"/>
      <c r="AH134" s="60"/>
      <c r="AX134" s="66" t="s">
        <v>108</v>
      </c>
      <c r="AY134" s="58">
        <v>23</v>
      </c>
    </row>
    <row r="135" spans="1:51" ht="15.75">
      <c r="A135" s="57">
        <f t="shared" si="12"/>
        <v>133</v>
      </c>
      <c r="B135" s="16" t="s">
        <v>109</v>
      </c>
      <c r="E135" s="59"/>
      <c r="G135" s="59"/>
      <c r="AG135" s="60"/>
      <c r="AH135" s="60"/>
      <c r="AX135" s="66" t="s">
        <v>108</v>
      </c>
      <c r="AY135" s="58">
        <v>23</v>
      </c>
    </row>
    <row r="136" spans="1:51" ht="15.75">
      <c r="A136" s="57">
        <f t="shared" si="12"/>
        <v>134</v>
      </c>
      <c r="B136" s="98" t="s">
        <v>110</v>
      </c>
      <c r="E136" s="59"/>
      <c r="G136" s="59"/>
      <c r="AG136" s="60"/>
      <c r="AH136" s="60"/>
      <c r="AX136" s="66" t="s">
        <v>108</v>
      </c>
      <c r="AY136" s="58">
        <v>23</v>
      </c>
    </row>
    <row r="137" spans="1:51" ht="15.75">
      <c r="A137" s="57">
        <f t="shared" si="12"/>
        <v>135</v>
      </c>
      <c r="B137" s="64" t="s">
        <v>44</v>
      </c>
      <c r="E137" s="59">
        <f>48865.7+4</f>
        <v>48869.7</v>
      </c>
      <c r="G137" s="23">
        <v>52429.12127045427</v>
      </c>
      <c r="I137" s="76">
        <f>I95</f>
        <v>3.93</v>
      </c>
      <c r="K137" s="66">
        <f>ROUND(I137*$E137,0)</f>
        <v>192058</v>
      </c>
      <c r="M137" s="66">
        <f>ROUND(I137*$G137,0)</f>
        <v>206046</v>
      </c>
      <c r="O137" s="76">
        <f>O95</f>
        <v>4</v>
      </c>
      <c r="Q137" s="66">
        <f>ROUND(O137*$G137,0)</f>
        <v>209716</v>
      </c>
      <c r="AG137" s="60"/>
      <c r="AH137" s="60"/>
      <c r="AU137" s="76">
        <f>AU95</f>
        <v>3.93</v>
      </c>
      <c r="AW137" s="66">
        <f>ROUND(AU137*$E137,0)</f>
        <v>192058</v>
      </c>
      <c r="AX137" s="66" t="s">
        <v>108</v>
      </c>
      <c r="AY137" s="58">
        <v>23</v>
      </c>
    </row>
    <row r="138" spans="1:51" ht="15.75">
      <c r="A138" s="57">
        <f t="shared" si="12"/>
        <v>136</v>
      </c>
      <c r="B138" s="64" t="s">
        <v>91</v>
      </c>
      <c r="E138" s="59">
        <f>18908.37</f>
        <v>18908.37</v>
      </c>
      <c r="G138" s="23">
        <f aca="true" t="shared" si="13" ref="G138:G144">E138*($G$147-$G$146)/($E$147-$E$146)</f>
        <v>21001.44173761975</v>
      </c>
      <c r="I138" s="76">
        <f>I97</f>
        <v>6.03</v>
      </c>
      <c r="K138" s="66">
        <f>ROUND(I138*$E138,0)</f>
        <v>114017</v>
      </c>
      <c r="M138" s="66">
        <f>ROUND(I138*$G138,0)</f>
        <v>126639</v>
      </c>
      <c r="O138" s="76">
        <f>O97</f>
        <v>6.27</v>
      </c>
      <c r="Q138" s="66">
        <f>ROUND(O138*$G138,0)</f>
        <v>131679</v>
      </c>
      <c r="AG138" s="60"/>
      <c r="AH138" s="60"/>
      <c r="AU138" s="76">
        <f>AU97</f>
        <v>5.58</v>
      </c>
      <c r="AW138" s="66">
        <f>ROUND(AU138*$E138,0)</f>
        <v>105509</v>
      </c>
      <c r="AX138" s="66" t="s">
        <v>108</v>
      </c>
      <c r="AY138" s="58">
        <v>23</v>
      </c>
    </row>
    <row r="139" spans="1:51" ht="15.75">
      <c r="A139" s="57">
        <f t="shared" si="12"/>
        <v>137</v>
      </c>
      <c r="B139" s="64" t="s">
        <v>92</v>
      </c>
      <c r="E139" s="59">
        <v>21640.9</v>
      </c>
      <c r="G139" s="23">
        <f t="shared" si="13"/>
        <v>24036.45055071671</v>
      </c>
      <c r="I139" s="76">
        <f>I98</f>
        <v>6.08</v>
      </c>
      <c r="K139" s="66">
        <f>ROUND(I139*$E139,0)</f>
        <v>131577</v>
      </c>
      <c r="M139" s="66">
        <f>ROUND(I139*$G139,0)</f>
        <v>146142</v>
      </c>
      <c r="O139" s="76">
        <f>O98</f>
        <v>6.32</v>
      </c>
      <c r="Q139" s="66">
        <f>ROUND(O139*$G139,0)</f>
        <v>151910</v>
      </c>
      <c r="AG139" s="60"/>
      <c r="AH139" s="60"/>
      <c r="AU139" s="76">
        <f>AU98</f>
        <v>5.58</v>
      </c>
      <c r="AW139" s="66">
        <f>ROUND(AU139*$E139,0)</f>
        <v>120756</v>
      </c>
      <c r="AX139" s="66" t="s">
        <v>108</v>
      </c>
      <c r="AY139" s="58">
        <v>23</v>
      </c>
    </row>
    <row r="140" spans="1:51" ht="15.75">
      <c r="A140" s="57">
        <f t="shared" si="12"/>
        <v>138</v>
      </c>
      <c r="B140" s="64" t="s">
        <v>93</v>
      </c>
      <c r="E140" s="59">
        <v>2680</v>
      </c>
      <c r="G140" s="23">
        <f t="shared" si="13"/>
        <v>2976.6639777421815</v>
      </c>
      <c r="I140" s="76">
        <f>I99</f>
        <v>-0.34</v>
      </c>
      <c r="K140" s="66">
        <f>ROUND(I140*$E140,0)</f>
        <v>-911</v>
      </c>
      <c r="M140" s="66">
        <f>ROUND(I140*$G140,0)</f>
        <v>-1012</v>
      </c>
      <c r="O140" s="76">
        <f>O99</f>
        <v>-0.35</v>
      </c>
      <c r="Q140" s="66">
        <f>ROUND(O140*$G140,0)</f>
        <v>-1042</v>
      </c>
      <c r="AG140" s="60"/>
      <c r="AH140" s="60"/>
      <c r="AU140" s="76">
        <f>AU99</f>
        <v>-0.34</v>
      </c>
      <c r="AW140" s="66">
        <f>ROUND(AU140*$E140,0)</f>
        <v>-911</v>
      </c>
      <c r="AX140" s="66" t="s">
        <v>108</v>
      </c>
      <c r="AY140" s="58">
        <v>23</v>
      </c>
    </row>
    <row r="141" spans="1:51" ht="15.75">
      <c r="A141" s="57">
        <f t="shared" si="12"/>
        <v>139</v>
      </c>
      <c r="B141" s="64" t="s">
        <v>94</v>
      </c>
      <c r="E141" s="59">
        <f>13185646+3273</f>
        <v>13188919</v>
      </c>
      <c r="G141" s="23">
        <f t="shared" si="13"/>
        <v>14648873.168902773</v>
      </c>
      <c r="I141" s="105"/>
      <c r="J141" s="106">
        <f>J100</f>
        <v>8.1827</v>
      </c>
      <c r="K141" s="66">
        <f>ROUND(J141*$E141/100,0)</f>
        <v>1079210</v>
      </c>
      <c r="M141" s="66">
        <f>ROUND(J141*$G141/100,0)</f>
        <v>1198673</v>
      </c>
      <c r="O141" s="105"/>
      <c r="P141" s="106">
        <f>P100</f>
        <v>8.4999</v>
      </c>
      <c r="Q141" s="66">
        <f>ROUND(P141*$G141/100,0)</f>
        <v>1245140</v>
      </c>
      <c r="AG141" s="60"/>
      <c r="AH141" s="60"/>
      <c r="AU141" s="105"/>
      <c r="AV141" s="106">
        <f>AV100</f>
        <v>7.5316</v>
      </c>
      <c r="AW141" s="66">
        <f>ROUND(AV141*$E141/100,0)</f>
        <v>993337</v>
      </c>
      <c r="AX141" s="66" t="s">
        <v>108</v>
      </c>
      <c r="AY141" s="58">
        <v>23</v>
      </c>
    </row>
    <row r="142" spans="1:51" ht="15.75">
      <c r="A142" s="57">
        <f t="shared" si="12"/>
        <v>140</v>
      </c>
      <c r="B142" s="64" t="s">
        <v>95</v>
      </c>
      <c r="E142" s="59">
        <f>13579617</f>
        <v>13579617</v>
      </c>
      <c r="G142" s="23">
        <f t="shared" si="13"/>
        <v>15082819.684863936</v>
      </c>
      <c r="I142" s="105"/>
      <c r="J142" s="106">
        <f>J101</f>
        <v>4.5876</v>
      </c>
      <c r="K142" s="66">
        <f>ROUND(J142*$E142/100,0)</f>
        <v>622979</v>
      </c>
      <c r="M142" s="66">
        <f>ROUND(J142*$G142/100,0)</f>
        <v>691939</v>
      </c>
      <c r="O142" s="105"/>
      <c r="P142" s="106">
        <f>P101</f>
        <v>4.765400000000001</v>
      </c>
      <c r="Q142" s="66">
        <f>ROUND(P142*$G142/100,0)</f>
        <v>718757</v>
      </c>
      <c r="AG142" s="60"/>
      <c r="AH142" s="60"/>
      <c r="AU142" s="105"/>
      <c r="AV142" s="106">
        <f>AV101</f>
        <v>4.2227</v>
      </c>
      <c r="AW142" s="66">
        <f>ROUND(AV142*$E142/100,0)</f>
        <v>573426</v>
      </c>
      <c r="AX142" s="66" t="s">
        <v>108</v>
      </c>
      <c r="AY142" s="58">
        <v>23</v>
      </c>
    </row>
    <row r="143" spans="1:51" ht="15.75">
      <c r="A143" s="57">
        <f t="shared" si="12"/>
        <v>141</v>
      </c>
      <c r="B143" s="64" t="s">
        <v>96</v>
      </c>
      <c r="E143" s="59">
        <f>18475815+912</f>
        <v>18476727</v>
      </c>
      <c r="G143" s="23">
        <f t="shared" si="13"/>
        <v>20522017.793834463</v>
      </c>
      <c r="I143" s="105"/>
      <c r="J143" s="106">
        <f>J102</f>
        <v>7.5316</v>
      </c>
      <c r="K143" s="66">
        <f>ROUND(J143*$E143/100,0)</f>
        <v>1391593</v>
      </c>
      <c r="M143" s="66">
        <f>ROUND(J143*$G143/100,0)</f>
        <v>1545636</v>
      </c>
      <c r="O143" s="105"/>
      <c r="P143" s="106">
        <f>P102</f>
        <v>7.8236</v>
      </c>
      <c r="Q143" s="66">
        <f>ROUND(P143*$G143/100,0)</f>
        <v>1605561</v>
      </c>
      <c r="AG143" s="60"/>
      <c r="AH143" s="60"/>
      <c r="AU143" s="105"/>
      <c r="AV143" s="106">
        <f>AV102</f>
        <v>7.5316</v>
      </c>
      <c r="AW143" s="66">
        <f>ROUND(AV143*$E143/100,0)</f>
        <v>1391593</v>
      </c>
      <c r="AX143" s="66" t="s">
        <v>108</v>
      </c>
      <c r="AY143" s="58">
        <v>23</v>
      </c>
    </row>
    <row r="144" spans="1:51" ht="15.75">
      <c r="A144" s="57">
        <f t="shared" si="12"/>
        <v>142</v>
      </c>
      <c r="B144" s="64" t="s">
        <v>97</v>
      </c>
      <c r="E144" s="59">
        <f>16429043</f>
        <v>16429043</v>
      </c>
      <c r="G144" s="23">
        <f t="shared" si="13"/>
        <v>18247664.360775128</v>
      </c>
      <c r="I144" s="105"/>
      <c r="J144" s="106">
        <f>J103</f>
        <v>4.2227</v>
      </c>
      <c r="K144" s="66">
        <f>ROUND(J144*$E144/100,0)</f>
        <v>693749</v>
      </c>
      <c r="M144" s="66">
        <f>ROUND(J144*$G144/100,0)</f>
        <v>770544</v>
      </c>
      <c r="O144" s="105"/>
      <c r="P144" s="106">
        <f>P103</f>
        <v>4.3864</v>
      </c>
      <c r="Q144" s="66">
        <f>ROUND(P144*$G144/100,0)</f>
        <v>800416</v>
      </c>
      <c r="AG144" s="60"/>
      <c r="AH144" s="60"/>
      <c r="AU144" s="105"/>
      <c r="AV144" s="106">
        <f>AV103</f>
        <v>4.2227</v>
      </c>
      <c r="AW144" s="66">
        <f>ROUND(AV144*$E144/100,0)</f>
        <v>693749</v>
      </c>
      <c r="AX144" s="66" t="s">
        <v>108</v>
      </c>
      <c r="AY144" s="58">
        <v>23</v>
      </c>
    </row>
    <row r="145" spans="1:51" ht="15.75">
      <c r="A145" s="57">
        <f t="shared" si="12"/>
        <v>143</v>
      </c>
      <c r="B145" s="64" t="s">
        <v>102</v>
      </c>
      <c r="E145" s="17">
        <v>0</v>
      </c>
      <c r="G145" s="23">
        <f>E145*G137/E137</f>
        <v>0</v>
      </c>
      <c r="I145" s="76">
        <f>I127</f>
        <v>47.160000000000004</v>
      </c>
      <c r="K145" s="66">
        <f>ROUND(I145*$E145,0)</f>
        <v>0</v>
      </c>
      <c r="M145" s="66">
        <f>ROUND(I145*$G145,0)</f>
        <v>0</v>
      </c>
      <c r="O145" s="76">
        <f>O108</f>
        <v>48</v>
      </c>
      <c r="Q145" s="66">
        <f>ROUND(O145*$G145,0)</f>
        <v>0</v>
      </c>
      <c r="AG145" s="60"/>
      <c r="AH145" s="60"/>
      <c r="AU145" s="76">
        <f>AU127</f>
        <v>47.160000000000004</v>
      </c>
      <c r="AW145" s="66">
        <f>ROUND(AU145*$E145,0)</f>
        <v>0</v>
      </c>
      <c r="AX145" s="66" t="s">
        <v>108</v>
      </c>
      <c r="AY145" s="58">
        <v>23</v>
      </c>
    </row>
    <row r="146" spans="1:51" ht="15.75">
      <c r="A146" s="57">
        <f t="shared" si="12"/>
        <v>144</v>
      </c>
      <c r="B146" s="64" t="s">
        <v>57</v>
      </c>
      <c r="E146" s="22">
        <v>-233209</v>
      </c>
      <c r="G146" s="22">
        <v>0</v>
      </c>
      <c r="I146" s="76"/>
      <c r="K146" s="81">
        <f>AW146</f>
        <v>-5759</v>
      </c>
      <c r="M146" s="81">
        <v>0</v>
      </c>
      <c r="O146" s="76"/>
      <c r="Q146" s="81">
        <v>0</v>
      </c>
      <c r="AG146" s="60"/>
      <c r="AH146" s="60"/>
      <c r="AU146" s="76"/>
      <c r="AW146" s="81">
        <v>-5759</v>
      </c>
      <c r="AX146" s="66" t="s">
        <v>108</v>
      </c>
      <c r="AY146" s="58">
        <v>23</v>
      </c>
    </row>
    <row r="147" spans="1:51" ht="16.5" thickBot="1">
      <c r="A147" s="57">
        <f t="shared" si="12"/>
        <v>145</v>
      </c>
      <c r="B147" s="64" t="s">
        <v>58</v>
      </c>
      <c r="E147" s="99">
        <f>E141+E142+E146+E143+E144</f>
        <v>61441097</v>
      </c>
      <c r="G147" s="99">
        <v>68501375.0083763</v>
      </c>
      <c r="I147" s="96"/>
      <c r="J147" s="96"/>
      <c r="K147" s="97">
        <f>SUM(K137:K146)</f>
        <v>4218513</v>
      </c>
      <c r="M147" s="97">
        <f>SUM(M137:M146)</f>
        <v>4684607</v>
      </c>
      <c r="O147" s="96"/>
      <c r="P147" s="96"/>
      <c r="Q147" s="97">
        <f>SUM(Q137:Q146)</f>
        <v>4862137</v>
      </c>
      <c r="AG147" s="60"/>
      <c r="AH147" s="60"/>
      <c r="AU147" s="96"/>
      <c r="AV147" s="96"/>
      <c r="AW147" s="97">
        <f>SUM(AW137:AW146)</f>
        <v>4063758</v>
      </c>
      <c r="AX147" s="66" t="s">
        <v>108</v>
      </c>
      <c r="AY147" s="58">
        <v>23</v>
      </c>
    </row>
    <row r="148" spans="1:51" ht="16.5" thickTop="1">
      <c r="A148" s="57">
        <f t="shared" si="12"/>
        <v>146</v>
      </c>
      <c r="B148" s="64" t="s">
        <v>60</v>
      </c>
      <c r="E148" s="59"/>
      <c r="G148" s="59"/>
      <c r="I148" s="76"/>
      <c r="J148" s="26">
        <f>J130</f>
        <v>0</v>
      </c>
      <c r="K148" s="81">
        <f>ROUND(SUM(K138:K144)*J148,0)</f>
        <v>0</v>
      </c>
      <c r="M148" s="81">
        <f>ROUND(SUM(M138:M144)*J148,0)</f>
        <v>0</v>
      </c>
      <c r="O148" s="76"/>
      <c r="P148" s="26">
        <f>P112</f>
        <v>0</v>
      </c>
      <c r="Q148" s="81">
        <f>ROUND(SUM(Q138:Q144)*P148,0)</f>
        <v>0</v>
      </c>
      <c r="AG148" s="60"/>
      <c r="AH148" s="60"/>
      <c r="AU148" s="76"/>
      <c r="AV148" s="26">
        <f>AV130</f>
        <v>0.0365</v>
      </c>
      <c r="AW148" s="81">
        <f>ROUND(SUM(AW138:AW144)*AV148,0)</f>
        <v>141527</v>
      </c>
      <c r="AX148" s="66" t="s">
        <v>108</v>
      </c>
      <c r="AY148" s="58">
        <v>23</v>
      </c>
    </row>
    <row r="149" spans="1:51" ht="15.75">
      <c r="A149" s="57">
        <f t="shared" si="12"/>
        <v>147</v>
      </c>
      <c r="B149" s="64" t="s">
        <v>62</v>
      </c>
      <c r="E149" s="59"/>
      <c r="G149" s="59"/>
      <c r="I149" s="76"/>
      <c r="J149" s="26">
        <f>J131</f>
        <v>0.0311</v>
      </c>
      <c r="K149" s="81">
        <f>ROUND(SUM(K138:K144,K148)*J149,0)</f>
        <v>125402</v>
      </c>
      <c r="M149" s="81">
        <f>ROUND(SUM(M138:M144,M148)*J149,0)</f>
        <v>139283</v>
      </c>
      <c r="O149" s="76"/>
      <c r="P149" s="26">
        <f>P113</f>
        <v>0.0311</v>
      </c>
      <c r="Q149" s="81">
        <f>ROUND(SUM(Q138:Q144,Q148)*P149,0)</f>
        <v>144690</v>
      </c>
      <c r="S149" s="60"/>
      <c r="T149" s="60"/>
      <c r="U149" s="60"/>
      <c r="V149" s="60"/>
      <c r="AG149" s="60"/>
      <c r="AH149" s="60"/>
      <c r="AU149" s="76"/>
      <c r="AV149" s="26">
        <f>AV131</f>
        <v>0</v>
      </c>
      <c r="AW149" s="81">
        <f>ROUND(SUM(AW138:AW144,AW148)*AV149,0)</f>
        <v>0</v>
      </c>
      <c r="AX149" s="66" t="s">
        <v>108</v>
      </c>
      <c r="AY149" s="58">
        <v>23</v>
      </c>
    </row>
    <row r="150" spans="1:51" ht="15.75">
      <c r="A150" s="57">
        <f t="shared" si="12"/>
        <v>148</v>
      </c>
      <c r="E150" s="59"/>
      <c r="G150" s="59"/>
      <c r="AG150" s="60"/>
      <c r="AH150" s="60"/>
      <c r="AX150" s="66" t="s">
        <v>108</v>
      </c>
      <c r="AY150" s="58">
        <v>23</v>
      </c>
    </row>
    <row r="151" spans="1:51" ht="15.75">
      <c r="A151" s="57">
        <f t="shared" si="12"/>
        <v>149</v>
      </c>
      <c r="B151" s="64" t="s">
        <v>104</v>
      </c>
      <c r="E151" s="59"/>
      <c r="G151" s="59"/>
      <c r="AG151" s="60"/>
      <c r="AH151" s="60"/>
      <c r="AX151" s="66" t="s">
        <v>111</v>
      </c>
      <c r="AY151" s="58">
        <v>23</v>
      </c>
    </row>
    <row r="152" spans="1:51" ht="15.75">
      <c r="A152" s="57">
        <f t="shared" si="12"/>
        <v>150</v>
      </c>
      <c r="B152" s="64" t="s">
        <v>88</v>
      </c>
      <c r="E152" s="59"/>
      <c r="G152" s="59"/>
      <c r="AG152" s="60"/>
      <c r="AH152" s="60"/>
      <c r="AX152" s="66" t="s">
        <v>111</v>
      </c>
      <c r="AY152" s="58">
        <v>23</v>
      </c>
    </row>
    <row r="153" spans="1:51" ht="15.75">
      <c r="A153" s="57">
        <f t="shared" si="12"/>
        <v>151</v>
      </c>
      <c r="B153" s="16" t="s">
        <v>112</v>
      </c>
      <c r="E153" s="59"/>
      <c r="G153" s="59"/>
      <c r="AG153" s="60"/>
      <c r="AH153" s="60"/>
      <c r="AX153" s="66" t="s">
        <v>111</v>
      </c>
      <c r="AY153" s="58">
        <v>23</v>
      </c>
    </row>
    <row r="154" spans="1:51" ht="15.75">
      <c r="A154" s="57">
        <f t="shared" si="12"/>
        <v>152</v>
      </c>
      <c r="B154" s="98" t="s">
        <v>113</v>
      </c>
      <c r="E154" s="59"/>
      <c r="G154" s="59"/>
      <c r="AG154" s="60"/>
      <c r="AH154" s="60"/>
      <c r="AX154" s="66" t="s">
        <v>111</v>
      </c>
      <c r="AY154" s="58">
        <v>23</v>
      </c>
    </row>
    <row r="155" spans="1:51" ht="15.75">
      <c r="A155" s="57">
        <f t="shared" si="12"/>
        <v>153</v>
      </c>
      <c r="B155" s="64" t="s">
        <v>44</v>
      </c>
      <c r="E155" s="59">
        <v>94.03</v>
      </c>
      <c r="G155" s="23">
        <v>100.87866864459603</v>
      </c>
      <c r="I155" s="76">
        <f>I137</f>
        <v>3.93</v>
      </c>
      <c r="K155" s="66">
        <f>ROUND(I155*$E155,0)</f>
        <v>370</v>
      </c>
      <c r="M155" s="66">
        <f>ROUND(I155*$G155,0)</f>
        <v>396</v>
      </c>
      <c r="O155" s="76">
        <f>O95</f>
        <v>4</v>
      </c>
      <c r="Q155" s="66">
        <f>ROUND(O155*$G155,0)</f>
        <v>404</v>
      </c>
      <c r="AG155" s="60"/>
      <c r="AH155" s="60"/>
      <c r="AU155" s="76">
        <f>AU137</f>
        <v>3.93</v>
      </c>
      <c r="AW155" s="66">
        <f>ROUND(AU155*$E155,0)</f>
        <v>370</v>
      </c>
      <c r="AX155" s="66" t="s">
        <v>111</v>
      </c>
      <c r="AY155" s="58">
        <v>23</v>
      </c>
    </row>
    <row r="156" spans="1:51" ht="15.75">
      <c r="A156" s="57">
        <f t="shared" si="12"/>
        <v>154</v>
      </c>
      <c r="B156" s="64" t="s">
        <v>91</v>
      </c>
      <c r="E156" s="59">
        <v>4</v>
      </c>
      <c r="G156" s="23">
        <f aca="true" t="shared" si="14" ref="G156:G162">E156*($G$165-$G$164)/($E$165-$E$164)</f>
        <v>4.442782056331614</v>
      </c>
      <c r="I156" s="76">
        <f>I97</f>
        <v>6.03</v>
      </c>
      <c r="K156" s="66">
        <f>ROUND(I156*$E156,0)</f>
        <v>24</v>
      </c>
      <c r="M156" s="66">
        <f>ROUND(I156*$G156,0)</f>
        <v>27</v>
      </c>
      <c r="O156" s="76">
        <f>O97</f>
        <v>6.27</v>
      </c>
      <c r="Q156" s="66">
        <f>ROUND(O156*$G156,0)</f>
        <v>28</v>
      </c>
      <c r="AG156" s="60"/>
      <c r="AH156" s="60"/>
      <c r="AU156" s="76">
        <f>AU97</f>
        <v>5.58</v>
      </c>
      <c r="AW156" s="66">
        <f>ROUND(AU156*$E156,0)</f>
        <v>22</v>
      </c>
      <c r="AX156" s="66" t="s">
        <v>111</v>
      </c>
      <c r="AY156" s="58">
        <v>23</v>
      </c>
    </row>
    <row r="157" spans="1:51" ht="15.75">
      <c r="A157" s="57">
        <f t="shared" si="12"/>
        <v>155</v>
      </c>
      <c r="B157" s="64" t="s">
        <v>92</v>
      </c>
      <c r="E157" s="59">
        <v>3</v>
      </c>
      <c r="G157" s="23">
        <f t="shared" si="14"/>
        <v>3.3320865422487103</v>
      </c>
      <c r="I157" s="76">
        <f>I98</f>
        <v>6.08</v>
      </c>
      <c r="K157" s="66">
        <f>ROUND(I157*$E157,0)</f>
        <v>18</v>
      </c>
      <c r="M157" s="66">
        <f>ROUND(I157*$G157,0)</f>
        <v>20</v>
      </c>
      <c r="O157" s="76">
        <f>O98</f>
        <v>6.32</v>
      </c>
      <c r="Q157" s="66">
        <f>ROUND(O157*$G157,0)</f>
        <v>21</v>
      </c>
      <c r="AG157" s="60"/>
      <c r="AH157" s="60"/>
      <c r="AU157" s="76">
        <f>AU98</f>
        <v>5.58</v>
      </c>
      <c r="AW157" s="66">
        <f>ROUND(AU157*$E157,0)</f>
        <v>17</v>
      </c>
      <c r="AX157" s="66" t="s">
        <v>111</v>
      </c>
      <c r="AY157" s="58">
        <v>23</v>
      </c>
    </row>
    <row r="158" spans="1:51" ht="15.75">
      <c r="A158" s="57">
        <f t="shared" si="12"/>
        <v>156</v>
      </c>
      <c r="B158" s="64" t="s">
        <v>93</v>
      </c>
      <c r="E158" s="59">
        <v>0</v>
      </c>
      <c r="G158" s="23">
        <f t="shared" si="14"/>
        <v>0</v>
      </c>
      <c r="I158" s="76">
        <f>I99</f>
        <v>-0.34</v>
      </c>
      <c r="K158" s="66">
        <f>ROUND(I158*$E158,0)</f>
        <v>0</v>
      </c>
      <c r="M158" s="66">
        <f>ROUND(I158*$G158,0)</f>
        <v>0</v>
      </c>
      <c r="O158" s="76">
        <f>O99</f>
        <v>-0.35</v>
      </c>
      <c r="Q158" s="66">
        <f>ROUND(O158*$G158,0)</f>
        <v>0</v>
      </c>
      <c r="AG158" s="60"/>
      <c r="AH158" s="60"/>
      <c r="AU158" s="76">
        <f>AU99</f>
        <v>-0.34</v>
      </c>
      <c r="AW158" s="66">
        <f>ROUND(AU158*$E158,0)</f>
        <v>0</v>
      </c>
      <c r="AX158" s="66" t="s">
        <v>111</v>
      </c>
      <c r="AY158" s="58">
        <v>23</v>
      </c>
    </row>
    <row r="159" spans="1:51" ht="15.75">
      <c r="A159" s="57">
        <f t="shared" si="12"/>
        <v>157</v>
      </c>
      <c r="B159" s="64" t="s">
        <v>94</v>
      </c>
      <c r="E159" s="59">
        <v>16841</v>
      </c>
      <c r="G159" s="23">
        <f t="shared" si="14"/>
        <v>18705.223152670176</v>
      </c>
      <c r="I159" s="76"/>
      <c r="J159" s="93">
        <f>J141</f>
        <v>8.1827</v>
      </c>
      <c r="K159" s="66">
        <f>ROUND(J159*$E159/100,0)</f>
        <v>1378</v>
      </c>
      <c r="M159" s="66">
        <f>ROUND(J159*$G159/100,0)</f>
        <v>1531</v>
      </c>
      <c r="O159" s="76"/>
      <c r="P159" s="93">
        <f>P100</f>
        <v>8.4999</v>
      </c>
      <c r="Q159" s="66">
        <f>ROUND(P159*$G159/100,0)</f>
        <v>1590</v>
      </c>
      <c r="AG159" s="60"/>
      <c r="AH159" s="60"/>
      <c r="AU159" s="76"/>
      <c r="AV159" s="93">
        <f>AV141</f>
        <v>7.5316</v>
      </c>
      <c r="AW159" s="66">
        <f>ROUND(AV159*$E159/100,0)</f>
        <v>1268</v>
      </c>
      <c r="AX159" s="66" t="s">
        <v>111</v>
      </c>
      <c r="AY159" s="58">
        <v>23</v>
      </c>
    </row>
    <row r="160" spans="1:51" ht="15.75">
      <c r="A160" s="57">
        <f t="shared" si="12"/>
        <v>158</v>
      </c>
      <c r="B160" s="64" t="s">
        <v>95</v>
      </c>
      <c r="E160" s="59">
        <v>19784</v>
      </c>
      <c r="G160" s="23">
        <f t="shared" si="14"/>
        <v>21974.000050616163</v>
      </c>
      <c r="I160" s="76"/>
      <c r="J160" s="93">
        <f>J142</f>
        <v>4.5876</v>
      </c>
      <c r="K160" s="66">
        <f>ROUND(J160*$E160/100,0)</f>
        <v>908</v>
      </c>
      <c r="M160" s="66">
        <f>ROUND(J160*$G160/100,0)</f>
        <v>1008</v>
      </c>
      <c r="O160" s="76"/>
      <c r="P160" s="93">
        <f>P101</f>
        <v>4.765400000000001</v>
      </c>
      <c r="Q160" s="66">
        <f>ROUND(P160*$G160/100,0)</f>
        <v>1047</v>
      </c>
      <c r="AG160" s="60"/>
      <c r="AH160" s="60"/>
      <c r="AU160" s="76"/>
      <c r="AV160" s="93">
        <f>AV142</f>
        <v>4.2227</v>
      </c>
      <c r="AW160" s="66">
        <f>ROUND(AV160*$E160/100,0)</f>
        <v>835</v>
      </c>
      <c r="AX160" s="66" t="s">
        <v>111</v>
      </c>
      <c r="AY160" s="58">
        <v>23</v>
      </c>
    </row>
    <row r="161" spans="1:51" ht="15.75">
      <c r="A161" s="57">
        <f t="shared" si="12"/>
        <v>159</v>
      </c>
      <c r="B161" s="64" t="s">
        <v>96</v>
      </c>
      <c r="E161" s="59">
        <v>23352</v>
      </c>
      <c r="G161" s="23">
        <f t="shared" si="14"/>
        <v>25936.96164486396</v>
      </c>
      <c r="I161" s="76"/>
      <c r="J161" s="93">
        <f>J143</f>
        <v>7.5316</v>
      </c>
      <c r="K161" s="66">
        <f>ROUND(J161*$E161/100,0)</f>
        <v>1759</v>
      </c>
      <c r="M161" s="66">
        <f>ROUND(J161*$G161/100,0)</f>
        <v>1953</v>
      </c>
      <c r="O161" s="76"/>
      <c r="P161" s="93">
        <f>P102</f>
        <v>7.8236</v>
      </c>
      <c r="Q161" s="66">
        <f>ROUND(P161*$G161/100,0)</f>
        <v>2029</v>
      </c>
      <c r="AG161" s="60"/>
      <c r="AH161" s="60"/>
      <c r="AU161" s="76"/>
      <c r="AV161" s="93">
        <f>AV143</f>
        <v>7.5316</v>
      </c>
      <c r="AW161" s="66">
        <f>ROUND(AV161*$E161/100,0)</f>
        <v>1759</v>
      </c>
      <c r="AX161" s="66" t="s">
        <v>111</v>
      </c>
      <c r="AY161" s="58">
        <v>23</v>
      </c>
    </row>
    <row r="162" spans="1:51" ht="15.75">
      <c r="A162" s="57">
        <f t="shared" si="12"/>
        <v>160</v>
      </c>
      <c r="B162" s="64" t="s">
        <v>97</v>
      </c>
      <c r="E162" s="59">
        <v>15970</v>
      </c>
      <c r="G162" s="23">
        <f t="shared" si="14"/>
        <v>17737.80735990397</v>
      </c>
      <c r="I162" s="76"/>
      <c r="J162" s="93">
        <f>J144</f>
        <v>4.2227</v>
      </c>
      <c r="K162" s="66">
        <f>ROUND(J162*$E162/100,0)</f>
        <v>674</v>
      </c>
      <c r="M162" s="66">
        <f>ROUND(J162*$G162/100,0)</f>
        <v>749</v>
      </c>
      <c r="O162" s="76"/>
      <c r="P162" s="93">
        <f>P103</f>
        <v>4.3864</v>
      </c>
      <c r="Q162" s="66">
        <f>ROUND(P162*$G162/100,0)</f>
        <v>778</v>
      </c>
      <c r="AG162" s="60"/>
      <c r="AH162" s="60"/>
      <c r="AU162" s="76"/>
      <c r="AV162" s="93">
        <f>AV144</f>
        <v>4.2227</v>
      </c>
      <c r="AW162" s="66">
        <f>ROUND(AV162*$E162/100,0)</f>
        <v>674</v>
      </c>
      <c r="AX162" s="66" t="s">
        <v>111</v>
      </c>
      <c r="AY162" s="58">
        <v>23</v>
      </c>
    </row>
    <row r="163" spans="1:51" ht="15.75">
      <c r="A163" s="57">
        <f t="shared" si="12"/>
        <v>161</v>
      </c>
      <c r="B163" s="64" t="s">
        <v>102</v>
      </c>
      <c r="E163" s="17">
        <v>0</v>
      </c>
      <c r="G163" s="23">
        <f>E163*G155/E155</f>
        <v>0</v>
      </c>
      <c r="I163" s="76">
        <f>I145</f>
        <v>47.160000000000004</v>
      </c>
      <c r="K163" s="66">
        <f>ROUND(I163*$E163,0)</f>
        <v>0</v>
      </c>
      <c r="M163" s="66">
        <f>ROUND(I163*$G163,0)</f>
        <v>0</v>
      </c>
      <c r="O163" s="76">
        <f>O108</f>
        <v>48</v>
      </c>
      <c r="Q163" s="66">
        <f>ROUND(O163*$G163,0)</f>
        <v>0</v>
      </c>
      <c r="AG163" s="60"/>
      <c r="AH163" s="60"/>
      <c r="AU163" s="76">
        <f>AU145</f>
        <v>47.160000000000004</v>
      </c>
      <c r="AW163" s="66">
        <f>ROUND(AU163*$E163,0)</f>
        <v>0</v>
      </c>
      <c r="AX163" s="66" t="s">
        <v>111</v>
      </c>
      <c r="AY163" s="58">
        <v>23</v>
      </c>
    </row>
    <row r="164" spans="1:51" ht="15.75">
      <c r="A164" s="57">
        <f t="shared" si="12"/>
        <v>162</v>
      </c>
      <c r="B164" s="64" t="s">
        <v>57</v>
      </c>
      <c r="E164" s="22">
        <v>1174</v>
      </c>
      <c r="G164" s="22">
        <v>0</v>
      </c>
      <c r="I164" s="76"/>
      <c r="K164" s="81">
        <f>AW164</f>
        <v>34</v>
      </c>
      <c r="M164" s="81">
        <v>0</v>
      </c>
      <c r="O164" s="76"/>
      <c r="Q164" s="81">
        <v>0</v>
      </c>
      <c r="AG164" s="60"/>
      <c r="AH164" s="60"/>
      <c r="AU164" s="76"/>
      <c r="AW164" s="81">
        <v>34</v>
      </c>
      <c r="AX164" s="66" t="s">
        <v>111</v>
      </c>
      <c r="AY164" s="58">
        <v>23</v>
      </c>
    </row>
    <row r="165" spans="1:51" ht="16.5" thickBot="1">
      <c r="A165" s="57">
        <f t="shared" si="12"/>
        <v>163</v>
      </c>
      <c r="B165" s="64" t="s">
        <v>58</v>
      </c>
      <c r="E165" s="99">
        <f>E159+E160+E164+E161+E162</f>
        <v>77121</v>
      </c>
      <c r="G165" s="99">
        <v>84353.99220805427</v>
      </c>
      <c r="I165" s="96"/>
      <c r="J165" s="96"/>
      <c r="K165" s="97">
        <f>SUM(K155:K164)</f>
        <v>5165</v>
      </c>
      <c r="M165" s="97">
        <f>SUM(M155:M164)</f>
        <v>5684</v>
      </c>
      <c r="O165" s="96"/>
      <c r="P165" s="96"/>
      <c r="Q165" s="97">
        <f>SUM(Q155:Q164)</f>
        <v>5897</v>
      </c>
      <c r="AG165" s="60"/>
      <c r="AH165" s="60"/>
      <c r="AU165" s="96"/>
      <c r="AV165" s="96"/>
      <c r="AW165" s="97">
        <f>SUM(AW155:AW164)</f>
        <v>4979</v>
      </c>
      <c r="AX165" s="66" t="s">
        <v>111</v>
      </c>
      <c r="AY165" s="58">
        <v>23</v>
      </c>
    </row>
    <row r="166" spans="1:51" ht="16.5" thickTop="1">
      <c r="A166" s="57">
        <f t="shared" si="12"/>
        <v>164</v>
      </c>
      <c r="B166" s="64" t="s">
        <v>60</v>
      </c>
      <c r="E166" s="59"/>
      <c r="G166" s="59"/>
      <c r="I166" s="76"/>
      <c r="J166" s="26">
        <f>J148</f>
        <v>0</v>
      </c>
      <c r="K166" s="81">
        <f>ROUND(SUM(K156:K162)*J166,0)</f>
        <v>0</v>
      </c>
      <c r="M166" s="81">
        <f>ROUND(SUM(M156:M162)*J166,0)</f>
        <v>0</v>
      </c>
      <c r="O166" s="76"/>
      <c r="P166" s="26">
        <f>P112</f>
        <v>0</v>
      </c>
      <c r="Q166" s="81">
        <f>ROUND(SUM(Q156:Q162)*P166,0)</f>
        <v>0</v>
      </c>
      <c r="AG166" s="60"/>
      <c r="AH166" s="60"/>
      <c r="AU166" s="76"/>
      <c r="AV166" s="26">
        <f>AV148</f>
        <v>0.0365</v>
      </c>
      <c r="AW166" s="81">
        <f>ROUND(SUM(AW156:AW162)*AV166,0)</f>
        <v>167</v>
      </c>
      <c r="AX166" s="66" t="s">
        <v>111</v>
      </c>
      <c r="AY166" s="58">
        <v>23</v>
      </c>
    </row>
    <row r="167" spans="1:51" ht="15.75">
      <c r="A167" s="57">
        <f t="shared" si="12"/>
        <v>165</v>
      </c>
      <c r="B167" s="64" t="s">
        <v>62</v>
      </c>
      <c r="E167" s="59"/>
      <c r="G167" s="59"/>
      <c r="I167" s="76"/>
      <c r="J167" s="26">
        <f>J149</f>
        <v>0.0311</v>
      </c>
      <c r="K167" s="81">
        <f>ROUND(SUM(K156:K162,K166)*J167,0)</f>
        <v>148</v>
      </c>
      <c r="M167" s="81">
        <f>ROUND(SUM(M156:M162,M166)*J167,0)</f>
        <v>164</v>
      </c>
      <c r="O167" s="76"/>
      <c r="P167" s="26">
        <f>P113</f>
        <v>0.0311</v>
      </c>
      <c r="Q167" s="81">
        <f>ROUND(SUM(Q156:Q162,Q166)*P167,0)</f>
        <v>171</v>
      </c>
      <c r="S167" s="60"/>
      <c r="T167" s="60"/>
      <c r="U167" s="60"/>
      <c r="V167" s="60"/>
      <c r="AG167" s="60"/>
      <c r="AH167" s="60"/>
      <c r="AU167" s="76"/>
      <c r="AV167" s="26">
        <f>AV149</f>
        <v>0</v>
      </c>
      <c r="AW167" s="81">
        <f>ROUND(SUM(AW156:AW162,AW166)*AV167,0)</f>
        <v>0</v>
      </c>
      <c r="AX167" s="66" t="s">
        <v>111</v>
      </c>
      <c r="AY167" s="58">
        <v>23</v>
      </c>
    </row>
    <row r="168" spans="1:51" ht="15.75">
      <c r="A168" s="57">
        <f t="shared" si="12"/>
        <v>166</v>
      </c>
      <c r="AG168" s="60"/>
      <c r="AH168" s="60"/>
      <c r="AX168" s="66" t="s">
        <v>111</v>
      </c>
      <c r="AY168" s="58">
        <v>23</v>
      </c>
    </row>
    <row r="169" spans="1:51" ht="15.75">
      <c r="A169" s="57">
        <f t="shared" si="12"/>
        <v>167</v>
      </c>
      <c r="AG169" s="60"/>
      <c r="AH169" s="60"/>
      <c r="AX169" s="66" t="s">
        <v>111</v>
      </c>
      <c r="AY169" s="58">
        <v>23</v>
      </c>
    </row>
    <row r="170" spans="1:51" ht="15.75">
      <c r="A170" s="57">
        <f t="shared" si="12"/>
        <v>168</v>
      </c>
      <c r="B170" s="64" t="s">
        <v>104</v>
      </c>
      <c r="AG170" s="60"/>
      <c r="AH170" s="60"/>
      <c r="AX170" s="66" t="s">
        <v>114</v>
      </c>
      <c r="AY170" s="58">
        <v>23</v>
      </c>
    </row>
    <row r="171" spans="1:51" ht="15.75">
      <c r="A171" s="57">
        <f t="shared" si="12"/>
        <v>169</v>
      </c>
      <c r="B171" s="64" t="s">
        <v>88</v>
      </c>
      <c r="AG171" s="60"/>
      <c r="AH171" s="60"/>
      <c r="AX171" s="66" t="s">
        <v>114</v>
      </c>
      <c r="AY171" s="58">
        <v>23</v>
      </c>
    </row>
    <row r="172" spans="1:51" ht="15.75">
      <c r="A172" s="57">
        <f aca="true" t="shared" si="15" ref="A172:A235">A171+1</f>
        <v>170</v>
      </c>
      <c r="B172" s="16" t="s">
        <v>115</v>
      </c>
      <c r="AG172" s="60"/>
      <c r="AH172" s="60"/>
      <c r="AX172" s="66" t="s">
        <v>114</v>
      </c>
      <c r="AY172" s="58">
        <v>23</v>
      </c>
    </row>
    <row r="173" spans="1:51" ht="15.75">
      <c r="A173" s="57">
        <f t="shared" si="15"/>
        <v>171</v>
      </c>
      <c r="B173" s="98" t="s">
        <v>113</v>
      </c>
      <c r="AG173" s="60"/>
      <c r="AH173" s="60"/>
      <c r="AX173" s="66" t="s">
        <v>114</v>
      </c>
      <c r="AY173" s="58">
        <v>23</v>
      </c>
    </row>
    <row r="174" spans="1:51" ht="15.75">
      <c r="A174" s="57">
        <f t="shared" si="15"/>
        <v>172</v>
      </c>
      <c r="B174" s="64" t="s">
        <v>44</v>
      </c>
      <c r="E174" s="59">
        <v>0</v>
      </c>
      <c r="G174" s="59">
        <v>0</v>
      </c>
      <c r="I174" s="76">
        <f>I155</f>
        <v>3.93</v>
      </c>
      <c r="K174" s="66">
        <f>ROUND(I174*$E174,0)</f>
        <v>0</v>
      </c>
      <c r="M174" s="66">
        <f>ROUND(I174*$G174,0)</f>
        <v>0</v>
      </c>
      <c r="O174" s="76">
        <f>O95</f>
        <v>4</v>
      </c>
      <c r="Q174" s="66">
        <f>ROUND(O174*$G174,0)</f>
        <v>0</v>
      </c>
      <c r="AG174" s="60"/>
      <c r="AH174" s="60"/>
      <c r="AU174" s="76">
        <f>AU155</f>
        <v>3.93</v>
      </c>
      <c r="AW174" s="66">
        <f>ROUND(AU174*$E174,0)</f>
        <v>0</v>
      </c>
      <c r="AX174" s="66" t="s">
        <v>114</v>
      </c>
      <c r="AY174" s="58">
        <v>23</v>
      </c>
    </row>
    <row r="175" spans="1:51" ht="15.75">
      <c r="A175" s="57">
        <f t="shared" si="15"/>
        <v>173</v>
      </c>
      <c r="B175" s="64" t="s">
        <v>91</v>
      </c>
      <c r="E175" s="59">
        <v>0</v>
      </c>
      <c r="G175" s="59">
        <v>0</v>
      </c>
      <c r="I175" s="76">
        <f>I97</f>
        <v>6.03</v>
      </c>
      <c r="K175" s="66">
        <f>ROUND(I175*$E175,0)</f>
        <v>0</v>
      </c>
      <c r="M175" s="66">
        <f>ROUND(I175*$G175,0)</f>
        <v>0</v>
      </c>
      <c r="O175" s="76">
        <f>O97</f>
        <v>6.27</v>
      </c>
      <c r="Q175" s="66">
        <f>ROUND(O175*$G175,0)</f>
        <v>0</v>
      </c>
      <c r="AG175" s="60"/>
      <c r="AH175" s="60"/>
      <c r="AU175" s="76">
        <f>AU97</f>
        <v>5.58</v>
      </c>
      <c r="AW175" s="66">
        <f>ROUND(AU175*$E175,0)</f>
        <v>0</v>
      </c>
      <c r="AX175" s="66" t="s">
        <v>114</v>
      </c>
      <c r="AY175" s="58">
        <v>23</v>
      </c>
    </row>
    <row r="176" spans="1:51" ht="15.75">
      <c r="A176" s="57">
        <f t="shared" si="15"/>
        <v>174</v>
      </c>
      <c r="B176" s="64" t="s">
        <v>92</v>
      </c>
      <c r="E176" s="59">
        <v>0</v>
      </c>
      <c r="G176" s="59">
        <v>0</v>
      </c>
      <c r="I176" s="76">
        <f>I98</f>
        <v>6.08</v>
      </c>
      <c r="K176" s="66">
        <f>ROUND(I176*$E176,0)</f>
        <v>0</v>
      </c>
      <c r="M176" s="66">
        <f>ROUND(I176*$G176,0)</f>
        <v>0</v>
      </c>
      <c r="O176" s="76">
        <f>O98</f>
        <v>6.32</v>
      </c>
      <c r="Q176" s="66">
        <f>ROUND(O176*$G176,0)</f>
        <v>0</v>
      </c>
      <c r="AG176" s="60"/>
      <c r="AH176" s="60"/>
      <c r="AU176" s="76">
        <f>AU98</f>
        <v>5.58</v>
      </c>
      <c r="AW176" s="66">
        <f>ROUND(AU176*$E176,0)</f>
        <v>0</v>
      </c>
      <c r="AX176" s="66" t="s">
        <v>114</v>
      </c>
      <c r="AY176" s="58">
        <v>23</v>
      </c>
    </row>
    <row r="177" spans="1:51" ht="15.75">
      <c r="A177" s="57">
        <f t="shared" si="15"/>
        <v>175</v>
      </c>
      <c r="B177" s="64" t="s">
        <v>93</v>
      </c>
      <c r="E177" s="59">
        <v>0</v>
      </c>
      <c r="G177" s="59">
        <v>0</v>
      </c>
      <c r="I177" s="76">
        <f>I99</f>
        <v>-0.34</v>
      </c>
      <c r="K177" s="66">
        <f>ROUND(I177*$E177,0)</f>
        <v>0</v>
      </c>
      <c r="M177" s="66">
        <f>ROUND(I177*$G177,0)</f>
        <v>0</v>
      </c>
      <c r="O177" s="76">
        <f>O99</f>
        <v>-0.35</v>
      </c>
      <c r="Q177" s="66">
        <f>ROUND(O177*$G177,0)</f>
        <v>0</v>
      </c>
      <c r="AG177" s="60"/>
      <c r="AH177" s="60"/>
      <c r="AU177" s="76">
        <f>AU99</f>
        <v>-0.34</v>
      </c>
      <c r="AW177" s="66">
        <f>ROUND(AU177*$E177,0)</f>
        <v>0</v>
      </c>
      <c r="AX177" s="66" t="s">
        <v>114</v>
      </c>
      <c r="AY177" s="58">
        <v>23</v>
      </c>
    </row>
    <row r="178" spans="1:51" ht="15.75">
      <c r="A178" s="57">
        <f t="shared" si="15"/>
        <v>176</v>
      </c>
      <c r="B178" s="64" t="s">
        <v>94</v>
      </c>
      <c r="E178" s="59">
        <v>0</v>
      </c>
      <c r="G178" s="59">
        <v>0</v>
      </c>
      <c r="J178" s="93">
        <f>J159</f>
        <v>8.1827</v>
      </c>
      <c r="K178" s="66">
        <f>ROUND(J178*$E178/100,0)</f>
        <v>0</v>
      </c>
      <c r="M178" s="66">
        <f>ROUND(J178*$G178/100,0)</f>
        <v>0</v>
      </c>
      <c r="P178" s="93">
        <f>P100</f>
        <v>8.4999</v>
      </c>
      <c r="Q178" s="66">
        <f>ROUND(P178*$G178/100,0)</f>
        <v>0</v>
      </c>
      <c r="AG178" s="60"/>
      <c r="AH178" s="60"/>
      <c r="AV178" s="93">
        <f>AV159</f>
        <v>7.5316</v>
      </c>
      <c r="AW178" s="66">
        <f>ROUND(AV178*$E178/100,0)</f>
        <v>0</v>
      </c>
      <c r="AX178" s="66" t="s">
        <v>114</v>
      </c>
      <c r="AY178" s="58">
        <v>23</v>
      </c>
    </row>
    <row r="179" spans="1:51" ht="15.75">
      <c r="A179" s="57">
        <f t="shared" si="15"/>
        <v>177</v>
      </c>
      <c r="B179" s="64" t="s">
        <v>95</v>
      </c>
      <c r="E179" s="59">
        <v>0</v>
      </c>
      <c r="G179" s="59">
        <v>0</v>
      </c>
      <c r="J179" s="93">
        <f>J160</f>
        <v>4.5876</v>
      </c>
      <c r="K179" s="66">
        <f>ROUND(J179*$E179/100,0)</f>
        <v>0</v>
      </c>
      <c r="M179" s="66">
        <f>ROUND(J179*$G179/100,0)</f>
        <v>0</v>
      </c>
      <c r="P179" s="93">
        <f>P101</f>
        <v>4.765400000000001</v>
      </c>
      <c r="Q179" s="66">
        <f>ROUND(P179*$G179/100,0)</f>
        <v>0</v>
      </c>
      <c r="AG179" s="60"/>
      <c r="AH179" s="60"/>
      <c r="AV179" s="93">
        <f>AV160</f>
        <v>4.2227</v>
      </c>
      <c r="AW179" s="66">
        <f>ROUND(AV179*$E179/100,0)</f>
        <v>0</v>
      </c>
      <c r="AX179" s="66" t="s">
        <v>114</v>
      </c>
      <c r="AY179" s="58">
        <v>23</v>
      </c>
    </row>
    <row r="180" spans="1:51" ht="15.75">
      <c r="A180" s="57">
        <f t="shared" si="15"/>
        <v>178</v>
      </c>
      <c r="B180" s="64" t="s">
        <v>96</v>
      </c>
      <c r="E180" s="59">
        <v>0</v>
      </c>
      <c r="G180" s="59">
        <v>0</v>
      </c>
      <c r="J180" s="93">
        <f>J161</f>
        <v>7.5316</v>
      </c>
      <c r="K180" s="66">
        <f>ROUND(J180*$E180/100,0)</f>
        <v>0</v>
      </c>
      <c r="M180" s="66">
        <f>ROUND(J180*$G180/100,0)</f>
        <v>0</v>
      </c>
      <c r="P180" s="93">
        <f>P102</f>
        <v>7.8236</v>
      </c>
      <c r="Q180" s="66">
        <f>ROUND(P180*$G180/100,0)</f>
        <v>0</v>
      </c>
      <c r="AG180" s="60"/>
      <c r="AH180" s="60"/>
      <c r="AV180" s="93">
        <f>AV161</f>
        <v>7.5316</v>
      </c>
      <c r="AW180" s="66">
        <f>ROUND(AV180*$E180/100,0)</f>
        <v>0</v>
      </c>
      <c r="AX180" s="66" t="s">
        <v>114</v>
      </c>
      <c r="AY180" s="58">
        <v>23</v>
      </c>
    </row>
    <row r="181" spans="1:51" ht="15.75">
      <c r="A181" s="57">
        <f t="shared" si="15"/>
        <v>179</v>
      </c>
      <c r="B181" s="64" t="s">
        <v>97</v>
      </c>
      <c r="E181" s="59">
        <v>0</v>
      </c>
      <c r="G181" s="59">
        <v>0</v>
      </c>
      <c r="J181" s="93">
        <f>J162</f>
        <v>4.2227</v>
      </c>
      <c r="K181" s="66">
        <f>ROUND(J181*$E181/100,0)</f>
        <v>0</v>
      </c>
      <c r="M181" s="66">
        <f>ROUND(J181*$G181/100,0)</f>
        <v>0</v>
      </c>
      <c r="P181" s="93">
        <f>P103</f>
        <v>4.3864</v>
      </c>
      <c r="Q181" s="66">
        <f>ROUND(P181*$G181/100,0)</f>
        <v>0</v>
      </c>
      <c r="AG181" s="60"/>
      <c r="AH181" s="60"/>
      <c r="AV181" s="93">
        <f>AV162</f>
        <v>4.2227</v>
      </c>
      <c r="AW181" s="66">
        <f>ROUND(AV181*$E181/100,0)</f>
        <v>0</v>
      </c>
      <c r="AX181" s="66" t="s">
        <v>114</v>
      </c>
      <c r="AY181" s="58">
        <v>23</v>
      </c>
    </row>
    <row r="182" spans="1:51" ht="15.75">
      <c r="A182" s="57">
        <f t="shared" si="15"/>
        <v>180</v>
      </c>
      <c r="B182" s="64" t="s">
        <v>102</v>
      </c>
      <c r="E182" s="59">
        <v>0</v>
      </c>
      <c r="G182" s="59">
        <v>0</v>
      </c>
      <c r="I182" s="76">
        <f>I163</f>
        <v>47.160000000000004</v>
      </c>
      <c r="K182" s="66">
        <f>ROUND(I182*$E182,0)</f>
        <v>0</v>
      </c>
      <c r="M182" s="66">
        <f>ROUND(I182*$G182,0)</f>
        <v>0</v>
      </c>
      <c r="O182" s="76">
        <f>O108</f>
        <v>48</v>
      </c>
      <c r="Q182" s="66">
        <f>ROUND(O182*$G182,0)</f>
        <v>0</v>
      </c>
      <c r="AG182" s="60"/>
      <c r="AH182" s="60"/>
      <c r="AU182" s="76">
        <f>AU163</f>
        <v>47.160000000000004</v>
      </c>
      <c r="AW182" s="66">
        <f>ROUND(AU182*$E182,0)</f>
        <v>0</v>
      </c>
      <c r="AX182" s="66" t="s">
        <v>114</v>
      </c>
      <c r="AY182" s="58">
        <v>23</v>
      </c>
    </row>
    <row r="183" spans="1:51" ht="15.75">
      <c r="A183" s="57">
        <f t="shared" si="15"/>
        <v>181</v>
      </c>
      <c r="B183" s="64" t="s">
        <v>57</v>
      </c>
      <c r="E183" s="22">
        <v>0</v>
      </c>
      <c r="G183" s="22">
        <v>0</v>
      </c>
      <c r="I183" s="76"/>
      <c r="K183" s="81">
        <f>AW183</f>
        <v>0</v>
      </c>
      <c r="M183" s="81">
        <v>0</v>
      </c>
      <c r="O183" s="76"/>
      <c r="Q183" s="81">
        <v>0</v>
      </c>
      <c r="AG183" s="60"/>
      <c r="AH183" s="60"/>
      <c r="AU183" s="76"/>
      <c r="AW183" s="30">
        <v>0</v>
      </c>
      <c r="AX183" s="66" t="s">
        <v>114</v>
      </c>
      <c r="AY183" s="58">
        <v>23</v>
      </c>
    </row>
    <row r="184" spans="1:51" ht="16.5" thickBot="1">
      <c r="A184" s="57">
        <f t="shared" si="15"/>
        <v>182</v>
      </c>
      <c r="B184" s="64" t="s">
        <v>58</v>
      </c>
      <c r="E184" s="99">
        <f>E178+E179+E183+E180+E181</f>
        <v>0</v>
      </c>
      <c r="G184" s="99">
        <v>0</v>
      </c>
      <c r="I184" s="96"/>
      <c r="J184" s="96"/>
      <c r="K184" s="97">
        <f>SUM(K174:K183)</f>
        <v>0</v>
      </c>
      <c r="M184" s="97">
        <f>SUM(M174:M183)</f>
        <v>0</v>
      </c>
      <c r="O184" s="96"/>
      <c r="P184" s="96"/>
      <c r="Q184" s="97">
        <f>SUM(Q174:Q183)</f>
        <v>0</v>
      </c>
      <c r="AG184" s="60"/>
      <c r="AH184" s="60"/>
      <c r="AU184" s="96"/>
      <c r="AV184" s="96"/>
      <c r="AW184" s="97">
        <f>SUM(AW174:AW183)</f>
        <v>0</v>
      </c>
      <c r="AX184" s="66" t="s">
        <v>114</v>
      </c>
      <c r="AY184" s="58">
        <v>23</v>
      </c>
    </row>
    <row r="185" spans="1:51" ht="16.5" thickTop="1">
      <c r="A185" s="57">
        <f t="shared" si="15"/>
        <v>183</v>
      </c>
      <c r="B185" s="64" t="s">
        <v>60</v>
      </c>
      <c r="E185" s="59"/>
      <c r="G185" s="59"/>
      <c r="I185" s="76"/>
      <c r="J185" s="26">
        <f>J166</f>
        <v>0</v>
      </c>
      <c r="K185" s="81">
        <f>ROUND(SUM(K175:K181)*J185,0)</f>
        <v>0</v>
      </c>
      <c r="M185" s="81">
        <f>ROUND(SUM(M175:M181)*J185,0)</f>
        <v>0</v>
      </c>
      <c r="O185" s="76"/>
      <c r="P185" s="26">
        <f>P112</f>
        <v>0</v>
      </c>
      <c r="Q185" s="81">
        <f>ROUND(SUM(Q175:Q181)*P185,0)</f>
        <v>0</v>
      </c>
      <c r="AG185" s="60"/>
      <c r="AH185" s="60"/>
      <c r="AU185" s="76"/>
      <c r="AV185" s="26">
        <f>AV166</f>
        <v>0.0365</v>
      </c>
      <c r="AW185" s="81">
        <f>ROUND(SUM(AW175:AW181)*AV185,0)</f>
        <v>0</v>
      </c>
      <c r="AX185" s="66" t="s">
        <v>114</v>
      </c>
      <c r="AY185" s="58">
        <v>23</v>
      </c>
    </row>
    <row r="186" spans="1:51" ht="15.75">
      <c r="A186" s="57">
        <f t="shared" si="15"/>
        <v>184</v>
      </c>
      <c r="B186" s="64" t="s">
        <v>62</v>
      </c>
      <c r="E186" s="59"/>
      <c r="G186" s="59"/>
      <c r="I186" s="76"/>
      <c r="J186" s="26">
        <f>J167</f>
        <v>0.0311</v>
      </c>
      <c r="K186" s="81">
        <f>ROUND(SUM(K175:K181,K185)*J186,0)</f>
        <v>0</v>
      </c>
      <c r="M186" s="81">
        <f>ROUND(SUM(M175:M181,M185)*J186,0)</f>
        <v>0</v>
      </c>
      <c r="O186" s="76"/>
      <c r="P186" s="26">
        <f>P113</f>
        <v>0.0311</v>
      </c>
      <c r="Q186" s="81">
        <f>ROUND(SUM(Q175:Q181,Q185)*P186,0)</f>
        <v>0</v>
      </c>
      <c r="S186" s="60"/>
      <c r="T186" s="60"/>
      <c r="U186" s="60"/>
      <c r="V186" s="60"/>
      <c r="AG186" s="60"/>
      <c r="AH186" s="60"/>
      <c r="AU186" s="76"/>
      <c r="AV186" s="26">
        <f>AV167</f>
        <v>0</v>
      </c>
      <c r="AW186" s="81">
        <f>ROUND(SUM(AW175:AW181,AW185)*AV186,0)</f>
        <v>0</v>
      </c>
      <c r="AX186" s="66" t="s">
        <v>114</v>
      </c>
      <c r="AY186" s="58">
        <v>23</v>
      </c>
    </row>
    <row r="187" spans="1:51" ht="15.75">
      <c r="A187" s="57">
        <f t="shared" si="15"/>
        <v>185</v>
      </c>
      <c r="AG187" s="60"/>
      <c r="AH187" s="60"/>
      <c r="AX187" s="66" t="s">
        <v>114</v>
      </c>
      <c r="AY187" s="58">
        <v>23</v>
      </c>
    </row>
    <row r="188" spans="1:51" ht="15.75">
      <c r="A188" s="57">
        <f t="shared" si="15"/>
        <v>186</v>
      </c>
      <c r="B188" s="64" t="s">
        <v>104</v>
      </c>
      <c r="E188" s="59"/>
      <c r="G188" s="59"/>
      <c r="AG188" s="60"/>
      <c r="AH188" s="60"/>
      <c r="AX188" s="66" t="s">
        <v>99</v>
      </c>
      <c r="AY188" s="107" t="s">
        <v>116</v>
      </c>
    </row>
    <row r="189" spans="1:51" ht="15.75">
      <c r="A189" s="57">
        <f t="shared" si="15"/>
        <v>187</v>
      </c>
      <c r="B189" s="64" t="s">
        <v>88</v>
      </c>
      <c r="E189" s="59"/>
      <c r="G189" s="59"/>
      <c r="AG189" s="60"/>
      <c r="AH189" s="60"/>
      <c r="AX189" s="66" t="s">
        <v>99</v>
      </c>
      <c r="AY189" s="107" t="s">
        <v>116</v>
      </c>
    </row>
    <row r="190" spans="1:51" ht="15.75">
      <c r="A190" s="57">
        <f t="shared" si="15"/>
        <v>188</v>
      </c>
      <c r="B190" s="103" t="s">
        <v>105</v>
      </c>
      <c r="E190" s="59"/>
      <c r="G190" s="59"/>
      <c r="AG190" s="60"/>
      <c r="AH190" s="60"/>
      <c r="AX190" s="66" t="s">
        <v>99</v>
      </c>
      <c r="AY190" s="107" t="s">
        <v>116</v>
      </c>
    </row>
    <row r="191" spans="1:51" ht="15.75">
      <c r="A191" s="57">
        <f t="shared" si="15"/>
        <v>189</v>
      </c>
      <c r="B191" s="98" t="s">
        <v>117</v>
      </c>
      <c r="E191" s="59"/>
      <c r="G191" s="59"/>
      <c r="AG191" s="60"/>
      <c r="AH191" s="60"/>
      <c r="AX191" s="66" t="s">
        <v>99</v>
      </c>
      <c r="AY191" s="107" t="s">
        <v>116</v>
      </c>
    </row>
    <row r="192" spans="1:51" ht="15.75">
      <c r="A192" s="57">
        <f t="shared" si="15"/>
        <v>190</v>
      </c>
      <c r="B192" s="64" t="s">
        <v>44</v>
      </c>
      <c r="E192" s="59">
        <v>5005</v>
      </c>
      <c r="G192" s="23">
        <v>5369.538834055123</v>
      </c>
      <c r="I192" s="76">
        <f>I137</f>
        <v>3.93</v>
      </c>
      <c r="K192" s="66">
        <f>ROUND(I192*$E192,0)</f>
        <v>19670</v>
      </c>
      <c r="M192" s="66">
        <f>ROUND(I192*$G192,0)</f>
        <v>21102</v>
      </c>
      <c r="O192" s="76">
        <f>O95</f>
        <v>4</v>
      </c>
      <c r="Q192" s="66">
        <f>ROUND(O192*$G192,0)</f>
        <v>21478</v>
      </c>
      <c r="AG192" s="60"/>
      <c r="AH192" s="60"/>
      <c r="AU192" s="76">
        <f>AU137</f>
        <v>3.93</v>
      </c>
      <c r="AW192" s="66">
        <f>ROUND(AU192*$E192,0)</f>
        <v>19670</v>
      </c>
      <c r="AX192" s="66" t="s">
        <v>99</v>
      </c>
      <c r="AY192" s="107" t="s">
        <v>116</v>
      </c>
    </row>
    <row r="193" spans="1:51" ht="15.75">
      <c r="A193" s="57">
        <f t="shared" si="15"/>
        <v>191</v>
      </c>
      <c r="B193" s="64" t="s">
        <v>91</v>
      </c>
      <c r="E193" s="59">
        <v>0</v>
      </c>
      <c r="G193" s="23">
        <f aca="true" t="shared" si="16" ref="G193:G199">E193*$G$201/$E$201</f>
        <v>0</v>
      </c>
      <c r="I193" s="76">
        <f>I97</f>
        <v>6.03</v>
      </c>
      <c r="K193" s="66">
        <f>ROUND(I193*$E193,0)</f>
        <v>0</v>
      </c>
      <c r="M193" s="66">
        <f>ROUND(I193*$G193,0)</f>
        <v>0</v>
      </c>
      <c r="O193" s="76">
        <f>O97</f>
        <v>6.27</v>
      </c>
      <c r="Q193" s="66">
        <f>ROUND(O193*$G193,0)</f>
        <v>0</v>
      </c>
      <c r="AG193" s="60"/>
      <c r="AH193" s="60"/>
      <c r="AU193" s="76">
        <f>AU97</f>
        <v>5.58</v>
      </c>
      <c r="AW193" s="66">
        <f>ROUND(AU193*$E193,0)</f>
        <v>0</v>
      </c>
      <c r="AX193" s="66" t="s">
        <v>99</v>
      </c>
      <c r="AY193" s="107" t="s">
        <v>116</v>
      </c>
    </row>
    <row r="194" spans="1:51" ht="15.75">
      <c r="A194" s="57">
        <f t="shared" si="15"/>
        <v>192</v>
      </c>
      <c r="B194" s="64" t="s">
        <v>92</v>
      </c>
      <c r="E194" s="59">
        <v>0</v>
      </c>
      <c r="G194" s="23">
        <f t="shared" si="16"/>
        <v>0</v>
      </c>
      <c r="I194" s="76">
        <f>I98</f>
        <v>6.08</v>
      </c>
      <c r="K194" s="66">
        <f>ROUND(I194*$E194,0)</f>
        <v>0</v>
      </c>
      <c r="M194" s="66">
        <f>ROUND(I194*$G194,0)</f>
        <v>0</v>
      </c>
      <c r="O194" s="76">
        <f>O98</f>
        <v>6.32</v>
      </c>
      <c r="Q194" s="66">
        <f>ROUND(O194*$G194,0)</f>
        <v>0</v>
      </c>
      <c r="AG194" s="60"/>
      <c r="AH194" s="60"/>
      <c r="AU194" s="76">
        <f>AU98</f>
        <v>5.58</v>
      </c>
      <c r="AW194" s="66">
        <f>ROUND(AU194*$E194,0)</f>
        <v>0</v>
      </c>
      <c r="AX194" s="66" t="s">
        <v>99</v>
      </c>
      <c r="AY194" s="107" t="s">
        <v>116</v>
      </c>
    </row>
    <row r="195" spans="1:51" ht="15.75">
      <c r="A195" s="57">
        <f t="shared" si="15"/>
        <v>193</v>
      </c>
      <c r="B195" s="64" t="s">
        <v>93</v>
      </c>
      <c r="E195" s="59">
        <v>0</v>
      </c>
      <c r="G195" s="23">
        <f t="shared" si="16"/>
        <v>0</v>
      </c>
      <c r="I195" s="76">
        <f>I99</f>
        <v>-0.34</v>
      </c>
      <c r="K195" s="66">
        <f>ROUND(I195*$E195,0)</f>
        <v>0</v>
      </c>
      <c r="M195" s="66">
        <f>ROUND(I195*$G195,0)</f>
        <v>0</v>
      </c>
      <c r="O195" s="76">
        <f>O99</f>
        <v>-0.35</v>
      </c>
      <c r="Q195" s="66">
        <f>ROUND(O195*$G195,0)</f>
        <v>0</v>
      </c>
      <c r="AG195" s="60"/>
      <c r="AH195" s="60"/>
      <c r="AU195" s="76">
        <f>AU99</f>
        <v>-0.34</v>
      </c>
      <c r="AW195" s="66">
        <f>ROUND(AU195*$E195,0)</f>
        <v>0</v>
      </c>
      <c r="AX195" s="66" t="s">
        <v>99</v>
      </c>
      <c r="AY195" s="107" t="s">
        <v>116</v>
      </c>
    </row>
    <row r="196" spans="1:51" ht="15.75">
      <c r="A196" s="57">
        <f t="shared" si="15"/>
        <v>194</v>
      </c>
      <c r="B196" s="64" t="s">
        <v>94</v>
      </c>
      <c r="E196" s="59">
        <v>775972</v>
      </c>
      <c r="G196" s="23">
        <f t="shared" si="16"/>
        <v>861868.6194539388</v>
      </c>
      <c r="I196" s="76"/>
      <c r="J196" s="93">
        <f>J141</f>
        <v>8.1827</v>
      </c>
      <c r="K196" s="66">
        <f>ROUND(J196*$E196/100,0)</f>
        <v>63495</v>
      </c>
      <c r="M196" s="66">
        <f>ROUND(J196*$G196/100,0)</f>
        <v>70524</v>
      </c>
      <c r="O196" s="76"/>
      <c r="P196" s="93">
        <f>P100</f>
        <v>8.4999</v>
      </c>
      <c r="Q196" s="66">
        <f>ROUND(P196*$G196/100,0)</f>
        <v>73258</v>
      </c>
      <c r="AG196" s="60"/>
      <c r="AH196" s="60"/>
      <c r="AU196" s="76"/>
      <c r="AV196" s="93">
        <f>AV141</f>
        <v>7.5316</v>
      </c>
      <c r="AW196" s="66">
        <f>ROUND(AV196*$E196/100,0)</f>
        <v>58443</v>
      </c>
      <c r="AX196" s="66" t="s">
        <v>99</v>
      </c>
      <c r="AY196" s="107" t="s">
        <v>116</v>
      </c>
    </row>
    <row r="197" spans="1:51" ht="15.75">
      <c r="A197" s="57">
        <f t="shared" si="15"/>
        <v>195</v>
      </c>
      <c r="B197" s="64" t="s">
        <v>95</v>
      </c>
      <c r="E197" s="59">
        <v>0</v>
      </c>
      <c r="G197" s="23">
        <f t="shared" si="16"/>
        <v>0</v>
      </c>
      <c r="I197" s="76"/>
      <c r="J197" s="93">
        <f>J142</f>
        <v>4.5876</v>
      </c>
      <c r="K197" s="66">
        <f>ROUND(J197*$E197/100,0)</f>
        <v>0</v>
      </c>
      <c r="M197" s="66">
        <f>ROUND(J197*$G197/100,0)</f>
        <v>0</v>
      </c>
      <c r="O197" s="76"/>
      <c r="P197" s="93">
        <f>P101</f>
        <v>4.765400000000001</v>
      </c>
      <c r="Q197" s="66">
        <f>ROUND(P197*$G197/100,0)</f>
        <v>0</v>
      </c>
      <c r="AG197" s="60"/>
      <c r="AH197" s="60"/>
      <c r="AU197" s="76"/>
      <c r="AV197" s="93">
        <f>AV142</f>
        <v>4.2227</v>
      </c>
      <c r="AW197" s="66">
        <f>ROUND(AV197*$E197/100,0)</f>
        <v>0</v>
      </c>
      <c r="AX197" s="66" t="s">
        <v>99</v>
      </c>
      <c r="AY197" s="107" t="s">
        <v>116</v>
      </c>
    </row>
    <row r="198" spans="1:51" ht="15.75">
      <c r="A198" s="57">
        <f t="shared" si="15"/>
        <v>196</v>
      </c>
      <c r="B198" s="64" t="s">
        <v>96</v>
      </c>
      <c r="E198" s="59">
        <v>1086851</v>
      </c>
      <c r="G198" s="23">
        <f t="shared" si="16"/>
        <v>1207160.530176518</v>
      </c>
      <c r="I198" s="76"/>
      <c r="J198" s="93">
        <f>J143</f>
        <v>7.5316</v>
      </c>
      <c r="K198" s="66">
        <f>ROUND(J198*$E198/100,0)</f>
        <v>81857</v>
      </c>
      <c r="M198" s="66">
        <f>ROUND(J198*$G198/100,0)</f>
        <v>90919</v>
      </c>
      <c r="O198" s="76"/>
      <c r="P198" s="93">
        <f>P102</f>
        <v>7.8236</v>
      </c>
      <c r="Q198" s="66">
        <f>ROUND(P198*$G198/100,0)</f>
        <v>94443</v>
      </c>
      <c r="AG198" s="60"/>
      <c r="AH198" s="60"/>
      <c r="AU198" s="76"/>
      <c r="AV198" s="93">
        <f>AV143</f>
        <v>7.5316</v>
      </c>
      <c r="AW198" s="66">
        <f>ROUND(AV198*$E198/100,0)</f>
        <v>81857</v>
      </c>
      <c r="AX198" s="66" t="s">
        <v>99</v>
      </c>
      <c r="AY198" s="107" t="s">
        <v>116</v>
      </c>
    </row>
    <row r="199" spans="1:51" ht="15.75">
      <c r="A199" s="57">
        <f t="shared" si="15"/>
        <v>197</v>
      </c>
      <c r="B199" s="64" t="s">
        <v>97</v>
      </c>
      <c r="E199" s="59">
        <v>0</v>
      </c>
      <c r="G199" s="23">
        <f t="shared" si="16"/>
        <v>0</v>
      </c>
      <c r="I199" s="76"/>
      <c r="J199" s="93">
        <f>J144</f>
        <v>4.2227</v>
      </c>
      <c r="K199" s="66">
        <f>ROUND(J199*$E199/100,0)</f>
        <v>0</v>
      </c>
      <c r="M199" s="66">
        <f>ROUND(J199*$G199/100,0)</f>
        <v>0</v>
      </c>
      <c r="O199" s="76"/>
      <c r="P199" s="93">
        <f>P103</f>
        <v>4.3864</v>
      </c>
      <c r="Q199" s="66">
        <f>ROUND(P199*$G199/100,0)</f>
        <v>0</v>
      </c>
      <c r="AG199" s="60"/>
      <c r="AH199" s="60"/>
      <c r="AU199" s="76"/>
      <c r="AV199" s="93">
        <f>AV144</f>
        <v>4.2227</v>
      </c>
      <c r="AW199" s="66">
        <f>ROUND(AV199*$E199/100,0)</f>
        <v>0</v>
      </c>
      <c r="AX199" s="66" t="s">
        <v>99</v>
      </c>
      <c r="AY199" s="107" t="s">
        <v>116</v>
      </c>
    </row>
    <row r="200" spans="1:51" ht="15.75">
      <c r="A200" s="57">
        <f t="shared" si="15"/>
        <v>198</v>
      </c>
      <c r="B200" s="64" t="s">
        <v>102</v>
      </c>
      <c r="E200" s="78">
        <v>0</v>
      </c>
      <c r="G200" s="22">
        <f>E200*G192/E192</f>
        <v>0</v>
      </c>
      <c r="I200" s="76">
        <f>I182</f>
        <v>47.160000000000004</v>
      </c>
      <c r="K200" s="81">
        <f>ROUND(I200*$E200,0)</f>
        <v>0</v>
      </c>
      <c r="M200" s="81">
        <f>ROUND(I200*$G200,0)</f>
        <v>0</v>
      </c>
      <c r="O200" s="76">
        <f>O108</f>
        <v>48</v>
      </c>
      <c r="Q200" s="81">
        <f>ROUND(O200*$G200,0)</f>
        <v>0</v>
      </c>
      <c r="AG200" s="60"/>
      <c r="AH200" s="60"/>
      <c r="AU200" s="76">
        <f>AU182</f>
        <v>47.160000000000004</v>
      </c>
      <c r="AW200" s="81">
        <f>ROUND(AU200*$E200,0)</f>
        <v>0</v>
      </c>
      <c r="AX200" s="66" t="s">
        <v>99</v>
      </c>
      <c r="AY200" s="107" t="s">
        <v>116</v>
      </c>
    </row>
    <row r="201" spans="1:51" ht="16.5" thickBot="1">
      <c r="A201" s="57">
        <f t="shared" si="15"/>
        <v>199</v>
      </c>
      <c r="B201" s="64" t="s">
        <v>58</v>
      </c>
      <c r="E201" s="99">
        <f>E195+E196+E200+E197+E198</f>
        <v>1862823</v>
      </c>
      <c r="G201" s="99">
        <v>2069029.1496304567</v>
      </c>
      <c r="I201" s="96"/>
      <c r="J201" s="96"/>
      <c r="K201" s="97">
        <f>SUM(K192:K200)</f>
        <v>165022</v>
      </c>
      <c r="M201" s="81">
        <f>SUM(M192:M200)</f>
        <v>182545</v>
      </c>
      <c r="O201" s="96"/>
      <c r="P201" s="96"/>
      <c r="Q201" s="97">
        <f>SUM(Q192:Q200)</f>
        <v>189179</v>
      </c>
      <c r="AG201" s="60"/>
      <c r="AH201" s="60"/>
      <c r="AU201" s="96"/>
      <c r="AV201" s="96"/>
      <c r="AW201" s="97">
        <f>SUM(AW192:AW200)</f>
        <v>159970</v>
      </c>
      <c r="AX201" s="66" t="s">
        <v>99</v>
      </c>
      <c r="AY201" s="107" t="s">
        <v>116</v>
      </c>
    </row>
    <row r="202" spans="1:51" ht="16.5" thickTop="1">
      <c r="A202" s="57">
        <f t="shared" si="15"/>
        <v>200</v>
      </c>
      <c r="B202" s="64" t="s">
        <v>60</v>
      </c>
      <c r="E202" s="59"/>
      <c r="G202" s="59"/>
      <c r="I202" s="76"/>
      <c r="J202" s="26">
        <f>J185</f>
        <v>0</v>
      </c>
      <c r="K202" s="81">
        <f>ROUND(SUM(K193:K199)*J202,0)</f>
        <v>0</v>
      </c>
      <c r="M202" s="81">
        <f>ROUND(SUM(M193:M199)*J202,0)</f>
        <v>0</v>
      </c>
      <c r="O202" s="76"/>
      <c r="P202" s="26">
        <f>P112</f>
        <v>0</v>
      </c>
      <c r="Q202" s="81">
        <f>ROUND(SUM(Q193:Q199)*P202,0)</f>
        <v>0</v>
      </c>
      <c r="AG202" s="60"/>
      <c r="AH202" s="60"/>
      <c r="AU202" s="76"/>
      <c r="AV202" s="26">
        <f>AV185</f>
        <v>0.0365</v>
      </c>
      <c r="AW202" s="81">
        <f>ROUND(SUM(AW193:AW199)*AV202,0)</f>
        <v>5121</v>
      </c>
      <c r="AX202" s="66" t="s">
        <v>99</v>
      </c>
      <c r="AY202" s="107" t="s">
        <v>116</v>
      </c>
    </row>
    <row r="203" spans="1:51" ht="15.75">
      <c r="A203" s="57">
        <f t="shared" si="15"/>
        <v>201</v>
      </c>
      <c r="B203" s="64" t="s">
        <v>62</v>
      </c>
      <c r="E203" s="59"/>
      <c r="G203" s="59"/>
      <c r="I203" s="76"/>
      <c r="J203" s="26">
        <f>J186</f>
        <v>0.0311</v>
      </c>
      <c r="K203" s="81">
        <f>ROUND(SUM(K193:K199,K202)*J203,0)</f>
        <v>4520</v>
      </c>
      <c r="M203" s="81">
        <f>ROUND(SUM(M193:M199,M202)*J203,0)</f>
        <v>5021</v>
      </c>
      <c r="O203" s="76"/>
      <c r="P203" s="26">
        <f>P113</f>
        <v>0.0311</v>
      </c>
      <c r="Q203" s="81">
        <f>ROUND(SUM(Q193:Q199,Q202)*P203,0)</f>
        <v>5216</v>
      </c>
      <c r="S203" s="60"/>
      <c r="T203" s="60"/>
      <c r="U203" s="60"/>
      <c r="V203" s="60"/>
      <c r="AG203" s="60"/>
      <c r="AH203" s="60"/>
      <c r="AU203" s="76"/>
      <c r="AV203" s="26">
        <f>AV186</f>
        <v>0</v>
      </c>
      <c r="AW203" s="81">
        <f>ROUND(SUM(AW193:AW199,AW202)*AV203,0)</f>
        <v>0</v>
      </c>
      <c r="AX203" s="66" t="s">
        <v>99</v>
      </c>
      <c r="AY203" s="107" t="s">
        <v>116</v>
      </c>
    </row>
    <row r="204" spans="1:51" ht="15.75">
      <c r="A204" s="57">
        <f t="shared" si="15"/>
        <v>202</v>
      </c>
      <c r="E204" s="59"/>
      <c r="G204" s="59"/>
      <c r="AG204" s="60"/>
      <c r="AH204" s="60"/>
      <c r="AX204" s="66" t="s">
        <v>99</v>
      </c>
      <c r="AY204" s="107" t="s">
        <v>116</v>
      </c>
    </row>
    <row r="205" spans="1:51" ht="15.75">
      <c r="A205" s="57">
        <f t="shared" si="15"/>
        <v>203</v>
      </c>
      <c r="B205" s="64" t="s">
        <v>104</v>
      </c>
      <c r="E205" s="59"/>
      <c r="G205" s="59"/>
      <c r="AG205" s="60"/>
      <c r="AH205" s="60"/>
      <c r="AX205" s="66" t="s">
        <v>108</v>
      </c>
      <c r="AY205" s="107" t="s">
        <v>116</v>
      </c>
    </row>
    <row r="206" spans="1:51" ht="15.75">
      <c r="A206" s="57">
        <f t="shared" si="15"/>
        <v>204</v>
      </c>
      <c r="B206" s="64" t="s">
        <v>88</v>
      </c>
      <c r="E206" s="59"/>
      <c r="G206" s="59"/>
      <c r="AG206" s="60"/>
      <c r="AH206" s="60"/>
      <c r="AX206" s="66" t="s">
        <v>108</v>
      </c>
      <c r="AY206" s="107" t="s">
        <v>116</v>
      </c>
    </row>
    <row r="207" spans="1:51" ht="15.75">
      <c r="A207" s="57">
        <f t="shared" si="15"/>
        <v>205</v>
      </c>
      <c r="B207" s="103" t="s">
        <v>109</v>
      </c>
      <c r="E207" s="59"/>
      <c r="G207" s="59"/>
      <c r="AG207" s="60"/>
      <c r="AH207" s="60"/>
      <c r="AX207" s="66" t="s">
        <v>108</v>
      </c>
      <c r="AY207" s="107" t="s">
        <v>116</v>
      </c>
    </row>
    <row r="208" spans="1:51" ht="15.75">
      <c r="A208" s="57">
        <f t="shared" si="15"/>
        <v>206</v>
      </c>
      <c r="B208" s="98" t="s">
        <v>117</v>
      </c>
      <c r="E208" s="59"/>
      <c r="G208" s="59"/>
      <c r="AG208" s="60"/>
      <c r="AH208" s="60"/>
      <c r="AX208" s="66" t="s">
        <v>108</v>
      </c>
      <c r="AY208" s="107" t="s">
        <v>116</v>
      </c>
    </row>
    <row r="209" spans="1:51" ht="15.75">
      <c r="A209" s="57">
        <f t="shared" si="15"/>
        <v>207</v>
      </c>
      <c r="B209" s="64" t="s">
        <v>44</v>
      </c>
      <c r="E209" s="59">
        <v>229</v>
      </c>
      <c r="G209" s="23">
        <v>245.6791994003243</v>
      </c>
      <c r="I209" s="76">
        <f>I192</f>
        <v>3.93</v>
      </c>
      <c r="K209" s="66">
        <f>ROUND(I209*$E209,0)</f>
        <v>900</v>
      </c>
      <c r="M209" s="66">
        <f>ROUND(I209*$G209,0)</f>
        <v>966</v>
      </c>
      <c r="O209" s="76">
        <f>O95</f>
        <v>4</v>
      </c>
      <c r="Q209" s="66">
        <f>ROUND(O209*$G209,0)</f>
        <v>983</v>
      </c>
      <c r="AG209" s="60"/>
      <c r="AH209" s="60"/>
      <c r="AU209" s="76">
        <f>AU192</f>
        <v>3.93</v>
      </c>
      <c r="AW209" s="66">
        <f>ROUND(AU209*$E209,0)</f>
        <v>900</v>
      </c>
      <c r="AX209" s="66" t="s">
        <v>108</v>
      </c>
      <c r="AY209" s="107" t="s">
        <v>116</v>
      </c>
    </row>
    <row r="210" spans="1:51" ht="15.75">
      <c r="A210" s="57">
        <f t="shared" si="15"/>
        <v>208</v>
      </c>
      <c r="B210" s="64" t="s">
        <v>91</v>
      </c>
      <c r="E210" s="59">
        <v>0</v>
      </c>
      <c r="G210" s="23">
        <f aca="true" t="shared" si="17" ref="G210:G216">E210*$G$218/$E$218</f>
        <v>0</v>
      </c>
      <c r="I210" s="76">
        <f>I97</f>
        <v>6.03</v>
      </c>
      <c r="K210" s="66">
        <f>ROUND(I210*$E210,0)</f>
        <v>0</v>
      </c>
      <c r="M210" s="66">
        <f>ROUND(I210*$G210,0)</f>
        <v>0</v>
      </c>
      <c r="O210" s="76">
        <f>O97</f>
        <v>6.27</v>
      </c>
      <c r="Q210" s="66">
        <f>ROUND(O210*$G210,0)</f>
        <v>0</v>
      </c>
      <c r="AG210" s="60"/>
      <c r="AH210" s="60"/>
      <c r="AU210" s="76">
        <f>AU97</f>
        <v>5.58</v>
      </c>
      <c r="AW210" s="66">
        <f>ROUND(AU210*$E210,0)</f>
        <v>0</v>
      </c>
      <c r="AX210" s="66" t="s">
        <v>108</v>
      </c>
      <c r="AY210" s="107" t="s">
        <v>116</v>
      </c>
    </row>
    <row r="211" spans="1:51" ht="15.75">
      <c r="A211" s="57">
        <f t="shared" si="15"/>
        <v>209</v>
      </c>
      <c r="B211" s="64" t="s">
        <v>92</v>
      </c>
      <c r="E211" s="59">
        <v>0</v>
      </c>
      <c r="G211" s="23">
        <f t="shared" si="17"/>
        <v>0</v>
      </c>
      <c r="I211" s="76">
        <f>I98</f>
        <v>6.08</v>
      </c>
      <c r="K211" s="66">
        <f>ROUND(I211*$E211,0)</f>
        <v>0</v>
      </c>
      <c r="M211" s="66">
        <f>ROUND(I211*$G211,0)</f>
        <v>0</v>
      </c>
      <c r="O211" s="76">
        <f>O98</f>
        <v>6.32</v>
      </c>
      <c r="Q211" s="66">
        <f>ROUND(O211*$G211,0)</f>
        <v>0</v>
      </c>
      <c r="AG211" s="60"/>
      <c r="AH211" s="60"/>
      <c r="AU211" s="76">
        <f>AU98</f>
        <v>5.58</v>
      </c>
      <c r="AW211" s="66">
        <f>ROUND(AU211*$E211,0)</f>
        <v>0</v>
      </c>
      <c r="AX211" s="66" t="s">
        <v>108</v>
      </c>
      <c r="AY211" s="107" t="s">
        <v>116</v>
      </c>
    </row>
    <row r="212" spans="1:51" ht="15.75">
      <c r="A212" s="57">
        <f t="shared" si="15"/>
        <v>210</v>
      </c>
      <c r="B212" s="64" t="s">
        <v>93</v>
      </c>
      <c r="E212" s="59">
        <v>0</v>
      </c>
      <c r="G212" s="23">
        <f t="shared" si="17"/>
        <v>0</v>
      </c>
      <c r="I212" s="76">
        <f>I99</f>
        <v>-0.34</v>
      </c>
      <c r="K212" s="66">
        <f>ROUND(I212*$E212,0)</f>
        <v>0</v>
      </c>
      <c r="M212" s="66">
        <f>ROUND(I212*$G212,0)</f>
        <v>0</v>
      </c>
      <c r="O212" s="76">
        <f>O99</f>
        <v>-0.35</v>
      </c>
      <c r="Q212" s="66">
        <f>ROUND(O212*$G212,0)</f>
        <v>0</v>
      </c>
      <c r="AG212" s="60"/>
      <c r="AH212" s="60"/>
      <c r="AU212" s="76">
        <f>AU99</f>
        <v>-0.34</v>
      </c>
      <c r="AW212" s="66">
        <f>ROUND(AU212*$E212,0)</f>
        <v>0</v>
      </c>
      <c r="AX212" s="66" t="s">
        <v>108</v>
      </c>
      <c r="AY212" s="107" t="s">
        <v>116</v>
      </c>
    </row>
    <row r="213" spans="1:51" ht="15.75">
      <c r="A213" s="57">
        <f t="shared" si="15"/>
        <v>211</v>
      </c>
      <c r="B213" s="64" t="s">
        <v>94</v>
      </c>
      <c r="E213" s="59">
        <v>1692</v>
      </c>
      <c r="G213" s="23">
        <f t="shared" si="17"/>
        <v>1879.296809828273</v>
      </c>
      <c r="I213" s="76"/>
      <c r="J213" s="93">
        <f>J196</f>
        <v>8.1827</v>
      </c>
      <c r="K213" s="66">
        <f>ROUND(J213*$E213/100,0)</f>
        <v>138</v>
      </c>
      <c r="M213" s="66">
        <f>ROUND(J213*$G213/100,0)</f>
        <v>154</v>
      </c>
      <c r="O213" s="76"/>
      <c r="P213" s="93">
        <f>P100</f>
        <v>8.4999</v>
      </c>
      <c r="Q213" s="66">
        <f>ROUND(P213*$G213/100,0)</f>
        <v>160</v>
      </c>
      <c r="AG213" s="60"/>
      <c r="AH213" s="60"/>
      <c r="AU213" s="76"/>
      <c r="AV213" s="93">
        <f>AV196</f>
        <v>7.5316</v>
      </c>
      <c r="AW213" s="66">
        <f>ROUND(AV213*$E213/100,0)</f>
        <v>127</v>
      </c>
      <c r="AX213" s="66" t="s">
        <v>108</v>
      </c>
      <c r="AY213" s="107" t="s">
        <v>116</v>
      </c>
    </row>
    <row r="214" spans="1:51" ht="15.75">
      <c r="A214" s="57">
        <f t="shared" si="15"/>
        <v>212</v>
      </c>
      <c r="B214" s="64" t="s">
        <v>95</v>
      </c>
      <c r="E214" s="59">
        <v>0</v>
      </c>
      <c r="G214" s="23">
        <f t="shared" si="17"/>
        <v>0</v>
      </c>
      <c r="I214" s="76"/>
      <c r="J214" s="93">
        <f>J197</f>
        <v>4.5876</v>
      </c>
      <c r="K214" s="66">
        <f>ROUND(J214*$E214/100,0)</f>
        <v>0</v>
      </c>
      <c r="M214" s="66">
        <f>ROUND(J214*$G214/100,0)</f>
        <v>0</v>
      </c>
      <c r="O214" s="76"/>
      <c r="P214" s="93">
        <f>P101</f>
        <v>4.765400000000001</v>
      </c>
      <c r="Q214" s="66">
        <f>ROUND(P214*$G214/100,0)</f>
        <v>0</v>
      </c>
      <c r="AG214" s="60"/>
      <c r="AH214" s="60"/>
      <c r="AU214" s="76"/>
      <c r="AV214" s="93">
        <f>AV197</f>
        <v>4.2227</v>
      </c>
      <c r="AW214" s="66">
        <f>ROUND(AV214*$E214/100,0)</f>
        <v>0</v>
      </c>
      <c r="AX214" s="66" t="s">
        <v>108</v>
      </c>
      <c r="AY214" s="107" t="s">
        <v>116</v>
      </c>
    </row>
    <row r="215" spans="1:51" ht="15.75">
      <c r="A215" s="57">
        <f t="shared" si="15"/>
        <v>213</v>
      </c>
      <c r="B215" s="64" t="s">
        <v>96</v>
      </c>
      <c r="E215" s="59">
        <v>2366</v>
      </c>
      <c r="G215" s="23">
        <f t="shared" si="17"/>
        <v>2627.90558632015</v>
      </c>
      <c r="I215" s="76"/>
      <c r="J215" s="93">
        <f>J198</f>
        <v>7.5316</v>
      </c>
      <c r="K215" s="66">
        <f>ROUND(J215*$E215/100,0)</f>
        <v>178</v>
      </c>
      <c r="M215" s="66">
        <f>ROUND(J215*$G215/100,0)</f>
        <v>198</v>
      </c>
      <c r="O215" s="76"/>
      <c r="P215" s="93">
        <f>P102</f>
        <v>7.8236</v>
      </c>
      <c r="Q215" s="66">
        <f>ROUND(P215*$G215/100,0)</f>
        <v>206</v>
      </c>
      <c r="AG215" s="60"/>
      <c r="AH215" s="60"/>
      <c r="AU215" s="76"/>
      <c r="AV215" s="93">
        <f>AV198</f>
        <v>7.5316</v>
      </c>
      <c r="AW215" s="66">
        <f>ROUND(AV215*$E215/100,0)</f>
        <v>178</v>
      </c>
      <c r="AX215" s="66" t="s">
        <v>108</v>
      </c>
      <c r="AY215" s="107" t="s">
        <v>116</v>
      </c>
    </row>
    <row r="216" spans="1:51" ht="15.75">
      <c r="A216" s="57">
        <f t="shared" si="15"/>
        <v>214</v>
      </c>
      <c r="B216" s="64" t="s">
        <v>97</v>
      </c>
      <c r="E216" s="59">
        <v>0</v>
      </c>
      <c r="G216" s="23">
        <f t="shared" si="17"/>
        <v>0</v>
      </c>
      <c r="I216" s="76"/>
      <c r="J216" s="93">
        <f>J199</f>
        <v>4.2227</v>
      </c>
      <c r="K216" s="66">
        <f>ROUND(J216*$E216/100,0)</f>
        <v>0</v>
      </c>
      <c r="M216" s="66">
        <f>ROUND(J216*$G216/100,0)</f>
        <v>0</v>
      </c>
      <c r="O216" s="76"/>
      <c r="P216" s="93">
        <f>P103</f>
        <v>4.3864</v>
      </c>
      <c r="Q216" s="66">
        <f>ROUND(P216*$G216/100,0)</f>
        <v>0</v>
      </c>
      <c r="AG216" s="60"/>
      <c r="AH216" s="60"/>
      <c r="AU216" s="76"/>
      <c r="AV216" s="93">
        <f>AV199</f>
        <v>4.2227</v>
      </c>
      <c r="AW216" s="66">
        <f>ROUND(AV216*$E216/100,0)</f>
        <v>0</v>
      </c>
      <c r="AX216" s="66" t="s">
        <v>108</v>
      </c>
      <c r="AY216" s="107" t="s">
        <v>116</v>
      </c>
    </row>
    <row r="217" spans="1:51" ht="15.75">
      <c r="A217" s="57">
        <f t="shared" si="15"/>
        <v>215</v>
      </c>
      <c r="B217" s="64" t="s">
        <v>102</v>
      </c>
      <c r="E217" s="78">
        <v>0</v>
      </c>
      <c r="G217" s="22">
        <f>E217*G209/E209</f>
        <v>0</v>
      </c>
      <c r="I217" s="76">
        <f>I200</f>
        <v>47.160000000000004</v>
      </c>
      <c r="K217" s="81">
        <f>ROUND(I217*$E217,0)</f>
        <v>0</v>
      </c>
      <c r="M217" s="81">
        <f>ROUND(I217*$G217,0)</f>
        <v>0</v>
      </c>
      <c r="O217" s="76">
        <f>O108</f>
        <v>48</v>
      </c>
      <c r="Q217" s="81">
        <f>ROUND(O217*$G217,0)</f>
        <v>0</v>
      </c>
      <c r="AG217" s="60"/>
      <c r="AH217" s="60"/>
      <c r="AU217" s="76">
        <f>AU200</f>
        <v>47.160000000000004</v>
      </c>
      <c r="AW217" s="81">
        <f>ROUND(AU217*$E217,0)</f>
        <v>0</v>
      </c>
      <c r="AX217" s="66" t="s">
        <v>108</v>
      </c>
      <c r="AY217" s="107" t="s">
        <v>116</v>
      </c>
    </row>
    <row r="218" spans="1:51" ht="16.5" thickBot="1">
      <c r="A218" s="57">
        <f t="shared" si="15"/>
        <v>216</v>
      </c>
      <c r="B218" s="64" t="s">
        <v>58</v>
      </c>
      <c r="E218" s="99">
        <f>E212+E213+E217+E214+E215</f>
        <v>4058</v>
      </c>
      <c r="G218" s="99">
        <v>4507.202396148423</v>
      </c>
      <c r="I218" s="96"/>
      <c r="J218" s="96"/>
      <c r="K218" s="97">
        <f>SUM(K209:K217)</f>
        <v>1216</v>
      </c>
      <c r="M218" s="97">
        <f>SUM(M209:M217)</f>
        <v>1318</v>
      </c>
      <c r="O218" s="96"/>
      <c r="P218" s="96"/>
      <c r="Q218" s="97">
        <f>SUM(Q209:Q217)</f>
        <v>1349</v>
      </c>
      <c r="AG218" s="60"/>
      <c r="AH218" s="60"/>
      <c r="AU218" s="96"/>
      <c r="AV218" s="96"/>
      <c r="AW218" s="97">
        <f>SUM(AW209:AW217)</f>
        <v>1205</v>
      </c>
      <c r="AX218" s="66" t="s">
        <v>108</v>
      </c>
      <c r="AY218" s="107" t="s">
        <v>116</v>
      </c>
    </row>
    <row r="219" spans="1:51" ht="16.5" thickTop="1">
      <c r="A219" s="57">
        <f t="shared" si="15"/>
        <v>217</v>
      </c>
      <c r="B219" s="64" t="s">
        <v>60</v>
      </c>
      <c r="E219" s="59"/>
      <c r="G219" s="59"/>
      <c r="I219" s="76"/>
      <c r="J219" s="26">
        <f>J202</f>
        <v>0</v>
      </c>
      <c r="K219" s="81">
        <f>ROUND(SUM(K210:K216)*J219,0)</f>
        <v>0</v>
      </c>
      <c r="M219" s="81">
        <f>ROUND(SUM(M210:M216)*J219,0)</f>
        <v>0</v>
      </c>
      <c r="O219" s="76"/>
      <c r="P219" s="26">
        <f>P112</f>
        <v>0</v>
      </c>
      <c r="Q219" s="81">
        <f>ROUND(SUM(Q210:Q216)*P219,0)</f>
        <v>0</v>
      </c>
      <c r="AG219" s="60"/>
      <c r="AH219" s="60"/>
      <c r="AU219" s="76"/>
      <c r="AV219" s="26">
        <f>AV202</f>
        <v>0.0365</v>
      </c>
      <c r="AW219" s="81">
        <f>ROUND(SUM(AW210:AW216)*AV219,0)</f>
        <v>11</v>
      </c>
      <c r="AX219" s="66" t="s">
        <v>108</v>
      </c>
      <c r="AY219" s="107" t="s">
        <v>116</v>
      </c>
    </row>
    <row r="220" spans="1:51" ht="15.75">
      <c r="A220" s="57">
        <f t="shared" si="15"/>
        <v>218</v>
      </c>
      <c r="B220" s="64" t="s">
        <v>62</v>
      </c>
      <c r="E220" s="59"/>
      <c r="G220" s="59"/>
      <c r="I220" s="76"/>
      <c r="J220" s="26">
        <f>J203</f>
        <v>0.0311</v>
      </c>
      <c r="K220" s="81">
        <f>ROUND(SUM(K210:K216,K219)*J220,0)</f>
        <v>10</v>
      </c>
      <c r="M220" s="81">
        <f>ROUND(SUM(M210:M216,M219)*J220,0)</f>
        <v>11</v>
      </c>
      <c r="O220" s="76"/>
      <c r="P220" s="26">
        <f>P113</f>
        <v>0.0311</v>
      </c>
      <c r="Q220" s="81">
        <f>ROUND(SUM(Q210:Q216,Q219)*P220,0)</f>
        <v>11</v>
      </c>
      <c r="S220" s="60"/>
      <c r="T220" s="60"/>
      <c r="U220" s="60"/>
      <c r="V220" s="60"/>
      <c r="AG220" s="60"/>
      <c r="AH220" s="60"/>
      <c r="AU220" s="76"/>
      <c r="AV220" s="26">
        <f>AV203</f>
        <v>0</v>
      </c>
      <c r="AW220" s="81">
        <f>ROUND(SUM(AW210:AW216,AW219)*AV220,0)</f>
        <v>0</v>
      </c>
      <c r="AX220" s="66" t="s">
        <v>108</v>
      </c>
      <c r="AY220" s="107" t="s">
        <v>116</v>
      </c>
    </row>
    <row r="221" spans="1:51" ht="15.75">
      <c r="A221" s="57">
        <f t="shared" si="15"/>
        <v>219</v>
      </c>
      <c r="E221" s="59"/>
      <c r="G221" s="59"/>
      <c r="AG221" s="60"/>
      <c r="AH221" s="60"/>
      <c r="AX221" s="66" t="s">
        <v>108</v>
      </c>
      <c r="AY221" s="107" t="s">
        <v>116</v>
      </c>
    </row>
    <row r="222" spans="1:51" ht="15.75">
      <c r="A222" s="57">
        <f t="shared" si="15"/>
        <v>220</v>
      </c>
      <c r="B222" s="64" t="s">
        <v>118</v>
      </c>
      <c r="E222" s="59"/>
      <c r="G222" s="59"/>
      <c r="AG222" s="60"/>
      <c r="AH222" s="60"/>
      <c r="AX222" s="66" t="s">
        <v>99</v>
      </c>
      <c r="AY222" s="107" t="s">
        <v>119</v>
      </c>
    </row>
    <row r="223" spans="1:51" ht="15.75">
      <c r="A223" s="57">
        <f t="shared" si="15"/>
        <v>221</v>
      </c>
      <c r="B223" s="64" t="s">
        <v>120</v>
      </c>
      <c r="E223" s="59"/>
      <c r="G223" s="59"/>
      <c r="AG223" s="60"/>
      <c r="AH223" s="60"/>
      <c r="AX223" s="66" t="s">
        <v>99</v>
      </c>
      <c r="AY223" s="107" t="s">
        <v>119</v>
      </c>
    </row>
    <row r="224" spans="1:51" ht="15.75">
      <c r="A224" s="57">
        <f t="shared" si="15"/>
        <v>222</v>
      </c>
      <c r="B224" s="103" t="s">
        <v>121</v>
      </c>
      <c r="E224" s="59"/>
      <c r="G224" s="59"/>
      <c r="AG224" s="60"/>
      <c r="AH224" s="60"/>
      <c r="AX224" s="66" t="s">
        <v>99</v>
      </c>
      <c r="AY224" s="107" t="s">
        <v>119</v>
      </c>
    </row>
    <row r="225" spans="1:51" ht="15.75">
      <c r="A225" s="57">
        <f t="shared" si="15"/>
        <v>223</v>
      </c>
      <c r="B225" s="98" t="s">
        <v>122</v>
      </c>
      <c r="E225" s="59"/>
      <c r="G225" s="59"/>
      <c r="AG225" s="60"/>
      <c r="AH225" s="60"/>
      <c r="AX225" s="66" t="s">
        <v>99</v>
      </c>
      <c r="AY225" s="107" t="s">
        <v>119</v>
      </c>
    </row>
    <row r="226" spans="1:51" ht="15.75">
      <c r="A226" s="57">
        <f t="shared" si="15"/>
        <v>224</v>
      </c>
      <c r="B226" s="64" t="s">
        <v>44</v>
      </c>
      <c r="E226" s="59">
        <v>0</v>
      </c>
      <c r="G226" s="59">
        <v>0</v>
      </c>
      <c r="I226" s="76">
        <f>I96</f>
        <v>6.69</v>
      </c>
      <c r="K226" s="66">
        <f>ROUND(I226*$E226,0)</f>
        <v>0</v>
      </c>
      <c r="M226" s="66">
        <f>ROUND(I226*$G226,0)</f>
        <v>0</v>
      </c>
      <c r="O226" s="76">
        <f>O96</f>
        <v>7</v>
      </c>
      <c r="Q226" s="66">
        <f>ROUND(O226*$G226,0)</f>
        <v>0</v>
      </c>
      <c r="AG226" s="60"/>
      <c r="AH226" s="60"/>
      <c r="AU226" s="76">
        <f>AU96</f>
        <v>6.69</v>
      </c>
      <c r="AW226" s="66">
        <f>ROUND(AU226*$E226,0)</f>
        <v>0</v>
      </c>
      <c r="AX226" s="66" t="s">
        <v>99</v>
      </c>
      <c r="AY226" s="107" t="s">
        <v>119</v>
      </c>
    </row>
    <row r="227" spans="1:51" ht="15.75">
      <c r="A227" s="57">
        <f t="shared" si="15"/>
        <v>225</v>
      </c>
      <c r="B227" s="64" t="s">
        <v>91</v>
      </c>
      <c r="E227" s="59">
        <v>0</v>
      </c>
      <c r="G227" s="59">
        <v>0</v>
      </c>
      <c r="I227" s="76">
        <f>I97</f>
        <v>6.03</v>
      </c>
      <c r="K227" s="66">
        <f>ROUND(I227*$E227,0)</f>
        <v>0</v>
      </c>
      <c r="M227" s="66">
        <f>ROUND(I227*$G227,0)</f>
        <v>0</v>
      </c>
      <c r="O227" s="76">
        <f>O97</f>
        <v>6.27</v>
      </c>
      <c r="Q227" s="66">
        <f>ROUND(O227*$G227,0)</f>
        <v>0</v>
      </c>
      <c r="AG227" s="60"/>
      <c r="AH227" s="60"/>
      <c r="AU227" s="76">
        <f>AU97</f>
        <v>5.58</v>
      </c>
      <c r="AW227" s="66">
        <f>ROUND(AU227*$E227,0)</f>
        <v>0</v>
      </c>
      <c r="AX227" s="66" t="s">
        <v>99</v>
      </c>
      <c r="AY227" s="107" t="s">
        <v>119</v>
      </c>
    </row>
    <row r="228" spans="1:51" ht="15.75">
      <c r="A228" s="57">
        <f t="shared" si="15"/>
        <v>226</v>
      </c>
      <c r="B228" s="64" t="s">
        <v>92</v>
      </c>
      <c r="E228" s="59">
        <v>0</v>
      </c>
      <c r="G228" s="59">
        <v>0</v>
      </c>
      <c r="I228" s="76">
        <f>I98</f>
        <v>6.08</v>
      </c>
      <c r="K228" s="66">
        <f>ROUND(I228*$E228,0)</f>
        <v>0</v>
      </c>
      <c r="M228" s="66">
        <f>ROUND(I228*$G228,0)</f>
        <v>0</v>
      </c>
      <c r="O228" s="76">
        <f>O98</f>
        <v>6.32</v>
      </c>
      <c r="Q228" s="66">
        <f>ROUND(O228*$G228,0)</f>
        <v>0</v>
      </c>
      <c r="AG228" s="60"/>
      <c r="AH228" s="60"/>
      <c r="AU228" s="76">
        <f>AU98</f>
        <v>5.58</v>
      </c>
      <c r="AW228" s="66">
        <f>ROUND(AU228*$E228,0)</f>
        <v>0</v>
      </c>
      <c r="AX228" s="66" t="s">
        <v>99</v>
      </c>
      <c r="AY228" s="107" t="s">
        <v>119</v>
      </c>
    </row>
    <row r="229" spans="1:51" ht="15.75">
      <c r="A229" s="57">
        <f t="shared" si="15"/>
        <v>227</v>
      </c>
      <c r="B229" s="64" t="s">
        <v>93</v>
      </c>
      <c r="E229" s="59">
        <v>0</v>
      </c>
      <c r="G229" s="59">
        <v>0</v>
      </c>
      <c r="I229" s="76">
        <f>I99</f>
        <v>-0.34</v>
      </c>
      <c r="K229" s="66">
        <f>ROUND(I229*$E229,0)</f>
        <v>0</v>
      </c>
      <c r="M229" s="66">
        <f>ROUND(I229*$G229,0)</f>
        <v>0</v>
      </c>
      <c r="O229" s="76">
        <f>O99</f>
        <v>-0.35</v>
      </c>
      <c r="Q229" s="66">
        <f>ROUND(O229*$G229,0)</f>
        <v>0</v>
      </c>
      <c r="AG229" s="60"/>
      <c r="AH229" s="60"/>
      <c r="AU229" s="76">
        <f>AU99</f>
        <v>-0.34</v>
      </c>
      <c r="AW229" s="66">
        <f>ROUND(AU229*$E229,0)</f>
        <v>0</v>
      </c>
      <c r="AX229" s="66" t="s">
        <v>99</v>
      </c>
      <c r="AY229" s="107" t="s">
        <v>119</v>
      </c>
    </row>
    <row r="230" spans="1:51" ht="15.75">
      <c r="A230" s="57">
        <f t="shared" si="15"/>
        <v>228</v>
      </c>
      <c r="B230" s="64" t="s">
        <v>94</v>
      </c>
      <c r="E230" s="59">
        <v>0</v>
      </c>
      <c r="G230" s="59">
        <v>0</v>
      </c>
      <c r="I230" s="76"/>
      <c r="J230" s="93">
        <f>J100</f>
        <v>8.1827</v>
      </c>
      <c r="K230" s="66">
        <f>ROUND(J230*$E230/100,0)</f>
        <v>0</v>
      </c>
      <c r="M230" s="66">
        <f>ROUND(J230*$G230/100,0)</f>
        <v>0</v>
      </c>
      <c r="O230" s="76"/>
      <c r="P230" s="93">
        <f>P100</f>
        <v>8.4999</v>
      </c>
      <c r="Q230" s="66">
        <f>ROUND(P230*$G230/100,0)</f>
        <v>0</v>
      </c>
      <c r="AG230" s="60"/>
      <c r="AH230" s="60"/>
      <c r="AU230" s="76"/>
      <c r="AV230" s="93">
        <f>AV100</f>
        <v>7.5316</v>
      </c>
      <c r="AW230" s="66">
        <f>ROUND(AV230*$E230/100,0)</f>
        <v>0</v>
      </c>
      <c r="AX230" s="66" t="s">
        <v>99</v>
      </c>
      <c r="AY230" s="107" t="s">
        <v>119</v>
      </c>
    </row>
    <row r="231" spans="1:51" ht="15.75">
      <c r="A231" s="57">
        <f t="shared" si="15"/>
        <v>229</v>
      </c>
      <c r="B231" s="64" t="s">
        <v>95</v>
      </c>
      <c r="E231" s="59">
        <v>0</v>
      </c>
      <c r="G231" s="59">
        <v>0</v>
      </c>
      <c r="I231" s="76"/>
      <c r="J231" s="93">
        <f>J101</f>
        <v>4.5876</v>
      </c>
      <c r="K231" s="66">
        <f>ROUND(J231*$E231/100,0)</f>
        <v>0</v>
      </c>
      <c r="M231" s="66">
        <f>ROUND(J231*$G231/100,0)</f>
        <v>0</v>
      </c>
      <c r="O231" s="76"/>
      <c r="P231" s="93">
        <f>P101</f>
        <v>4.765400000000001</v>
      </c>
      <c r="Q231" s="66">
        <f>ROUND(P231*$G231/100,0)</f>
        <v>0</v>
      </c>
      <c r="AG231" s="60"/>
      <c r="AH231" s="60"/>
      <c r="AU231" s="76"/>
      <c r="AV231" s="93">
        <f>AV101</f>
        <v>4.2227</v>
      </c>
      <c r="AW231" s="66">
        <f>ROUND(AV231*$E231/100,0)</f>
        <v>0</v>
      </c>
      <c r="AX231" s="66" t="s">
        <v>99</v>
      </c>
      <c r="AY231" s="107" t="s">
        <v>119</v>
      </c>
    </row>
    <row r="232" spans="1:51" ht="15.75">
      <c r="A232" s="57">
        <f t="shared" si="15"/>
        <v>230</v>
      </c>
      <c r="B232" s="64" t="s">
        <v>96</v>
      </c>
      <c r="E232" s="59">
        <v>0</v>
      </c>
      <c r="G232" s="59">
        <v>0</v>
      </c>
      <c r="I232" s="76"/>
      <c r="J232" s="93">
        <f>J102</f>
        <v>7.5316</v>
      </c>
      <c r="K232" s="66">
        <f>ROUND(J232*$E232/100,0)</f>
        <v>0</v>
      </c>
      <c r="M232" s="66">
        <f>ROUND(J232*$G232/100,0)</f>
        <v>0</v>
      </c>
      <c r="O232" s="76"/>
      <c r="P232" s="93">
        <f>P102</f>
        <v>7.8236</v>
      </c>
      <c r="Q232" s="66">
        <f>ROUND(P232*$G232/100,0)</f>
        <v>0</v>
      </c>
      <c r="AG232" s="60"/>
      <c r="AH232" s="60"/>
      <c r="AU232" s="76"/>
      <c r="AV232" s="93">
        <f>AV102</f>
        <v>7.5316</v>
      </c>
      <c r="AW232" s="66">
        <f>ROUND(AV232*$E232/100,0)</f>
        <v>0</v>
      </c>
      <c r="AX232" s="66" t="s">
        <v>99</v>
      </c>
      <c r="AY232" s="107" t="s">
        <v>119</v>
      </c>
    </row>
    <row r="233" spans="1:51" ht="15.75">
      <c r="A233" s="57">
        <f t="shared" si="15"/>
        <v>231</v>
      </c>
      <c r="B233" s="64" t="s">
        <v>97</v>
      </c>
      <c r="E233" s="59">
        <v>0</v>
      </c>
      <c r="G233" s="59">
        <v>0</v>
      </c>
      <c r="I233" s="76"/>
      <c r="J233" s="93">
        <f>J103</f>
        <v>4.2227</v>
      </c>
      <c r="K233" s="66">
        <f>ROUND(J233*$E233/100,0)</f>
        <v>0</v>
      </c>
      <c r="M233" s="66">
        <f>ROUND(J233*$G233/100,0)</f>
        <v>0</v>
      </c>
      <c r="O233" s="76"/>
      <c r="P233" s="93">
        <f>P103</f>
        <v>4.3864</v>
      </c>
      <c r="Q233" s="66">
        <f>ROUND(P233*$G233/100,0)</f>
        <v>0</v>
      </c>
      <c r="AG233" s="60"/>
      <c r="AH233" s="60"/>
      <c r="AU233" s="76"/>
      <c r="AV233" s="93">
        <f>AV103</f>
        <v>4.2227</v>
      </c>
      <c r="AW233" s="66">
        <f>ROUND(AV233*$E233/100,0)</f>
        <v>0</v>
      </c>
      <c r="AX233" s="66" t="s">
        <v>99</v>
      </c>
      <c r="AY233" s="107" t="s">
        <v>119</v>
      </c>
    </row>
    <row r="234" spans="1:51" ht="15.75">
      <c r="A234" s="57">
        <f t="shared" si="15"/>
        <v>232</v>
      </c>
      <c r="B234" s="64" t="s">
        <v>102</v>
      </c>
      <c r="E234" s="78">
        <v>0</v>
      </c>
      <c r="G234" s="78">
        <v>0</v>
      </c>
      <c r="I234" s="76">
        <f>I109</f>
        <v>80.28</v>
      </c>
      <c r="K234" s="81">
        <f>ROUND(I234*$E234,0)</f>
        <v>0</v>
      </c>
      <c r="M234" s="81">
        <f>ROUND(I234*$G234,0)</f>
        <v>0</v>
      </c>
      <c r="O234" s="76">
        <f>O109</f>
        <v>84</v>
      </c>
      <c r="Q234" s="81">
        <f>ROUND(O234*$G234,0)</f>
        <v>0</v>
      </c>
      <c r="AG234" s="60"/>
      <c r="AH234" s="60"/>
      <c r="AU234" s="76">
        <f>AU109</f>
        <v>80.28</v>
      </c>
      <c r="AW234" s="81">
        <f>ROUND(AU234*$E234,0)</f>
        <v>0</v>
      </c>
      <c r="AX234" s="66" t="s">
        <v>99</v>
      </c>
      <c r="AY234" s="107" t="s">
        <v>119</v>
      </c>
    </row>
    <row r="235" spans="1:51" ht="16.5" thickBot="1">
      <c r="A235" s="57">
        <f t="shared" si="15"/>
        <v>233</v>
      </c>
      <c r="B235" s="64" t="s">
        <v>58</v>
      </c>
      <c r="E235" s="99">
        <f>E229+E230+E234+E231+E232</f>
        <v>0</v>
      </c>
      <c r="G235" s="99">
        <v>0</v>
      </c>
      <c r="I235" s="96"/>
      <c r="J235" s="96"/>
      <c r="K235" s="97">
        <f>SUM(K226:K234)</f>
        <v>0</v>
      </c>
      <c r="M235" s="97">
        <f>SUM(M226:M234)</f>
        <v>0</v>
      </c>
      <c r="O235" s="96"/>
      <c r="P235" s="96"/>
      <c r="Q235" s="97">
        <f>SUM(Q226:Q234)</f>
        <v>0</v>
      </c>
      <c r="AG235" s="60"/>
      <c r="AH235" s="60"/>
      <c r="AU235" s="96"/>
      <c r="AV235" s="96"/>
      <c r="AW235" s="97">
        <f>SUM(AW226:AW234)</f>
        <v>0</v>
      </c>
      <c r="AX235" s="66" t="s">
        <v>99</v>
      </c>
      <c r="AY235" s="107" t="s">
        <v>119</v>
      </c>
    </row>
    <row r="236" spans="1:51" ht="16.5" thickTop="1">
      <c r="A236" s="57">
        <f aca="true" t="shared" si="18" ref="A236:A299">A235+1</f>
        <v>234</v>
      </c>
      <c r="B236" s="64" t="s">
        <v>60</v>
      </c>
      <c r="E236" s="59"/>
      <c r="G236" s="59"/>
      <c r="I236" s="76"/>
      <c r="J236" s="26">
        <f>J112</f>
        <v>0</v>
      </c>
      <c r="K236" s="81">
        <f>ROUND(SUM(K227:K233)*J236,0)</f>
        <v>0</v>
      </c>
      <c r="M236" s="81">
        <f>ROUND(SUM(M227:M233)*J236,0)</f>
        <v>0</v>
      </c>
      <c r="O236" s="76"/>
      <c r="P236" s="26">
        <f>P112</f>
        <v>0</v>
      </c>
      <c r="Q236" s="81">
        <f>ROUND(SUM(Q227:Q233)*P236,0)</f>
        <v>0</v>
      </c>
      <c r="AG236" s="60"/>
      <c r="AH236" s="60"/>
      <c r="AU236" s="76"/>
      <c r="AV236" s="26">
        <v>0.0365</v>
      </c>
      <c r="AW236" s="81">
        <f>ROUND(SUM(AW227:AW233)*AV236,0)</f>
        <v>0</v>
      </c>
      <c r="AX236" s="66" t="s">
        <v>99</v>
      </c>
      <c r="AY236" s="107" t="s">
        <v>119</v>
      </c>
    </row>
    <row r="237" spans="1:51" ht="15.75">
      <c r="A237" s="57">
        <f t="shared" si="18"/>
        <v>235</v>
      </c>
      <c r="B237" s="64" t="s">
        <v>62</v>
      </c>
      <c r="E237" s="59"/>
      <c r="G237" s="59"/>
      <c r="I237" s="76"/>
      <c r="J237" s="26">
        <f>J113</f>
        <v>0.0311</v>
      </c>
      <c r="K237" s="81">
        <f>ROUND(SUM(K227:K233,K236)*J237,0)</f>
        <v>0</v>
      </c>
      <c r="M237" s="81">
        <f>ROUND(SUM(M227:M233,M236)*J237,0)</f>
        <v>0</v>
      </c>
      <c r="O237" s="76"/>
      <c r="P237" s="26">
        <f>P113</f>
        <v>0.0311</v>
      </c>
      <c r="Q237" s="81">
        <f>ROUND(SUM(Q227:Q233,Q236)*P237,0)</f>
        <v>0</v>
      </c>
      <c r="S237" s="60"/>
      <c r="T237" s="60"/>
      <c r="U237" s="60"/>
      <c r="V237" s="60"/>
      <c r="AG237" s="60"/>
      <c r="AH237" s="60"/>
      <c r="AU237" s="76"/>
      <c r="AV237" s="26"/>
      <c r="AW237" s="81">
        <f>ROUND(SUM(AW227:AW233,AW236)*AV237,0)</f>
        <v>0</v>
      </c>
      <c r="AX237" s="66" t="s">
        <v>99</v>
      </c>
      <c r="AY237" s="107" t="s">
        <v>119</v>
      </c>
    </row>
    <row r="238" spans="1:51" ht="15.75">
      <c r="A238" s="57">
        <f t="shared" si="18"/>
        <v>236</v>
      </c>
      <c r="E238" s="59"/>
      <c r="G238" s="59"/>
      <c r="AG238" s="60"/>
      <c r="AH238" s="60"/>
      <c r="AX238" s="66" t="s">
        <v>99</v>
      </c>
      <c r="AY238" s="107" t="s">
        <v>119</v>
      </c>
    </row>
    <row r="239" spans="1:51" ht="15.75">
      <c r="A239" s="57">
        <f t="shared" si="18"/>
        <v>237</v>
      </c>
      <c r="B239" s="64" t="s">
        <v>118</v>
      </c>
      <c r="E239" s="59"/>
      <c r="G239" s="59"/>
      <c r="AG239" s="60"/>
      <c r="AH239" s="60"/>
      <c r="AX239" s="66" t="s">
        <v>108</v>
      </c>
      <c r="AY239" s="107" t="s">
        <v>119</v>
      </c>
    </row>
    <row r="240" spans="1:51" ht="15.75">
      <c r="A240" s="57">
        <f t="shared" si="18"/>
        <v>238</v>
      </c>
      <c r="B240" s="64" t="s">
        <v>120</v>
      </c>
      <c r="E240" s="59"/>
      <c r="G240" s="59"/>
      <c r="AG240" s="60"/>
      <c r="AH240" s="60"/>
      <c r="AX240" s="66" t="s">
        <v>108</v>
      </c>
      <c r="AY240" s="107" t="s">
        <v>119</v>
      </c>
    </row>
    <row r="241" spans="1:51" ht="15.75">
      <c r="A241" s="57">
        <f t="shared" si="18"/>
        <v>239</v>
      </c>
      <c r="B241" s="103" t="s">
        <v>123</v>
      </c>
      <c r="E241" s="59"/>
      <c r="G241" s="59"/>
      <c r="AG241" s="60"/>
      <c r="AH241" s="60"/>
      <c r="AX241" s="66" t="s">
        <v>108</v>
      </c>
      <c r="AY241" s="107" t="s">
        <v>119</v>
      </c>
    </row>
    <row r="242" spans="1:51" ht="15.75">
      <c r="A242" s="57">
        <f t="shared" si="18"/>
        <v>240</v>
      </c>
      <c r="B242" s="98" t="s">
        <v>122</v>
      </c>
      <c r="E242" s="59"/>
      <c r="G242" s="59"/>
      <c r="AG242" s="60"/>
      <c r="AH242" s="60"/>
      <c r="AX242" s="66" t="s">
        <v>108</v>
      </c>
      <c r="AY242" s="107" t="s">
        <v>119</v>
      </c>
    </row>
    <row r="243" spans="1:51" ht="15.75">
      <c r="A243" s="57">
        <f t="shared" si="18"/>
        <v>241</v>
      </c>
      <c r="B243" s="64" t="s">
        <v>44</v>
      </c>
      <c r="E243" s="59">
        <v>0</v>
      </c>
      <c r="G243" s="59">
        <v>0</v>
      </c>
      <c r="I243" s="76">
        <f>I226</f>
        <v>6.69</v>
      </c>
      <c r="K243" s="66">
        <f>ROUND(I243*$E243,0)</f>
        <v>0</v>
      </c>
      <c r="M243" s="66">
        <f>ROUND(I243*$G243,0)</f>
        <v>0</v>
      </c>
      <c r="O243" s="76">
        <f>O96</f>
        <v>7</v>
      </c>
      <c r="Q243" s="66">
        <f>ROUND(O243*$G243,0)</f>
        <v>0</v>
      </c>
      <c r="AG243" s="60"/>
      <c r="AH243" s="60"/>
      <c r="AU243" s="76">
        <f>AU226</f>
        <v>6.69</v>
      </c>
      <c r="AW243" s="66">
        <f>ROUND(AU243*$E243,0)</f>
        <v>0</v>
      </c>
      <c r="AX243" s="66" t="s">
        <v>108</v>
      </c>
      <c r="AY243" s="107" t="s">
        <v>119</v>
      </c>
    </row>
    <row r="244" spans="1:51" ht="15.75">
      <c r="A244" s="57">
        <f t="shared" si="18"/>
        <v>242</v>
      </c>
      <c r="B244" s="64" t="s">
        <v>91</v>
      </c>
      <c r="E244" s="59">
        <v>0</v>
      </c>
      <c r="G244" s="59">
        <v>0</v>
      </c>
      <c r="I244" s="76">
        <f>I97</f>
        <v>6.03</v>
      </c>
      <c r="K244" s="66">
        <f>ROUND(I244*$E244,0)</f>
        <v>0</v>
      </c>
      <c r="M244" s="66">
        <f>ROUND(I244*$G244,0)</f>
        <v>0</v>
      </c>
      <c r="O244" s="76">
        <f>O97</f>
        <v>6.27</v>
      </c>
      <c r="Q244" s="66">
        <f>ROUND(O244*$G244,0)</f>
        <v>0</v>
      </c>
      <c r="AG244" s="60"/>
      <c r="AH244" s="60"/>
      <c r="AU244" s="76">
        <f>AU97</f>
        <v>5.58</v>
      </c>
      <c r="AW244" s="66">
        <f>ROUND(AU244*$E244,0)</f>
        <v>0</v>
      </c>
      <c r="AX244" s="66" t="s">
        <v>108</v>
      </c>
      <c r="AY244" s="107" t="s">
        <v>119</v>
      </c>
    </row>
    <row r="245" spans="1:51" ht="15.75">
      <c r="A245" s="57">
        <f t="shared" si="18"/>
        <v>243</v>
      </c>
      <c r="B245" s="64" t="s">
        <v>92</v>
      </c>
      <c r="E245" s="59">
        <v>0</v>
      </c>
      <c r="G245" s="59">
        <v>0</v>
      </c>
      <c r="I245" s="76">
        <f>I98</f>
        <v>6.08</v>
      </c>
      <c r="K245" s="66">
        <f>ROUND(I245*$E245,0)</f>
        <v>0</v>
      </c>
      <c r="M245" s="66">
        <f>ROUND(I245*$G245,0)</f>
        <v>0</v>
      </c>
      <c r="O245" s="76">
        <f>O98</f>
        <v>6.32</v>
      </c>
      <c r="Q245" s="66">
        <f>ROUND(O245*$G245,0)</f>
        <v>0</v>
      </c>
      <c r="AG245" s="60"/>
      <c r="AH245" s="60"/>
      <c r="AU245" s="76">
        <f>AU98</f>
        <v>5.58</v>
      </c>
      <c r="AW245" s="66">
        <f>ROUND(AU245*$E245,0)</f>
        <v>0</v>
      </c>
      <c r="AX245" s="66" t="s">
        <v>108</v>
      </c>
      <c r="AY245" s="107" t="s">
        <v>119</v>
      </c>
    </row>
    <row r="246" spans="1:51" ht="15.75">
      <c r="A246" s="57">
        <f t="shared" si="18"/>
        <v>244</v>
      </c>
      <c r="B246" s="64" t="s">
        <v>93</v>
      </c>
      <c r="E246" s="59">
        <v>0</v>
      </c>
      <c r="G246" s="59">
        <v>0</v>
      </c>
      <c r="I246" s="76">
        <f>I99</f>
        <v>-0.34</v>
      </c>
      <c r="K246" s="66">
        <f>ROUND(I246*$E246,0)</f>
        <v>0</v>
      </c>
      <c r="M246" s="66">
        <f>ROUND(I246*$G246,0)</f>
        <v>0</v>
      </c>
      <c r="O246" s="76">
        <f>O99</f>
        <v>-0.35</v>
      </c>
      <c r="Q246" s="66">
        <f>ROUND(O246*$G246,0)</f>
        <v>0</v>
      </c>
      <c r="AG246" s="60"/>
      <c r="AH246" s="60"/>
      <c r="AU246" s="76">
        <f>AU99</f>
        <v>-0.34</v>
      </c>
      <c r="AW246" s="66">
        <f>ROUND(AU246*$E246,0)</f>
        <v>0</v>
      </c>
      <c r="AX246" s="66" t="s">
        <v>108</v>
      </c>
      <c r="AY246" s="107" t="s">
        <v>119</v>
      </c>
    </row>
    <row r="247" spans="1:51" ht="15.75">
      <c r="A247" s="57">
        <f t="shared" si="18"/>
        <v>245</v>
      </c>
      <c r="B247" s="64" t="s">
        <v>94</v>
      </c>
      <c r="E247" s="59">
        <v>0</v>
      </c>
      <c r="G247" s="59">
        <v>0</v>
      </c>
      <c r="I247" s="76"/>
      <c r="J247" s="93">
        <f>J100</f>
        <v>8.1827</v>
      </c>
      <c r="K247" s="66">
        <f>ROUND(J247*$E247/100,0)</f>
        <v>0</v>
      </c>
      <c r="M247" s="66">
        <f>ROUND(J247*$G247/100,0)</f>
        <v>0</v>
      </c>
      <c r="O247" s="76"/>
      <c r="P247" s="93">
        <f>P100</f>
        <v>8.4999</v>
      </c>
      <c r="Q247" s="66">
        <f>ROUND(P247*$G247/100,0)</f>
        <v>0</v>
      </c>
      <c r="AG247" s="60"/>
      <c r="AH247" s="60"/>
      <c r="AU247" s="76"/>
      <c r="AV247" s="93">
        <f>AV100</f>
        <v>7.5316</v>
      </c>
      <c r="AW247" s="66">
        <f>ROUND(AV247*$E247/100,0)</f>
        <v>0</v>
      </c>
      <c r="AX247" s="66" t="s">
        <v>108</v>
      </c>
      <c r="AY247" s="107" t="s">
        <v>119</v>
      </c>
    </row>
    <row r="248" spans="1:51" ht="15.75">
      <c r="A248" s="57">
        <f t="shared" si="18"/>
        <v>246</v>
      </c>
      <c r="B248" s="64" t="s">
        <v>95</v>
      </c>
      <c r="E248" s="59">
        <v>0</v>
      </c>
      <c r="G248" s="59">
        <v>0</v>
      </c>
      <c r="I248" s="76"/>
      <c r="J248" s="93">
        <f>J101</f>
        <v>4.5876</v>
      </c>
      <c r="K248" s="66">
        <f>ROUND(J248*$E248/100,0)</f>
        <v>0</v>
      </c>
      <c r="M248" s="66">
        <f>ROUND(J248*$G248/100,0)</f>
        <v>0</v>
      </c>
      <c r="O248" s="76"/>
      <c r="P248" s="93">
        <f>P101</f>
        <v>4.765400000000001</v>
      </c>
      <c r="Q248" s="66">
        <f>ROUND(P248*$G248/100,0)</f>
        <v>0</v>
      </c>
      <c r="Z248" s="108"/>
      <c r="AA248" s="109"/>
      <c r="AB248" s="68"/>
      <c r="AC248" s="110"/>
      <c r="AG248" s="60"/>
      <c r="AH248" s="60"/>
      <c r="AU248" s="76"/>
      <c r="AV248" s="93">
        <f>AV101</f>
        <v>4.2227</v>
      </c>
      <c r="AW248" s="66">
        <f>ROUND(AV248*$E248/100,0)</f>
        <v>0</v>
      </c>
      <c r="AX248" s="66" t="s">
        <v>108</v>
      </c>
      <c r="AY248" s="107" t="s">
        <v>119</v>
      </c>
    </row>
    <row r="249" spans="1:51" ht="15.75">
      <c r="A249" s="57">
        <f t="shared" si="18"/>
        <v>247</v>
      </c>
      <c r="B249" s="64" t="s">
        <v>96</v>
      </c>
      <c r="E249" s="59">
        <v>0</v>
      </c>
      <c r="G249" s="59">
        <v>0</v>
      </c>
      <c r="I249" s="76"/>
      <c r="J249" s="93">
        <f>J102</f>
        <v>7.5316</v>
      </c>
      <c r="K249" s="66">
        <f>ROUND(J249*$E249/100,0)</f>
        <v>0</v>
      </c>
      <c r="M249" s="66">
        <f>ROUND(J249*$G249/100,0)</f>
        <v>0</v>
      </c>
      <c r="O249" s="76"/>
      <c r="P249" s="93">
        <f>P102</f>
        <v>7.8236</v>
      </c>
      <c r="Q249" s="66">
        <f>ROUND(P249*$G249/100,0)</f>
        <v>0</v>
      </c>
      <c r="AG249" s="60"/>
      <c r="AH249" s="60"/>
      <c r="AU249" s="76"/>
      <c r="AV249" s="93">
        <f>AV102</f>
        <v>7.5316</v>
      </c>
      <c r="AW249" s="66">
        <f>ROUND(AV249*$E249/100,0)</f>
        <v>0</v>
      </c>
      <c r="AX249" s="66" t="s">
        <v>108</v>
      </c>
      <c r="AY249" s="107" t="s">
        <v>119</v>
      </c>
    </row>
    <row r="250" spans="1:51" ht="15.75">
      <c r="A250" s="57">
        <f t="shared" si="18"/>
        <v>248</v>
      </c>
      <c r="B250" s="64" t="s">
        <v>97</v>
      </c>
      <c r="E250" s="59">
        <v>0</v>
      </c>
      <c r="G250" s="59">
        <v>0</v>
      </c>
      <c r="I250" s="76"/>
      <c r="J250" s="93">
        <f>J103</f>
        <v>4.2227</v>
      </c>
      <c r="K250" s="66">
        <f>ROUND(J250*$E250/100,0)</f>
        <v>0</v>
      </c>
      <c r="M250" s="66">
        <f>ROUND(J250*$G250/100,0)</f>
        <v>0</v>
      </c>
      <c r="O250" s="76"/>
      <c r="P250" s="93">
        <f>P103</f>
        <v>4.3864</v>
      </c>
      <c r="Q250" s="66">
        <f>ROUND(P250*$G250/100,0)</f>
        <v>0</v>
      </c>
      <c r="Z250" s="108"/>
      <c r="AA250" s="109"/>
      <c r="AB250" s="68"/>
      <c r="AC250" s="110"/>
      <c r="AG250" s="60"/>
      <c r="AH250" s="60"/>
      <c r="AU250" s="76"/>
      <c r="AV250" s="93">
        <f>AV103</f>
        <v>4.2227</v>
      </c>
      <c r="AW250" s="66">
        <f>ROUND(AV250*$E250/100,0)</f>
        <v>0</v>
      </c>
      <c r="AX250" s="66" t="s">
        <v>108</v>
      </c>
      <c r="AY250" s="107" t="s">
        <v>119</v>
      </c>
    </row>
    <row r="251" spans="1:51" ht="15.75">
      <c r="A251" s="57">
        <f t="shared" si="18"/>
        <v>249</v>
      </c>
      <c r="B251" s="64" t="s">
        <v>102</v>
      </c>
      <c r="E251" s="78">
        <v>0</v>
      </c>
      <c r="G251" s="78">
        <v>0</v>
      </c>
      <c r="I251" s="76">
        <f>I234</f>
        <v>80.28</v>
      </c>
      <c r="K251" s="81">
        <f>ROUND(I251*$E251,0)</f>
        <v>0</v>
      </c>
      <c r="M251" s="81">
        <f>ROUND(I251*$G251,0)</f>
        <v>0</v>
      </c>
      <c r="O251" s="76">
        <f>O109</f>
        <v>84</v>
      </c>
      <c r="Q251" s="81">
        <f>ROUND(O251*$G251,0)</f>
        <v>0</v>
      </c>
      <c r="Z251" s="108"/>
      <c r="AA251" s="109"/>
      <c r="AB251" s="68"/>
      <c r="AC251" s="111"/>
      <c r="AG251" s="60"/>
      <c r="AH251" s="60"/>
      <c r="AU251" s="76">
        <f>AU234</f>
        <v>80.28</v>
      </c>
      <c r="AW251" s="81">
        <f>ROUND(AU251*$E251,0)</f>
        <v>0</v>
      </c>
      <c r="AX251" s="66" t="s">
        <v>108</v>
      </c>
      <c r="AY251" s="107" t="s">
        <v>119</v>
      </c>
    </row>
    <row r="252" spans="1:51" ht="16.5" thickBot="1">
      <c r="A252" s="57">
        <f t="shared" si="18"/>
        <v>250</v>
      </c>
      <c r="B252" s="64" t="s">
        <v>58</v>
      </c>
      <c r="E252" s="99">
        <f>E246+E247+E251+E248+E249</f>
        <v>0</v>
      </c>
      <c r="G252" s="99">
        <v>0</v>
      </c>
      <c r="I252" s="96"/>
      <c r="J252" s="96"/>
      <c r="K252" s="97">
        <f>SUM(K243:K251)</f>
        <v>0</v>
      </c>
      <c r="M252" s="97">
        <f>SUM(M243:M251)</f>
        <v>0</v>
      </c>
      <c r="O252" s="96"/>
      <c r="P252" s="96"/>
      <c r="Q252" s="97">
        <f>SUM(Q243:Q251)</f>
        <v>0</v>
      </c>
      <c r="Z252" s="108"/>
      <c r="AA252" s="109"/>
      <c r="AB252" s="68"/>
      <c r="AG252" s="60"/>
      <c r="AH252" s="60"/>
      <c r="AU252" s="96"/>
      <c r="AV252" s="96"/>
      <c r="AW252" s="97">
        <f>SUM(AW243:AW251)</f>
        <v>0</v>
      </c>
      <c r="AX252" s="66" t="s">
        <v>108</v>
      </c>
      <c r="AY252" s="107" t="s">
        <v>119</v>
      </c>
    </row>
    <row r="253" spans="1:51" ht="16.5" thickTop="1">
      <c r="A253" s="57">
        <f t="shared" si="18"/>
        <v>251</v>
      </c>
      <c r="B253" s="64" t="s">
        <v>60</v>
      </c>
      <c r="E253" s="59"/>
      <c r="G253" s="59"/>
      <c r="I253" s="76"/>
      <c r="J253" s="26">
        <f>J236</f>
        <v>0</v>
      </c>
      <c r="K253" s="81">
        <f>ROUND(SUM(K244:K250)*J253,0)</f>
        <v>0</v>
      </c>
      <c r="M253" s="81">
        <f>ROUND(SUM(M244:M250)*J253,0)</f>
        <v>0</v>
      </c>
      <c r="O253" s="76"/>
      <c r="P253" s="26">
        <f>P112</f>
        <v>0</v>
      </c>
      <c r="Q253" s="81">
        <f>ROUND(SUM(Q244:Q250)*P253,0)</f>
        <v>0</v>
      </c>
      <c r="AG253" s="60"/>
      <c r="AH253" s="60"/>
      <c r="AU253" s="76"/>
      <c r="AV253" s="26">
        <f>AV236</f>
        <v>0.0365</v>
      </c>
      <c r="AW253" s="81">
        <f>ROUND(SUM(AW244:AW250)*AV253,0)</f>
        <v>0</v>
      </c>
      <c r="AX253" s="66" t="s">
        <v>108</v>
      </c>
      <c r="AY253" s="107" t="s">
        <v>119</v>
      </c>
    </row>
    <row r="254" spans="1:51" ht="15.75">
      <c r="A254" s="57">
        <f t="shared" si="18"/>
        <v>252</v>
      </c>
      <c r="B254" s="64" t="s">
        <v>62</v>
      </c>
      <c r="E254" s="59"/>
      <c r="G254" s="59"/>
      <c r="I254" s="76"/>
      <c r="J254" s="26">
        <f>J237</f>
        <v>0.0311</v>
      </c>
      <c r="K254" s="81">
        <f>ROUND(SUM(K244:K250,K253)*J254,0)</f>
        <v>0</v>
      </c>
      <c r="M254" s="81">
        <f>ROUND(SUM(M244:M250,M253)*J254,0)</f>
        <v>0</v>
      </c>
      <c r="O254" s="76"/>
      <c r="P254" s="26">
        <f>P113</f>
        <v>0.0311</v>
      </c>
      <c r="Q254" s="81">
        <f>ROUND(SUM(Q244:Q250,Q253)*P254,0)</f>
        <v>0</v>
      </c>
      <c r="S254" s="60"/>
      <c r="T254" s="60"/>
      <c r="U254" s="60"/>
      <c r="V254" s="60"/>
      <c r="AG254" s="60"/>
      <c r="AH254" s="60"/>
      <c r="AU254" s="76"/>
      <c r="AV254" s="26">
        <f>AV237</f>
        <v>0</v>
      </c>
      <c r="AW254" s="81">
        <f>ROUND(SUM(AW244:AW250,AW253)*AV254,0)</f>
        <v>0</v>
      </c>
      <c r="AX254" s="66" t="s">
        <v>108</v>
      </c>
      <c r="AY254" s="107" t="s">
        <v>119</v>
      </c>
    </row>
    <row r="255" spans="1:51" ht="15.75">
      <c r="A255" s="57">
        <f t="shared" si="18"/>
        <v>253</v>
      </c>
      <c r="E255" s="59"/>
      <c r="G255" s="59"/>
      <c r="Z255" s="108"/>
      <c r="AA255" s="109"/>
      <c r="AB255" s="68"/>
      <c r="AG255" s="60"/>
      <c r="AH255" s="60"/>
      <c r="AX255" s="66" t="s">
        <v>108</v>
      </c>
      <c r="AY255" s="107" t="s">
        <v>119</v>
      </c>
    </row>
    <row r="256" spans="1:51" ht="15.75">
      <c r="A256" s="57">
        <f t="shared" si="18"/>
        <v>254</v>
      </c>
      <c r="B256" s="64" t="s">
        <v>124</v>
      </c>
      <c r="E256" s="59"/>
      <c r="G256" s="59"/>
      <c r="Z256" s="108"/>
      <c r="AA256" s="109"/>
      <c r="AB256" s="68"/>
      <c r="AC256" s="112"/>
      <c r="AG256" s="60"/>
      <c r="AH256" s="60"/>
      <c r="AX256" s="66" t="s">
        <v>87</v>
      </c>
      <c r="AY256" s="58">
        <v>6</v>
      </c>
    </row>
    <row r="257" spans="1:51" ht="15.75">
      <c r="A257" s="57">
        <f t="shared" si="18"/>
        <v>255</v>
      </c>
      <c r="B257" s="64" t="s">
        <v>125</v>
      </c>
      <c r="E257" s="59"/>
      <c r="G257" s="59"/>
      <c r="Z257" s="108"/>
      <c r="AA257" s="109"/>
      <c r="AB257" s="68"/>
      <c r="AC257" s="112"/>
      <c r="AG257" s="60"/>
      <c r="AH257" s="60"/>
      <c r="AX257" s="66" t="s">
        <v>87</v>
      </c>
      <c r="AY257" s="58">
        <v>6</v>
      </c>
    </row>
    <row r="258" spans="1:51" ht="15.75">
      <c r="A258" s="57">
        <f t="shared" si="18"/>
        <v>256</v>
      </c>
      <c r="B258" s="64" t="s">
        <v>89</v>
      </c>
      <c r="E258" s="59"/>
      <c r="G258" s="59"/>
      <c r="AG258" s="60"/>
      <c r="AH258" s="60"/>
      <c r="AX258" s="66" t="s">
        <v>87</v>
      </c>
      <c r="AY258" s="58">
        <v>6</v>
      </c>
    </row>
    <row r="259" spans="1:51" ht="15.75">
      <c r="A259" s="57">
        <f t="shared" si="18"/>
        <v>257</v>
      </c>
      <c r="E259" s="59"/>
      <c r="G259" s="59"/>
      <c r="S259" s="68"/>
      <c r="T259" s="70"/>
      <c r="U259" s="66"/>
      <c r="V259" s="17"/>
      <c r="AG259" s="60"/>
      <c r="AH259" s="60"/>
      <c r="AX259" s="66" t="s">
        <v>87</v>
      </c>
      <c r="AY259" s="58">
        <v>6</v>
      </c>
    </row>
    <row r="260" spans="1:51" ht="15.75">
      <c r="A260" s="57">
        <f t="shared" si="18"/>
        <v>258</v>
      </c>
      <c r="B260" s="64" t="s">
        <v>44</v>
      </c>
      <c r="E260" s="59">
        <f aca="true" t="shared" si="19" ref="E260:E265">E279+E297+E313+E329</f>
        <v>137029</v>
      </c>
      <c r="G260" s="59">
        <f aca="true" t="shared" si="20" ref="G260:G265">G279+G297+G313+G329</f>
        <v>148667.5126756929</v>
      </c>
      <c r="I260" s="69">
        <v>14.74</v>
      </c>
      <c r="J260" s="16"/>
      <c r="K260" s="66">
        <f>ROUND(I260*$E260,0)</f>
        <v>2019807</v>
      </c>
      <c r="M260" s="66">
        <f>ROUND(I260*$G260,0)</f>
        <v>2191359</v>
      </c>
      <c r="O260" s="69">
        <v>15</v>
      </c>
      <c r="P260" s="16"/>
      <c r="Q260" s="66">
        <f>ROUND(O260*$G260,0)</f>
        <v>2230013</v>
      </c>
      <c r="AG260" s="60"/>
      <c r="AH260" s="60"/>
      <c r="AU260" s="69">
        <v>14.74</v>
      </c>
      <c r="AV260" s="16"/>
      <c r="AW260" s="66">
        <f>ROUND(AU260*$E260,0)</f>
        <v>2019807</v>
      </c>
      <c r="AX260" s="66" t="s">
        <v>87</v>
      </c>
      <c r="AY260" s="58">
        <v>6</v>
      </c>
    </row>
    <row r="261" spans="1:51" ht="15.75">
      <c r="A261" s="57">
        <f t="shared" si="18"/>
        <v>259</v>
      </c>
      <c r="B261" s="64" t="s">
        <v>126</v>
      </c>
      <c r="E261" s="59">
        <f t="shared" si="19"/>
        <v>6344351</v>
      </c>
      <c r="G261" s="59">
        <f t="shared" si="20"/>
        <v>7047638.268491923</v>
      </c>
      <c r="I261" s="69">
        <v>10.66</v>
      </c>
      <c r="J261" s="16"/>
      <c r="K261" s="66">
        <f>ROUND(I261*$E261,0)</f>
        <v>67630782</v>
      </c>
      <c r="M261" s="66">
        <f>ROUND(I261*$G261,0)</f>
        <v>75127824</v>
      </c>
      <c r="O261" s="69">
        <v>12.76</v>
      </c>
      <c r="P261" s="16"/>
      <c r="Q261" s="66">
        <f>ROUND(O261*$G261,0)</f>
        <v>89927864</v>
      </c>
      <c r="R261" s="69">
        <f>ROUND(O261*$S$273/$S$271*2,2)</f>
        <v>0</v>
      </c>
      <c r="S261" s="68"/>
      <c r="T261" s="70">
        <v>0.1017774092367596</v>
      </c>
      <c r="U261" s="69">
        <f>ROUND(O261*(1+$T$261),2)</f>
        <v>14.06</v>
      </c>
      <c r="V261" s="16"/>
      <c r="W261" s="60">
        <f>O261/I261-1</f>
        <v>0.19699812382739212</v>
      </c>
      <c r="X261" s="113"/>
      <c r="Y261" s="60"/>
      <c r="Z261" s="60"/>
      <c r="AA261" s="60"/>
      <c r="AB261" s="60"/>
      <c r="AC261" s="60"/>
      <c r="AD261" s="60"/>
      <c r="AE261" s="60"/>
      <c r="AG261" s="60"/>
      <c r="AH261" s="60"/>
      <c r="AU261" s="69">
        <v>8.1</v>
      </c>
      <c r="AV261" s="16"/>
      <c r="AW261" s="66">
        <f>ROUND(AU261*$E261,0)</f>
        <v>51389243</v>
      </c>
      <c r="AX261" s="66" t="s">
        <v>87</v>
      </c>
      <c r="AY261" s="58">
        <v>6</v>
      </c>
    </row>
    <row r="262" spans="1:51" ht="15.75">
      <c r="A262" s="57">
        <f t="shared" si="18"/>
        <v>260</v>
      </c>
      <c r="B262" s="64" t="s">
        <v>127</v>
      </c>
      <c r="E262" s="59">
        <f t="shared" si="19"/>
        <v>7823093</v>
      </c>
      <c r="G262" s="59">
        <f t="shared" si="20"/>
        <v>8690302.539183483</v>
      </c>
      <c r="I262" s="69">
        <v>8.56</v>
      </c>
      <c r="J262" s="16"/>
      <c r="K262" s="66">
        <f>ROUND(I262*$E262,0)</f>
        <v>66965676</v>
      </c>
      <c r="M262" s="66">
        <f>ROUND(I262*$G262,0)</f>
        <v>74388990</v>
      </c>
      <c r="O262" s="69">
        <v>10.24</v>
      </c>
      <c r="P262" s="16"/>
      <c r="Q262" s="66">
        <f>ROUND(O262*$G262,0)</f>
        <v>88988698</v>
      </c>
      <c r="R262" s="69">
        <f>ROUND(O262*$S$273/$S$271*2,2)</f>
        <v>0</v>
      </c>
      <c r="S262" s="68"/>
      <c r="T262" s="70"/>
      <c r="U262" s="69">
        <f>ROUND(O262*(1+$T$261),2)</f>
        <v>11.28</v>
      </c>
      <c r="V262" s="16"/>
      <c r="W262" s="60">
        <f>O262/I262-1</f>
        <v>0.19626168224299056</v>
      </c>
      <c r="X262" s="113"/>
      <c r="Y262" s="60"/>
      <c r="Z262" s="60"/>
      <c r="AA262" s="60"/>
      <c r="AB262" s="60"/>
      <c r="AC262" s="60"/>
      <c r="AD262" s="60"/>
      <c r="AE262" s="60"/>
      <c r="AG262" s="60"/>
      <c r="AH262" s="60"/>
      <c r="AU262" s="69">
        <f>AU261</f>
        <v>8.1</v>
      </c>
      <c r="AV262" s="16"/>
      <c r="AW262" s="66">
        <f>ROUND(AU262*$E262,0)</f>
        <v>63367053</v>
      </c>
      <c r="AX262" s="66" t="s">
        <v>87</v>
      </c>
      <c r="AY262" s="58">
        <v>6</v>
      </c>
    </row>
    <row r="263" spans="1:51" ht="15.75">
      <c r="A263" s="57">
        <f t="shared" si="18"/>
        <v>261</v>
      </c>
      <c r="B263" s="64" t="s">
        <v>93</v>
      </c>
      <c r="E263" s="59">
        <f t="shared" si="19"/>
        <v>413247</v>
      </c>
      <c r="G263" s="59">
        <f t="shared" si="20"/>
        <v>459056.4695332085</v>
      </c>
      <c r="I263" s="69">
        <v>-0.54</v>
      </c>
      <c r="J263" s="16"/>
      <c r="K263" s="66">
        <f>ROUND(I263*$E263,0)</f>
        <v>-223153</v>
      </c>
      <c r="M263" s="66">
        <f>ROUND(I263*$G263,0)</f>
        <v>-247890</v>
      </c>
      <c r="O263" s="69">
        <v>-0.66</v>
      </c>
      <c r="P263" s="16"/>
      <c r="Q263" s="66">
        <f>ROUND(O263*$G263,0)</f>
        <v>-302977</v>
      </c>
      <c r="R263" s="69">
        <f>ROUND(O263*$S$273/$S$271*2,2)</f>
        <v>0</v>
      </c>
      <c r="T263" s="70"/>
      <c r="U263" s="69">
        <f>ROUND(O263*(1+$T$261),2)</f>
        <v>-0.73</v>
      </c>
      <c r="V263" s="16"/>
      <c r="W263" s="60">
        <f>O263/I263-1</f>
        <v>0.2222222222222221</v>
      </c>
      <c r="X263" s="60"/>
      <c r="Y263" s="60"/>
      <c r="Z263" s="60"/>
      <c r="AA263" s="60"/>
      <c r="AB263" s="60"/>
      <c r="AC263" s="60"/>
      <c r="AD263" s="60"/>
      <c r="AE263" s="60"/>
      <c r="AG263" s="60"/>
      <c r="AH263" s="60"/>
      <c r="AU263" s="69">
        <v>-0.54</v>
      </c>
      <c r="AV263" s="16"/>
      <c r="AW263" s="66">
        <f>ROUND(AU263*$E263,0)</f>
        <v>-223153</v>
      </c>
      <c r="AX263" s="66" t="s">
        <v>87</v>
      </c>
      <c r="AY263" s="58">
        <v>6</v>
      </c>
    </row>
    <row r="264" spans="1:51" ht="15.75">
      <c r="A264" s="57">
        <f t="shared" si="18"/>
        <v>262</v>
      </c>
      <c r="B264" s="64" t="s">
        <v>128</v>
      </c>
      <c r="E264" s="59">
        <f t="shared" si="19"/>
        <v>2195750662</v>
      </c>
      <c r="G264" s="59">
        <f t="shared" si="20"/>
        <v>2352634176.7281857</v>
      </c>
      <c r="I264" s="19"/>
      <c r="J264" s="94">
        <v>2.7737</v>
      </c>
      <c r="K264" s="66">
        <f>ROUND(J264*$E264/100,0)</f>
        <v>60903536</v>
      </c>
      <c r="M264" s="66">
        <f>ROUND(J264*$G264/100,0)</f>
        <v>65255014</v>
      </c>
      <c r="O264" s="19"/>
      <c r="P264" s="94">
        <v>2.574</v>
      </c>
      <c r="Q264" s="66">
        <f>ROUND(P264*$G264/100,0)</f>
        <v>60556804</v>
      </c>
      <c r="S264" s="68">
        <f>ROUND(P264*$S$273/$S$271,4)</f>
        <v>0</v>
      </c>
      <c r="T264" s="70"/>
      <c r="U264" s="19"/>
      <c r="V264" s="94">
        <f>ROUND(P264*(1+$T$261),2)</f>
        <v>2.84</v>
      </c>
      <c r="W264" s="60">
        <f>P264/J264-1</f>
        <v>-0.07199769261275557</v>
      </c>
      <c r="Y264" s="60"/>
      <c r="Z264" s="60"/>
      <c r="AA264" s="60"/>
      <c r="AB264" s="60"/>
      <c r="AC264" s="60"/>
      <c r="AD264" s="60"/>
      <c r="AE264" s="60"/>
      <c r="AG264" s="60"/>
      <c r="AH264" s="60"/>
      <c r="AU264" s="19"/>
      <c r="AV264" s="94">
        <v>2.7737</v>
      </c>
      <c r="AW264" s="66">
        <f>ROUND(AV264*$E264/100,0)</f>
        <v>60903536</v>
      </c>
      <c r="AX264" s="66" t="s">
        <v>87</v>
      </c>
      <c r="AY264" s="58">
        <v>6</v>
      </c>
    </row>
    <row r="265" spans="1:51" ht="15.75">
      <c r="A265" s="57">
        <f t="shared" si="18"/>
        <v>263</v>
      </c>
      <c r="B265" s="64" t="s">
        <v>129</v>
      </c>
      <c r="E265" s="59">
        <f t="shared" si="19"/>
        <v>2708821132</v>
      </c>
      <c r="G265" s="59">
        <f t="shared" si="20"/>
        <v>2996241540.1964273</v>
      </c>
      <c r="I265" s="19"/>
      <c r="J265" s="94">
        <v>2.7737</v>
      </c>
      <c r="K265" s="66">
        <f>ROUND(J265*$E265/100,0)</f>
        <v>75134572</v>
      </c>
      <c r="M265" s="66">
        <f>ROUND(J265*$G265/100,0)</f>
        <v>83106752</v>
      </c>
      <c r="O265" s="19"/>
      <c r="P265" s="94">
        <f>P264</f>
        <v>2.574</v>
      </c>
      <c r="Q265" s="66">
        <f>ROUND(P265*$G265/100,0)</f>
        <v>77123257</v>
      </c>
      <c r="S265" s="68"/>
      <c r="T265" s="70"/>
      <c r="U265" s="70"/>
      <c r="V265" s="17"/>
      <c r="W265" s="60"/>
      <c r="X265" s="60"/>
      <c r="Y265" s="60"/>
      <c r="Z265" s="60"/>
      <c r="AA265" s="60"/>
      <c r="AB265" s="60"/>
      <c r="AC265" s="60"/>
      <c r="AD265" s="60"/>
      <c r="AE265" s="60"/>
      <c r="AG265" s="60"/>
      <c r="AH265" s="60"/>
      <c r="AU265" s="19"/>
      <c r="AV265" s="94">
        <f>AV264</f>
        <v>2.7737</v>
      </c>
      <c r="AW265" s="66">
        <f>ROUND(AV265*$E265/100,0)</f>
        <v>75134572</v>
      </c>
      <c r="AX265" s="66" t="s">
        <v>87</v>
      </c>
      <c r="AY265" s="58">
        <v>6</v>
      </c>
    </row>
    <row r="266" spans="1:51" ht="15.75">
      <c r="A266" s="57">
        <f t="shared" si="18"/>
        <v>264</v>
      </c>
      <c r="B266" s="64" t="s">
        <v>130</v>
      </c>
      <c r="E266" s="17">
        <v>-77887000</v>
      </c>
      <c r="G266" s="17">
        <v>0</v>
      </c>
      <c r="I266" s="19"/>
      <c r="J266" s="20">
        <f>K266/E266*100</f>
        <v>2.7737000012839115</v>
      </c>
      <c r="K266" s="66">
        <v>-2160351.72</v>
      </c>
      <c r="M266" s="66">
        <f>ROUND(J266*$G266/100,0)</f>
        <v>0</v>
      </c>
      <c r="O266" s="19"/>
      <c r="P266" s="28"/>
      <c r="Q266" s="66">
        <f>M266</f>
        <v>0</v>
      </c>
      <c r="W266" s="60"/>
      <c r="X266" s="60"/>
      <c r="Y266" s="60"/>
      <c r="Z266" s="60"/>
      <c r="AA266" s="60"/>
      <c r="AB266" s="60"/>
      <c r="AC266" s="60"/>
      <c r="AD266" s="60"/>
      <c r="AE266" s="60"/>
      <c r="AG266" s="60"/>
      <c r="AH266" s="60"/>
      <c r="AU266" s="19"/>
      <c r="AV266" s="20">
        <f>AW266/E266*100</f>
        <v>2.7737000012839115</v>
      </c>
      <c r="AW266" s="66">
        <v>-2160351.72</v>
      </c>
      <c r="AX266" s="66" t="s">
        <v>99</v>
      </c>
      <c r="AY266" s="58">
        <v>6</v>
      </c>
    </row>
    <row r="267" spans="1:51" ht="15.75">
      <c r="A267" s="57">
        <f t="shared" si="18"/>
        <v>265</v>
      </c>
      <c r="B267" s="64" t="s">
        <v>131</v>
      </c>
      <c r="E267" s="17">
        <v>-11576000</v>
      </c>
      <c r="G267" s="17">
        <v>0</v>
      </c>
      <c r="I267" s="19"/>
      <c r="J267" s="20">
        <f>K267/E267*100</f>
        <v>2.7737000691085005</v>
      </c>
      <c r="K267" s="66">
        <v>-321083.52</v>
      </c>
      <c r="M267" s="66">
        <f>ROUND(J267*$G267/100,0)</f>
        <v>0</v>
      </c>
      <c r="O267" s="19"/>
      <c r="P267" s="28"/>
      <c r="Q267" s="66">
        <f>M267</f>
        <v>0</v>
      </c>
      <c r="W267" s="60"/>
      <c r="X267" s="60"/>
      <c r="Y267" s="60"/>
      <c r="Z267" s="60"/>
      <c r="AA267" s="60"/>
      <c r="AB267" s="60"/>
      <c r="AC267" s="60"/>
      <c r="AD267" s="60"/>
      <c r="AE267" s="60"/>
      <c r="AG267" s="60"/>
      <c r="AH267" s="60"/>
      <c r="AU267" s="19"/>
      <c r="AV267" s="20">
        <f>AW267/E267*100</f>
        <v>2.7737000691085005</v>
      </c>
      <c r="AW267" s="66">
        <v>-321083.52</v>
      </c>
      <c r="AX267" s="66" t="s">
        <v>99</v>
      </c>
      <c r="AY267" s="58">
        <v>6</v>
      </c>
    </row>
    <row r="268" spans="1:51" ht="15.75">
      <c r="A268" s="57">
        <f t="shared" si="18"/>
        <v>266</v>
      </c>
      <c r="B268" s="64" t="s">
        <v>102</v>
      </c>
      <c r="E268" s="59">
        <f>E285+E303+E319+E335</f>
        <v>0</v>
      </c>
      <c r="G268" s="59">
        <f>G285+G303+G319+G335</f>
        <v>0</v>
      </c>
      <c r="I268" s="69">
        <v>176.88</v>
      </c>
      <c r="J268" s="16"/>
      <c r="K268" s="66">
        <f>ROUND(I268*$E268,0)</f>
        <v>0</v>
      </c>
      <c r="M268" s="66">
        <f>ROUND(I268*$G268,0)</f>
        <v>0</v>
      </c>
      <c r="O268" s="69">
        <f>O260*12</f>
        <v>180</v>
      </c>
      <c r="P268" s="16"/>
      <c r="Q268" s="66">
        <f>ROUND(O268*$G268,0)</f>
        <v>0</v>
      </c>
      <c r="S268" s="68"/>
      <c r="T268" s="70"/>
      <c r="U268" s="66"/>
      <c r="V268" s="17"/>
      <c r="W268" s="60"/>
      <c r="X268" s="60"/>
      <c r="Y268" s="60"/>
      <c r="Z268" s="60"/>
      <c r="AA268" s="60"/>
      <c r="AB268" s="60"/>
      <c r="AC268" s="60"/>
      <c r="AD268" s="60"/>
      <c r="AE268" s="60"/>
      <c r="AG268" s="60"/>
      <c r="AH268" s="60"/>
      <c r="AU268" s="69">
        <v>176.88</v>
      </c>
      <c r="AV268" s="16"/>
      <c r="AW268" s="66">
        <f>ROUND(AU268*$E268,0)</f>
        <v>0</v>
      </c>
      <c r="AX268" s="66" t="s">
        <v>87</v>
      </c>
      <c r="AY268" s="58">
        <v>6</v>
      </c>
    </row>
    <row r="269" spans="1:51" ht="15.75">
      <c r="A269" s="57">
        <f t="shared" si="18"/>
        <v>267</v>
      </c>
      <c r="B269" s="64" t="s">
        <v>103</v>
      </c>
      <c r="E269" s="59">
        <v>0</v>
      </c>
      <c r="G269" s="59">
        <v>0</v>
      </c>
      <c r="I269" s="69">
        <v>176.88</v>
      </c>
      <c r="J269" s="16"/>
      <c r="K269" s="66">
        <f>ROUND(I269*$E269,0)</f>
        <v>0</v>
      </c>
      <c r="M269" s="66">
        <f>ROUND(I269*$G269,0)</f>
        <v>0</v>
      </c>
      <c r="O269" s="69">
        <f>O268</f>
        <v>180</v>
      </c>
      <c r="P269" s="16"/>
      <c r="Q269" s="66">
        <f>ROUND(O269*$G269,0)</f>
        <v>0</v>
      </c>
      <c r="S269" s="68"/>
      <c r="T269" s="70"/>
      <c r="U269" s="66"/>
      <c r="V269" s="17"/>
      <c r="W269" s="60"/>
      <c r="X269" s="60"/>
      <c r="Y269" s="60"/>
      <c r="Z269" s="60"/>
      <c r="AA269" s="60"/>
      <c r="AB269" s="60"/>
      <c r="AC269" s="60"/>
      <c r="AD269" s="60"/>
      <c r="AE269" s="60"/>
      <c r="AG269" s="60"/>
      <c r="AH269" s="60"/>
      <c r="AU269" s="69">
        <v>176.88</v>
      </c>
      <c r="AV269" s="16"/>
      <c r="AW269" s="66">
        <f>ROUND(AU269*$E269,0)</f>
        <v>0</v>
      </c>
      <c r="AX269" s="66" t="s">
        <v>87</v>
      </c>
      <c r="AY269" s="58">
        <v>6</v>
      </c>
    </row>
    <row r="270" spans="1:51" ht="15.75">
      <c r="A270" s="57">
        <f t="shared" si="18"/>
        <v>268</v>
      </c>
      <c r="B270" s="64" t="s">
        <v>57</v>
      </c>
      <c r="E270" s="22">
        <f>E286+E304+E336+E320</f>
        <v>7370297</v>
      </c>
      <c r="G270" s="22">
        <f>G286+G304+G336+G320</f>
        <v>0</v>
      </c>
      <c r="I270" s="76"/>
      <c r="K270" s="81">
        <f>AW270</f>
        <v>642126.5999163375</v>
      </c>
      <c r="M270" s="81">
        <v>0</v>
      </c>
      <c r="O270" s="76"/>
      <c r="Q270" s="81">
        <v>0</v>
      </c>
      <c r="R270" s="60"/>
      <c r="S270" s="60"/>
      <c r="U270" s="66"/>
      <c r="V270" s="17"/>
      <c r="W270" s="60"/>
      <c r="X270" s="60"/>
      <c r="Y270" s="60"/>
      <c r="Z270" s="60"/>
      <c r="AA270" s="60"/>
      <c r="AB270" s="60"/>
      <c r="AC270" s="60"/>
      <c r="AD270" s="60"/>
      <c r="AE270" s="60"/>
      <c r="AG270" s="60"/>
      <c r="AH270" s="60"/>
      <c r="AU270" s="76"/>
      <c r="AW270" s="81">
        <f>AW286+AW304+AW336+AW320</f>
        <v>642126.5999163375</v>
      </c>
      <c r="AX270" s="66" t="s">
        <v>87</v>
      </c>
      <c r="AY270" s="58">
        <v>6</v>
      </c>
    </row>
    <row r="271" spans="1:51" ht="16.5" thickBot="1">
      <c r="A271" s="57">
        <f t="shared" si="18"/>
        <v>269</v>
      </c>
      <c r="B271" s="64" t="s">
        <v>58</v>
      </c>
      <c r="E271" s="99">
        <f>E264+E266+E270+E265+E267</f>
        <v>4822479091</v>
      </c>
      <c r="G271" s="99">
        <v>5348875716.924614</v>
      </c>
      <c r="I271" s="96"/>
      <c r="J271" s="96"/>
      <c r="K271" s="97">
        <f>SUM(K260:K270)</f>
        <v>270591911.3599163</v>
      </c>
      <c r="M271" s="97">
        <f>SUM(M260:M270)</f>
        <v>299822049</v>
      </c>
      <c r="O271" s="96"/>
      <c r="P271" s="96"/>
      <c r="Q271" s="97">
        <f>SUM(Q260:Q270)</f>
        <v>318523659</v>
      </c>
      <c r="R271" s="85" t="s">
        <v>59</v>
      </c>
      <c r="S271" s="86">
        <f>Q271+Q405+Q422</f>
        <v>319111271</v>
      </c>
      <c r="U271" s="66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G271" s="60"/>
      <c r="AH271" s="60"/>
      <c r="AU271" s="96"/>
      <c r="AV271" s="96"/>
      <c r="AW271" s="97">
        <f>SUM(AW260:AW270)</f>
        <v>250751749.35991633</v>
      </c>
      <c r="AX271" s="66" t="s">
        <v>87</v>
      </c>
      <c r="AY271" s="58">
        <v>6</v>
      </c>
    </row>
    <row r="272" spans="1:51" ht="16.5" thickTop="1">
      <c r="A272" s="57">
        <f t="shared" si="18"/>
        <v>270</v>
      </c>
      <c r="B272" s="64" t="s">
        <v>60</v>
      </c>
      <c r="E272" s="59"/>
      <c r="G272" s="59"/>
      <c r="I272" s="76"/>
      <c r="J272" s="26">
        <v>0</v>
      </c>
      <c r="K272" s="81">
        <f>ROUND(SUM(K261:K267)*J272,0)</f>
        <v>0</v>
      </c>
      <c r="M272" s="81">
        <f>ROUND(SUM(M261:M267)*J272,0)</f>
        <v>0</v>
      </c>
      <c r="O272" s="76"/>
      <c r="P272" s="26">
        <v>0</v>
      </c>
      <c r="Q272" s="81">
        <f>ROUND(SUM(Q261:Q267)*P272,0)</f>
        <v>0</v>
      </c>
      <c r="R272" s="88" t="s">
        <v>61</v>
      </c>
      <c r="S272" s="89">
        <v>319113588.661926</v>
      </c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G272" s="60"/>
      <c r="AH272" s="60"/>
      <c r="AU272" s="76"/>
      <c r="AV272" s="26">
        <v>0.0353</v>
      </c>
      <c r="AW272" s="81">
        <f>ROUND(SUM(AW261:AW267)*AV272,0)</f>
        <v>8757570</v>
      </c>
      <c r="AX272" s="66" t="s">
        <v>87</v>
      </c>
      <c r="AY272" s="58">
        <v>6</v>
      </c>
    </row>
    <row r="273" spans="1:51" ht="15.75">
      <c r="A273" s="57">
        <f t="shared" si="18"/>
        <v>271</v>
      </c>
      <c r="B273" s="64" t="s">
        <v>62</v>
      </c>
      <c r="E273" s="59"/>
      <c r="G273" s="59"/>
      <c r="I273" s="76"/>
      <c r="J273" s="26">
        <v>0.03</v>
      </c>
      <c r="K273" s="81">
        <f>ROUND(SUM(K261:K267,K272)*J273,0)</f>
        <v>8037899</v>
      </c>
      <c r="M273" s="81">
        <f>ROUND(SUM(M261:M267,M272)*J273,0)</f>
        <v>8928921</v>
      </c>
      <c r="O273" s="76"/>
      <c r="P273" s="26">
        <v>0.03</v>
      </c>
      <c r="Q273" s="81">
        <f>ROUND(SUM(Q261:Q267,Q272)*P273,0)</f>
        <v>9488809</v>
      </c>
      <c r="R273" s="90" t="s">
        <v>515</v>
      </c>
      <c r="S273" s="91">
        <f>S272-S271</f>
        <v>2317.661925971508</v>
      </c>
      <c r="U273" s="66"/>
      <c r="V273" s="60"/>
      <c r="W273" s="60"/>
      <c r="AG273" s="60"/>
      <c r="AH273" s="60"/>
      <c r="AU273" s="76"/>
      <c r="AV273" s="26"/>
      <c r="AW273" s="81">
        <f>ROUND(SUM(AW261:AW267,AW272)*AV273,0)</f>
        <v>0</v>
      </c>
      <c r="AX273" s="66" t="s">
        <v>87</v>
      </c>
      <c r="AY273" s="58">
        <v>6</v>
      </c>
    </row>
    <row r="274" spans="1:51" ht="15.75">
      <c r="A274" s="57">
        <f t="shared" si="18"/>
        <v>272</v>
      </c>
      <c r="E274" s="59"/>
      <c r="G274" s="59"/>
      <c r="R274" s="55"/>
      <c r="W274" s="60"/>
      <c r="X274" s="60"/>
      <c r="Y274" s="60"/>
      <c r="Z274" s="60"/>
      <c r="AA274" s="60"/>
      <c r="AB274" s="60"/>
      <c r="AC274" s="60"/>
      <c r="AD274" s="60"/>
      <c r="AE274" s="60"/>
      <c r="AG274" s="60"/>
      <c r="AH274" s="60"/>
      <c r="AX274" s="66" t="s">
        <v>87</v>
      </c>
      <c r="AY274" s="58">
        <v>6</v>
      </c>
    </row>
    <row r="275" spans="1:51" ht="15.75">
      <c r="A275" s="57">
        <f t="shared" si="18"/>
        <v>273</v>
      </c>
      <c r="B275" s="64" t="s">
        <v>124</v>
      </c>
      <c r="E275" s="59"/>
      <c r="G275" s="59"/>
      <c r="T275" s="60"/>
      <c r="U275" s="60"/>
      <c r="W275" s="60"/>
      <c r="X275" s="60"/>
      <c r="Y275" s="60"/>
      <c r="Z275" s="60"/>
      <c r="AA275" s="60"/>
      <c r="AB275" s="60"/>
      <c r="AC275" s="60"/>
      <c r="AD275" s="60"/>
      <c r="AE275" s="60"/>
      <c r="AG275" s="60"/>
      <c r="AH275" s="60"/>
      <c r="AX275" s="66" t="s">
        <v>99</v>
      </c>
      <c r="AY275" s="58">
        <v>6</v>
      </c>
    </row>
    <row r="276" spans="1:51" ht="15.75">
      <c r="A276" s="57">
        <f t="shared" si="18"/>
        <v>274</v>
      </c>
      <c r="B276" s="64" t="s">
        <v>125</v>
      </c>
      <c r="E276" s="59"/>
      <c r="G276" s="59"/>
      <c r="T276" s="60"/>
      <c r="U276" s="60"/>
      <c r="W276" s="60"/>
      <c r="X276" s="60"/>
      <c r="Y276" s="60"/>
      <c r="Z276" s="60"/>
      <c r="AA276" s="60"/>
      <c r="AB276" s="60"/>
      <c r="AC276" s="60"/>
      <c r="AD276" s="60"/>
      <c r="AE276" s="60"/>
      <c r="AG276" s="60"/>
      <c r="AH276" s="60"/>
      <c r="AX276" s="66" t="s">
        <v>99</v>
      </c>
      <c r="AY276" s="58">
        <v>6</v>
      </c>
    </row>
    <row r="277" spans="1:51" ht="15.75">
      <c r="A277" s="57">
        <f t="shared" si="18"/>
        <v>275</v>
      </c>
      <c r="B277" s="103" t="s">
        <v>105</v>
      </c>
      <c r="E277" s="59"/>
      <c r="G277" s="59"/>
      <c r="AG277" s="60"/>
      <c r="AH277" s="60"/>
      <c r="AX277" s="66" t="s">
        <v>99</v>
      </c>
      <c r="AY277" s="58">
        <v>6</v>
      </c>
    </row>
    <row r="278" spans="1:51" ht="15.75">
      <c r="A278" s="57">
        <f t="shared" si="18"/>
        <v>276</v>
      </c>
      <c r="B278" s="98" t="s">
        <v>132</v>
      </c>
      <c r="E278" s="59"/>
      <c r="G278" s="59"/>
      <c r="AG278" s="60"/>
      <c r="AH278" s="60"/>
      <c r="AX278" s="66" t="s">
        <v>99</v>
      </c>
      <c r="AY278" s="58">
        <v>6</v>
      </c>
    </row>
    <row r="279" spans="1:51" ht="15.75">
      <c r="A279" s="57">
        <f t="shared" si="18"/>
        <v>277</v>
      </c>
      <c r="B279" s="64" t="s">
        <v>44</v>
      </c>
      <c r="E279" s="59">
        <f>120318+142+915+3-1263-66</f>
        <v>120049</v>
      </c>
      <c r="G279" s="59">
        <v>130245.32200632172</v>
      </c>
      <c r="I279" s="76">
        <f>I260</f>
        <v>14.74</v>
      </c>
      <c r="K279" s="66">
        <f>ROUND(I279*$E279,0)</f>
        <v>1769522</v>
      </c>
      <c r="M279" s="66">
        <f>ROUND(I279*$G279,0)</f>
        <v>1919816</v>
      </c>
      <c r="O279" s="76">
        <f>O260</f>
        <v>15</v>
      </c>
      <c r="Q279" s="66">
        <f>ROUND(O279*$G279,0)</f>
        <v>1953680</v>
      </c>
      <c r="R279" s="27" t="s">
        <v>107</v>
      </c>
      <c r="AG279" s="60"/>
      <c r="AH279" s="60"/>
      <c r="AU279" s="76">
        <f>AU260</f>
        <v>14.74</v>
      </c>
      <c r="AW279" s="66">
        <f>ROUND(AU279*$E279,0)</f>
        <v>1769522</v>
      </c>
      <c r="AX279" s="66" t="s">
        <v>99</v>
      </c>
      <c r="AY279" s="58">
        <v>6</v>
      </c>
    </row>
    <row r="280" spans="1:51" ht="15.75">
      <c r="A280" s="57">
        <f t="shared" si="18"/>
        <v>278</v>
      </c>
      <c r="B280" s="64" t="s">
        <v>126</v>
      </c>
      <c r="E280" s="59">
        <f>6040567+73338+2798+5-787793-67450</f>
        <v>5261465</v>
      </c>
      <c r="G280" s="59">
        <f>E280*($G$287-$G$286)/($E$287-$E$286+$E$266+$E$267)</f>
        <v>5844711.631233968</v>
      </c>
      <c r="I280" s="76">
        <f>I261</f>
        <v>10.66</v>
      </c>
      <c r="K280" s="66">
        <f>ROUND(I280*$E280,0)</f>
        <v>56087217</v>
      </c>
      <c r="M280" s="66">
        <f>ROUND(I280*$G280,0)</f>
        <v>62304626</v>
      </c>
      <c r="O280" s="76">
        <f>O261</f>
        <v>12.76</v>
      </c>
      <c r="Q280" s="66">
        <f>ROUND(O280*$G280,0)</f>
        <v>74578520</v>
      </c>
      <c r="R280" s="69">
        <f>ROUND((M$261+M$262)/2/G261,2)</f>
        <v>10.61</v>
      </c>
      <c r="AG280" s="60"/>
      <c r="AH280" s="60"/>
      <c r="AU280" s="76">
        <f>AU261</f>
        <v>8.1</v>
      </c>
      <c r="AW280" s="66">
        <f>ROUND(AU280*$E280,0)</f>
        <v>42617867</v>
      </c>
      <c r="AX280" s="66" t="s">
        <v>99</v>
      </c>
      <c r="AY280" s="58">
        <v>6</v>
      </c>
    </row>
    <row r="281" spans="1:51" ht="15.75">
      <c r="A281" s="57">
        <f t="shared" si="18"/>
        <v>279</v>
      </c>
      <c r="B281" s="64" t="s">
        <v>127</v>
      </c>
      <c r="E281" s="59">
        <f>7417161+89618+12120+14-(1748279+151047-787793-67450)</f>
        <v>6474830</v>
      </c>
      <c r="G281" s="59">
        <f>E281*($G$287-$G$286)/($E$287-$E$286+$E$266+$E$267)</f>
        <v>7192581.193880911</v>
      </c>
      <c r="I281" s="76">
        <f>I262</f>
        <v>8.56</v>
      </c>
      <c r="K281" s="66">
        <f>ROUND(I281*$E281,0)</f>
        <v>55424545</v>
      </c>
      <c r="M281" s="66">
        <f>ROUND(I281*$G281,0)</f>
        <v>61568495</v>
      </c>
      <c r="O281" s="76">
        <f>O262</f>
        <v>10.24</v>
      </c>
      <c r="Q281" s="66">
        <f>ROUND(O281*$G281,0)</f>
        <v>73652031</v>
      </c>
      <c r="R281" s="69">
        <f>ROUND((M$261+M$262)/2/G262,2)</f>
        <v>8.6</v>
      </c>
      <c r="AG281" s="60"/>
      <c r="AH281" s="60"/>
      <c r="AU281" s="76">
        <f>AU262</f>
        <v>8.1</v>
      </c>
      <c r="AW281" s="66">
        <f>ROUND(AU281*$E281,0)</f>
        <v>52446123</v>
      </c>
      <c r="AX281" s="66" t="s">
        <v>99</v>
      </c>
      <c r="AY281" s="58">
        <v>6</v>
      </c>
    </row>
    <row r="282" spans="1:51" ht="15.75">
      <c r="A282" s="57">
        <f t="shared" si="18"/>
        <v>280</v>
      </c>
      <c r="B282" s="64" t="s">
        <v>93</v>
      </c>
      <c r="E282" s="59">
        <f>872992+13183+24-646403</f>
        <v>239796</v>
      </c>
      <c r="G282" s="59">
        <f>E282*($G$287-$G$286)/($E$287-$E$286+$E$266+$E$267)</f>
        <v>266377.9898418749</v>
      </c>
      <c r="I282" s="76">
        <f>I263</f>
        <v>-0.54</v>
      </c>
      <c r="K282" s="66">
        <f>ROUND(I282*$E282,0)</f>
        <v>-129490</v>
      </c>
      <c r="M282" s="66">
        <f>ROUND(I282*$G282,0)</f>
        <v>-143844</v>
      </c>
      <c r="O282" s="76">
        <f>O263</f>
        <v>-0.66</v>
      </c>
      <c r="Q282" s="66">
        <f>ROUND(O282*$G282,0)</f>
        <v>-175809</v>
      </c>
      <c r="R282" s="69">
        <f>I263</f>
        <v>-0.54</v>
      </c>
      <c r="AG282" s="60"/>
      <c r="AH282" s="60"/>
      <c r="AU282" s="76">
        <f>AU263</f>
        <v>-0.54</v>
      </c>
      <c r="AW282" s="66">
        <f>ROUND(AU282*$E282,0)</f>
        <v>-129490</v>
      </c>
      <c r="AX282" s="66" t="s">
        <v>99</v>
      </c>
      <c r="AY282" s="58">
        <v>6</v>
      </c>
    </row>
    <row r="283" spans="1:51" ht="15.75">
      <c r="A283" s="57">
        <f t="shared" si="18"/>
        <v>281</v>
      </c>
      <c r="B283" s="64" t="s">
        <v>128</v>
      </c>
      <c r="E283" s="59">
        <f>2200977859+30166777+1099191+1860-351220754-27918150</f>
        <v>1853106783</v>
      </c>
      <c r="G283" s="59">
        <f>(E283+$E$266)*($G$287-$G$286+$G$266+$G$267)/($E$287-$E$286+$E$266+$E$267)</f>
        <v>1972007361.770294</v>
      </c>
      <c r="I283" s="76"/>
      <c r="J283" s="93">
        <f>J264</f>
        <v>2.7737</v>
      </c>
      <c r="K283" s="66">
        <f>ROUND(J283*$E283/100,0)</f>
        <v>51399623</v>
      </c>
      <c r="M283" s="66">
        <f>ROUND(J283*$G283/100,0)</f>
        <v>54697568</v>
      </c>
      <c r="O283" s="76"/>
      <c r="P283" s="93">
        <f>P264</f>
        <v>2.574</v>
      </c>
      <c r="Q283" s="66">
        <f>ROUND(P283*$G283/100,0)</f>
        <v>50759469</v>
      </c>
      <c r="S283" s="68">
        <f>ROUND((SUM(M$264:M$265)/2)*100/SUM(G264,G266),4)</f>
        <v>3.1531</v>
      </c>
      <c r="AG283" s="60"/>
      <c r="AH283" s="60"/>
      <c r="AU283" s="76"/>
      <c r="AV283" s="93">
        <f>AV264</f>
        <v>2.7737</v>
      </c>
      <c r="AW283" s="66">
        <f>ROUND(AV283*$E283/100,0)</f>
        <v>51399623</v>
      </c>
      <c r="AX283" s="66" t="s">
        <v>99</v>
      </c>
      <c r="AY283" s="58">
        <v>6</v>
      </c>
    </row>
    <row r="284" spans="1:51" ht="15.75">
      <c r="A284" s="57">
        <f t="shared" si="18"/>
        <v>282</v>
      </c>
      <c r="B284" s="64" t="s">
        <v>129</v>
      </c>
      <c r="E284" s="59">
        <f>2732989503+38704704+5346694+2160-(790538686+63872150-351220754-27918150)</f>
        <v>2301771129</v>
      </c>
      <c r="G284" s="59">
        <f>(E284+$E$267)*($G$287-$G$286+$G$266+$G$267)/($E$287-$E$286+$E$266+$E$267)</f>
        <v>2544069020.3701205</v>
      </c>
      <c r="I284" s="76"/>
      <c r="J284" s="93">
        <f>J265</f>
        <v>2.7737</v>
      </c>
      <c r="K284" s="66">
        <f>ROUND(J284*$E284/100,0)</f>
        <v>63844226</v>
      </c>
      <c r="M284" s="66">
        <f>ROUND(J284*$G284/100,0)</f>
        <v>70564842</v>
      </c>
      <c r="O284" s="76"/>
      <c r="P284" s="93">
        <f>P265</f>
        <v>2.574</v>
      </c>
      <c r="Q284" s="66">
        <f>ROUND(P284*$G284/100,0)</f>
        <v>65484337</v>
      </c>
      <c r="R284" s="69"/>
      <c r="S284" s="68">
        <f>ROUND((SUM(M$264:M$265)/2)*100/SUM(G265,G267),4)</f>
        <v>2.4758</v>
      </c>
      <c r="AG284" s="60"/>
      <c r="AH284" s="60"/>
      <c r="AU284" s="76"/>
      <c r="AV284" s="93">
        <f>AV265</f>
        <v>2.7737</v>
      </c>
      <c r="AW284" s="66">
        <f>ROUND(AV284*$E284/100,0)</f>
        <v>63844226</v>
      </c>
      <c r="AX284" s="66" t="s">
        <v>99</v>
      </c>
      <c r="AY284" s="58">
        <v>6</v>
      </c>
    </row>
    <row r="285" spans="1:51" ht="15.75">
      <c r="A285" s="57">
        <f t="shared" si="18"/>
        <v>283</v>
      </c>
      <c r="B285" s="64" t="s">
        <v>102</v>
      </c>
      <c r="E285" s="71">
        <v>0</v>
      </c>
      <c r="G285" s="59">
        <f>E285*($G$287-$G$286)/($E$287-$E$286+$E$266+$E$267)</f>
        <v>0</v>
      </c>
      <c r="I285" s="76">
        <f>I268</f>
        <v>176.88</v>
      </c>
      <c r="K285" s="77">
        <f>ROUND(I285*$E285,0)</f>
        <v>0</v>
      </c>
      <c r="M285" s="66">
        <f>ROUND(I285*$G285,0)</f>
        <v>0</v>
      </c>
      <c r="O285" s="76">
        <f>O268</f>
        <v>180</v>
      </c>
      <c r="Q285" s="66">
        <f>ROUND(O285*$G285,0)</f>
        <v>0</v>
      </c>
      <c r="S285" s="68"/>
      <c r="AG285" s="60"/>
      <c r="AH285" s="60"/>
      <c r="AU285" s="76">
        <f>AU268</f>
        <v>176.88</v>
      </c>
      <c r="AW285" s="77">
        <f>ROUND(AU285*$E285,0)</f>
        <v>0</v>
      </c>
      <c r="AX285" s="66" t="s">
        <v>99</v>
      </c>
      <c r="AY285" s="58">
        <v>6</v>
      </c>
    </row>
    <row r="286" spans="1:51" ht="15.75">
      <c r="A286" s="57">
        <f t="shared" si="18"/>
        <v>284</v>
      </c>
      <c r="B286" s="64" t="s">
        <v>57</v>
      </c>
      <c r="E286" s="22">
        <v>10123109</v>
      </c>
      <c r="G286" s="22">
        <v>0</v>
      </c>
      <c r="I286" s="76"/>
      <c r="K286" s="81">
        <f>AW286</f>
        <v>709699.5999163375</v>
      </c>
      <c r="M286" s="81">
        <v>0</v>
      </c>
      <c r="O286" s="76"/>
      <c r="Q286" s="81">
        <v>0</v>
      </c>
      <c r="S286" s="68"/>
      <c r="AG286" s="60"/>
      <c r="AH286" s="60"/>
      <c r="AU286" s="76"/>
      <c r="AW286" s="81">
        <v>709699.5999163375</v>
      </c>
      <c r="AX286" s="66" t="s">
        <v>99</v>
      </c>
      <c r="AY286" s="58">
        <v>6</v>
      </c>
    </row>
    <row r="287" spans="1:51" ht="16.5" thickBot="1">
      <c r="A287" s="57">
        <f t="shared" si="18"/>
        <v>285</v>
      </c>
      <c r="B287" s="64" t="s">
        <v>58</v>
      </c>
      <c r="E287" s="99">
        <f>E283+E286+E284</f>
        <v>4165001021</v>
      </c>
      <c r="G287" s="99">
        <v>4516076382.140414</v>
      </c>
      <c r="I287" s="96"/>
      <c r="J287" s="96"/>
      <c r="K287" s="97">
        <f>SUM(K279:K286)</f>
        <v>229105342.59991634</v>
      </c>
      <c r="M287" s="97">
        <f>SUM(M279:M286)</f>
        <v>250911503</v>
      </c>
      <c r="O287" s="96"/>
      <c r="P287" s="96"/>
      <c r="Q287" s="97">
        <f>SUM(Q279:Q286)</f>
        <v>266252228</v>
      </c>
      <c r="AG287" s="60"/>
      <c r="AH287" s="60"/>
      <c r="AU287" s="96"/>
      <c r="AV287" s="96"/>
      <c r="AW287" s="97">
        <f>SUM(AW279:AW286)</f>
        <v>212657570.59991634</v>
      </c>
      <c r="AX287" s="66" t="s">
        <v>99</v>
      </c>
      <c r="AY287" s="58">
        <v>6</v>
      </c>
    </row>
    <row r="288" spans="1:51" ht="16.5" thickTop="1">
      <c r="A288" s="57">
        <f t="shared" si="18"/>
        <v>286</v>
      </c>
      <c r="B288" s="64" t="s">
        <v>60</v>
      </c>
      <c r="E288" s="59"/>
      <c r="G288" s="59"/>
      <c r="I288" s="76"/>
      <c r="J288" s="26">
        <f>J272</f>
        <v>0</v>
      </c>
      <c r="K288" s="81">
        <f>ROUND(SUM(K280:K284)*J288,0)</f>
        <v>0</v>
      </c>
      <c r="M288" s="81">
        <f>ROUND(SUM(M280:M284)*J288,0)</f>
        <v>0</v>
      </c>
      <c r="O288" s="76"/>
      <c r="P288" s="26">
        <f>P272</f>
        <v>0</v>
      </c>
      <c r="Q288" s="81">
        <f>ROUND(SUM(Q280:Q284)*P288,0)</f>
        <v>0</v>
      </c>
      <c r="AG288" s="60"/>
      <c r="AH288" s="60"/>
      <c r="AU288" s="76"/>
      <c r="AV288" s="26">
        <f>AV272</f>
        <v>0.0353</v>
      </c>
      <c r="AW288" s="81">
        <f>ROUND(SUM(AW280:AW284)*AV288,0)</f>
        <v>7419296</v>
      </c>
      <c r="AX288" s="66" t="s">
        <v>99</v>
      </c>
      <c r="AY288" s="58">
        <v>6</v>
      </c>
    </row>
    <row r="289" spans="1:51" ht="15.75">
      <c r="A289" s="57">
        <f t="shared" si="18"/>
        <v>287</v>
      </c>
      <c r="B289" s="64" t="s">
        <v>62</v>
      </c>
      <c r="E289" s="59"/>
      <c r="G289" s="59"/>
      <c r="I289" s="76"/>
      <c r="J289" s="26">
        <f>J273</f>
        <v>0.03</v>
      </c>
      <c r="K289" s="81">
        <f>ROUND(SUM(K280:K284,K288)*J289,0)</f>
        <v>6798784</v>
      </c>
      <c r="M289" s="81">
        <f>ROUND(SUM(M280:M284,M288)*J289,0)</f>
        <v>7469751</v>
      </c>
      <c r="O289" s="76"/>
      <c r="P289" s="26">
        <f>P273</f>
        <v>0.03</v>
      </c>
      <c r="Q289" s="81">
        <f>ROUND(SUM(Q280:Q284,Q288)*P289,0)</f>
        <v>7928956</v>
      </c>
      <c r="S289" s="60"/>
      <c r="T289" s="60"/>
      <c r="U289" s="60"/>
      <c r="V289" s="60"/>
      <c r="AG289" s="60"/>
      <c r="AH289" s="60"/>
      <c r="AU289" s="76"/>
      <c r="AV289" s="26">
        <f>AV273</f>
        <v>0</v>
      </c>
      <c r="AW289" s="81">
        <f>ROUND(SUM(AW280:AW284,AW288)*AV289,0)</f>
        <v>0</v>
      </c>
      <c r="AX289" s="66" t="s">
        <v>99</v>
      </c>
      <c r="AY289" s="58">
        <v>6</v>
      </c>
    </row>
    <row r="290" spans="1:51" ht="15.75">
      <c r="A290" s="57">
        <f t="shared" si="18"/>
        <v>288</v>
      </c>
      <c r="AG290" s="60"/>
      <c r="AH290" s="60"/>
      <c r="AX290" s="66" t="s">
        <v>99</v>
      </c>
      <c r="AY290" s="58">
        <v>6</v>
      </c>
    </row>
    <row r="291" spans="1:51" ht="15.75">
      <c r="A291" s="57">
        <f t="shared" si="18"/>
        <v>289</v>
      </c>
      <c r="AG291" s="60"/>
      <c r="AH291" s="60"/>
      <c r="AX291" s="66" t="s">
        <v>99</v>
      </c>
      <c r="AY291" s="58">
        <v>6</v>
      </c>
    </row>
    <row r="292" spans="1:51" ht="15.75">
      <c r="A292" s="57">
        <f t="shared" si="18"/>
        <v>290</v>
      </c>
      <c r="AG292" s="60"/>
      <c r="AH292" s="60"/>
      <c r="AX292" s="66" t="s">
        <v>99</v>
      </c>
      <c r="AY292" s="58">
        <v>6</v>
      </c>
    </row>
    <row r="293" spans="1:51" ht="15.75">
      <c r="A293" s="57">
        <f t="shared" si="18"/>
        <v>291</v>
      </c>
      <c r="B293" s="64" t="s">
        <v>124</v>
      </c>
      <c r="E293" s="59"/>
      <c r="G293" s="59"/>
      <c r="AG293" s="60"/>
      <c r="AH293" s="60"/>
      <c r="AX293" s="66" t="s">
        <v>108</v>
      </c>
      <c r="AY293" s="58">
        <v>6</v>
      </c>
    </row>
    <row r="294" spans="1:51" ht="15.75">
      <c r="A294" s="57">
        <f t="shared" si="18"/>
        <v>292</v>
      </c>
      <c r="B294" s="64" t="s">
        <v>125</v>
      </c>
      <c r="E294" s="59"/>
      <c r="G294" s="59"/>
      <c r="AG294" s="60"/>
      <c r="AH294" s="60"/>
      <c r="AX294" s="66" t="s">
        <v>108</v>
      </c>
      <c r="AY294" s="58">
        <v>6</v>
      </c>
    </row>
    <row r="295" spans="1:51" ht="15.75">
      <c r="A295" s="57">
        <f t="shared" si="18"/>
        <v>293</v>
      </c>
      <c r="B295" s="103" t="s">
        <v>109</v>
      </c>
      <c r="E295" s="59"/>
      <c r="G295" s="59"/>
      <c r="AG295" s="60"/>
      <c r="AH295" s="60"/>
      <c r="AX295" s="66" t="s">
        <v>108</v>
      </c>
      <c r="AY295" s="58">
        <v>6</v>
      </c>
    </row>
    <row r="296" spans="1:51" ht="15.75">
      <c r="A296" s="57">
        <f t="shared" si="18"/>
        <v>294</v>
      </c>
      <c r="B296" s="98" t="s">
        <v>133</v>
      </c>
      <c r="E296" s="59"/>
      <c r="G296" s="59"/>
      <c r="AG296" s="60"/>
      <c r="AH296" s="60"/>
      <c r="AX296" s="66" t="s">
        <v>108</v>
      </c>
      <c r="AY296" s="58">
        <v>6</v>
      </c>
    </row>
    <row r="297" spans="1:51" ht="15.75">
      <c r="A297" s="57">
        <f t="shared" si="18"/>
        <v>295</v>
      </c>
      <c r="B297" s="64" t="s">
        <v>44</v>
      </c>
      <c r="E297" s="59">
        <f>17763+130+122+4-1053-48</f>
        <v>16918</v>
      </c>
      <c r="G297" s="59">
        <v>18354.92471993062</v>
      </c>
      <c r="I297" s="76">
        <f>I260</f>
        <v>14.74</v>
      </c>
      <c r="K297" s="66">
        <f>ROUND(I297*$E297,0)</f>
        <v>249371</v>
      </c>
      <c r="M297" s="66">
        <f>ROUND(I297*$G297,0)</f>
        <v>270552</v>
      </c>
      <c r="O297" s="76">
        <f>O260</f>
        <v>15</v>
      </c>
      <c r="Q297" s="66">
        <f>ROUND(O297*$G297,0)</f>
        <v>275324</v>
      </c>
      <c r="AG297" s="60"/>
      <c r="AH297" s="60"/>
      <c r="AU297" s="76">
        <f>AU260</f>
        <v>14.74</v>
      </c>
      <c r="AW297" s="66">
        <f>ROUND(AU297*$E297,0)</f>
        <v>249371</v>
      </c>
      <c r="AX297" s="66" t="s">
        <v>108</v>
      </c>
      <c r="AY297" s="58">
        <v>6</v>
      </c>
    </row>
    <row r="298" spans="1:51" ht="15.75">
      <c r="A298" s="57">
        <f t="shared" si="18"/>
        <v>296</v>
      </c>
      <c r="B298" s="64" t="s">
        <v>126</v>
      </c>
      <c r="E298" s="59">
        <f>1849618+46172+585+18-782020-38455</f>
        <v>1075918</v>
      </c>
      <c r="G298" s="59">
        <f>E298*($G$305-$G$304)/($E$305-$E$304)</f>
        <v>1195186.2169289326</v>
      </c>
      <c r="I298" s="76">
        <f>I261</f>
        <v>10.66</v>
      </c>
      <c r="K298" s="66">
        <f>ROUND(I298*$E298,0)</f>
        <v>11469286</v>
      </c>
      <c r="M298" s="66">
        <f>ROUND(I298*$G298,0)</f>
        <v>12740685</v>
      </c>
      <c r="O298" s="76">
        <f>O261</f>
        <v>12.76</v>
      </c>
      <c r="Q298" s="66">
        <f>ROUND(O298*$G298,0)</f>
        <v>15250576</v>
      </c>
      <c r="AG298" s="60"/>
      <c r="AH298" s="60"/>
      <c r="AU298" s="76">
        <f>AU261</f>
        <v>8.1</v>
      </c>
      <c r="AW298" s="66">
        <f>ROUND(AU298*$E298,0)</f>
        <v>8714936</v>
      </c>
      <c r="AX298" s="66" t="s">
        <v>108</v>
      </c>
      <c r="AY298" s="58">
        <v>6</v>
      </c>
    </row>
    <row r="299" spans="1:51" ht="15.75">
      <c r="A299" s="57">
        <f t="shared" si="18"/>
        <v>297</v>
      </c>
      <c r="B299" s="64" t="s">
        <v>127</v>
      </c>
      <c r="E299" s="59">
        <f>2366413+65336+905+84-(1821513+91897-782020-38455)</f>
        <v>1339803</v>
      </c>
      <c r="G299" s="59">
        <f>E299*($G$305-$G$304)/($E$305-$E$304)</f>
        <v>1488323.5330202067</v>
      </c>
      <c r="I299" s="76">
        <f>I262</f>
        <v>8.56</v>
      </c>
      <c r="K299" s="66">
        <f>ROUND(I299*$E299,0)</f>
        <v>11468714</v>
      </c>
      <c r="M299" s="66">
        <f>ROUND(I299*$G299,0)</f>
        <v>12740049</v>
      </c>
      <c r="O299" s="76">
        <f>O262</f>
        <v>10.24</v>
      </c>
      <c r="Q299" s="66">
        <f>ROUND(O299*$G299,0)</f>
        <v>15240433</v>
      </c>
      <c r="AG299" s="60"/>
      <c r="AH299" s="60"/>
      <c r="AU299" s="76">
        <f>AU262</f>
        <v>8.1</v>
      </c>
      <c r="AW299" s="66">
        <f>ROUND(AU299*$E299,0)</f>
        <v>10852404</v>
      </c>
      <c r="AX299" s="66" t="s">
        <v>108</v>
      </c>
      <c r="AY299" s="58">
        <v>6</v>
      </c>
    </row>
    <row r="300" spans="1:51" ht="15.75">
      <c r="A300" s="57">
        <f aca="true" t="shared" si="21" ref="A300:A363">A299+1</f>
        <v>298</v>
      </c>
      <c r="B300" s="64" t="s">
        <v>93</v>
      </c>
      <c r="E300" s="59">
        <f>908382-734931</f>
        <v>173451</v>
      </c>
      <c r="G300" s="59">
        <f>E300*($G$305-$G$304)/($E$305-$E$304)</f>
        <v>192678.47969133363</v>
      </c>
      <c r="I300" s="76">
        <f>I263</f>
        <v>-0.54</v>
      </c>
      <c r="K300" s="66">
        <f>ROUND(I300*$E300,0)</f>
        <v>-93664</v>
      </c>
      <c r="M300" s="66">
        <f>ROUND(I300*$G300,0)</f>
        <v>-104046</v>
      </c>
      <c r="O300" s="76">
        <f>O263</f>
        <v>-0.66</v>
      </c>
      <c r="Q300" s="66">
        <f>ROUND(O300*$G300,0)</f>
        <v>-127168</v>
      </c>
      <c r="AG300" s="60"/>
      <c r="AH300" s="60"/>
      <c r="AU300" s="76">
        <f>AU263</f>
        <v>-0.54</v>
      </c>
      <c r="AW300" s="66">
        <f>ROUND(AU300*$E300,0)</f>
        <v>-93664</v>
      </c>
      <c r="AX300" s="66" t="s">
        <v>108</v>
      </c>
      <c r="AY300" s="58">
        <v>6</v>
      </c>
    </row>
    <row r="301" spans="1:51" ht="15.75">
      <c r="A301" s="57">
        <f t="shared" si="21"/>
        <v>299</v>
      </c>
      <c r="B301" s="64" t="s">
        <v>128</v>
      </c>
      <c r="E301" s="59">
        <f>673414049+18833753+215824+879-336967584-15413424</f>
        <v>340083497</v>
      </c>
      <c r="G301" s="59">
        <f>E301*($G$305-$G$304)/($E$305-$E$304)</f>
        <v>377782608.1721767</v>
      </c>
      <c r="I301" s="76"/>
      <c r="J301" s="93">
        <f>J264</f>
        <v>2.7737</v>
      </c>
      <c r="K301" s="66">
        <f>ROUND(J301*$E301/100,0)</f>
        <v>9432896</v>
      </c>
      <c r="M301" s="66">
        <f>ROUND(J301*$G301/100,0)</f>
        <v>10478556</v>
      </c>
      <c r="O301" s="76"/>
      <c r="P301" s="93">
        <f>P264</f>
        <v>2.574</v>
      </c>
      <c r="Q301" s="66">
        <f>ROUND(P301*$G301/100,0)</f>
        <v>9724124</v>
      </c>
      <c r="AG301" s="60"/>
      <c r="AH301" s="60"/>
      <c r="AU301" s="76"/>
      <c r="AV301" s="93">
        <f>AV264</f>
        <v>2.7737</v>
      </c>
      <c r="AW301" s="66">
        <f>ROUND(AV301*$E301/100,0)</f>
        <v>9432896</v>
      </c>
      <c r="AX301" s="66" t="s">
        <v>108</v>
      </c>
      <c r="AY301" s="58">
        <v>6</v>
      </c>
    </row>
    <row r="302" spans="1:51" ht="15.75">
      <c r="A302" s="57">
        <f t="shared" si="21"/>
        <v>300</v>
      </c>
      <c r="B302" s="64" t="s">
        <v>129</v>
      </c>
      <c r="E302" s="59">
        <f>847021974+26805250+390502+4938-(785759694+36980066-336967584-15413424)</f>
        <v>403863912</v>
      </c>
      <c r="G302" s="59">
        <f>E302*($G$305-$G$304)/($E$305-$E$304)</f>
        <v>448633242.6238796</v>
      </c>
      <c r="I302" s="76"/>
      <c r="J302" s="93">
        <f>J265</f>
        <v>2.7737</v>
      </c>
      <c r="K302" s="66">
        <f>ROUND(J302*$E302/100,0)</f>
        <v>11201973</v>
      </c>
      <c r="M302" s="66">
        <f>ROUND(J302*$G302/100,0)</f>
        <v>12443740</v>
      </c>
      <c r="O302" s="76"/>
      <c r="P302" s="93">
        <f>P265</f>
        <v>2.574</v>
      </c>
      <c r="Q302" s="66">
        <f>ROUND(P302*$G302/100,0)</f>
        <v>11547820</v>
      </c>
      <c r="AG302" s="60"/>
      <c r="AH302" s="60"/>
      <c r="AU302" s="76"/>
      <c r="AV302" s="93">
        <f>AV265</f>
        <v>2.7737</v>
      </c>
      <c r="AW302" s="66">
        <f>ROUND(AV302*$E302/100,0)</f>
        <v>11201973</v>
      </c>
      <c r="AX302" s="66" t="s">
        <v>108</v>
      </c>
      <c r="AY302" s="58">
        <v>6</v>
      </c>
    </row>
    <row r="303" spans="1:51" ht="15.75">
      <c r="A303" s="57">
        <f t="shared" si="21"/>
        <v>301</v>
      </c>
      <c r="B303" s="64" t="s">
        <v>102</v>
      </c>
      <c r="E303" s="71">
        <v>0</v>
      </c>
      <c r="G303" s="59">
        <f>E303*G297/E297</f>
        <v>0</v>
      </c>
      <c r="I303" s="76">
        <f>I285</f>
        <v>176.88</v>
      </c>
      <c r="K303" s="77">
        <f>ROUND(I303*$E303,0)</f>
        <v>0</v>
      </c>
      <c r="M303" s="66">
        <f>ROUND(I303*$G303,0)</f>
        <v>0</v>
      </c>
      <c r="O303" s="76">
        <f>O285</f>
        <v>180</v>
      </c>
      <c r="Q303" s="77">
        <f>ROUND(O303*$G303,0)</f>
        <v>0</v>
      </c>
      <c r="AG303" s="60"/>
      <c r="AH303" s="60"/>
      <c r="AU303" s="76">
        <f>AU285</f>
        <v>176.88</v>
      </c>
      <c r="AW303" s="77">
        <f>ROUND(AU303*$E303,0)</f>
        <v>0</v>
      </c>
      <c r="AX303" s="66" t="s">
        <v>108</v>
      </c>
      <c r="AY303" s="58">
        <v>6</v>
      </c>
    </row>
    <row r="304" spans="1:51" ht="15.75">
      <c r="A304" s="57">
        <f t="shared" si="21"/>
        <v>302</v>
      </c>
      <c r="B304" s="64" t="s">
        <v>57</v>
      </c>
      <c r="E304" s="22">
        <v>-2841268</v>
      </c>
      <c r="G304" s="22">
        <v>0</v>
      </c>
      <c r="I304" s="76"/>
      <c r="K304" s="81">
        <f>AW304</f>
        <v>-70163</v>
      </c>
      <c r="M304" s="81">
        <v>0</v>
      </c>
      <c r="O304" s="76"/>
      <c r="Q304" s="81">
        <v>0</v>
      </c>
      <c r="AG304" s="60"/>
      <c r="AH304" s="60"/>
      <c r="AU304" s="76"/>
      <c r="AW304" s="81">
        <v>-70163</v>
      </c>
      <c r="AX304" s="66" t="s">
        <v>108</v>
      </c>
      <c r="AY304" s="58">
        <v>6</v>
      </c>
    </row>
    <row r="305" spans="1:51" ht="16.5" thickBot="1">
      <c r="A305" s="57">
        <f t="shared" si="21"/>
        <v>303</v>
      </c>
      <c r="B305" s="64" t="s">
        <v>58</v>
      </c>
      <c r="E305" s="99">
        <f>E301+E304+E302</f>
        <v>741106141</v>
      </c>
      <c r="G305" s="99">
        <v>826415850.7960564</v>
      </c>
      <c r="I305" s="96"/>
      <c r="J305" s="96"/>
      <c r="K305" s="97">
        <f>SUM(K297:K304)</f>
        <v>43658413</v>
      </c>
      <c r="M305" s="97">
        <f>SUM(M297:M304)</f>
        <v>48569536</v>
      </c>
      <c r="O305" s="96"/>
      <c r="P305" s="96"/>
      <c r="Q305" s="97">
        <f>SUM(Q297:Q304)</f>
        <v>51911109</v>
      </c>
      <c r="AG305" s="60"/>
      <c r="AH305" s="60"/>
      <c r="AU305" s="96"/>
      <c r="AV305" s="96"/>
      <c r="AW305" s="97">
        <f>SUM(AW297:AW304)</f>
        <v>40287753</v>
      </c>
      <c r="AX305" s="66" t="s">
        <v>108</v>
      </c>
      <c r="AY305" s="58">
        <v>6</v>
      </c>
    </row>
    <row r="306" spans="1:51" ht="16.5" thickTop="1">
      <c r="A306" s="57">
        <f t="shared" si="21"/>
        <v>304</v>
      </c>
      <c r="B306" s="64" t="s">
        <v>60</v>
      </c>
      <c r="E306" s="59"/>
      <c r="G306" s="59"/>
      <c r="I306" s="76"/>
      <c r="J306" s="26">
        <f>J288</f>
        <v>0</v>
      </c>
      <c r="K306" s="81">
        <f>ROUND(SUM(K298:K302)*J306,0)</f>
        <v>0</v>
      </c>
      <c r="M306" s="81">
        <f>ROUND(SUM(M298:M302)*J306,0)</f>
        <v>0</v>
      </c>
      <c r="O306" s="76"/>
      <c r="P306" s="26">
        <f>P272</f>
        <v>0</v>
      </c>
      <c r="Q306" s="81">
        <f>ROUND(SUM(Q298:Q302)*P306,0)</f>
        <v>0</v>
      </c>
      <c r="AG306" s="60"/>
      <c r="AH306" s="60"/>
      <c r="AU306" s="76"/>
      <c r="AV306" s="26">
        <f>AV288</f>
        <v>0.0353</v>
      </c>
      <c r="AW306" s="81">
        <f>ROUND(SUM(AW298:AW302)*AV306,0)</f>
        <v>1415832</v>
      </c>
      <c r="AX306" s="66" t="s">
        <v>108</v>
      </c>
      <c r="AY306" s="58">
        <v>6</v>
      </c>
    </row>
    <row r="307" spans="1:51" ht="15.75">
      <c r="A307" s="57">
        <f t="shared" si="21"/>
        <v>305</v>
      </c>
      <c r="B307" s="64" t="s">
        <v>62</v>
      </c>
      <c r="E307" s="59"/>
      <c r="G307" s="59"/>
      <c r="I307" s="76"/>
      <c r="J307" s="26">
        <f>J289</f>
        <v>0.03</v>
      </c>
      <c r="K307" s="81">
        <f>ROUND(SUM(K298:K303,K306)*J307,0)</f>
        <v>1304376</v>
      </c>
      <c r="M307" s="81">
        <f>ROUND(SUM(M298:M303,M306)*J307,0)</f>
        <v>1448970</v>
      </c>
      <c r="O307" s="76"/>
      <c r="P307" s="26">
        <f>P273</f>
        <v>0.03</v>
      </c>
      <c r="Q307" s="81">
        <f>ROUND(SUM(Q298:Q302,Q306)*P307,0)</f>
        <v>1549074</v>
      </c>
      <c r="S307" s="60"/>
      <c r="T307" s="60"/>
      <c r="U307" s="60"/>
      <c r="V307" s="60"/>
      <c r="AG307" s="60"/>
      <c r="AH307" s="60"/>
      <c r="AU307" s="76"/>
      <c r="AV307" s="26">
        <f>AV289</f>
        <v>0</v>
      </c>
      <c r="AW307" s="81">
        <f>ROUND(SUM(AW298:AW302,AW306)*AV307,0)</f>
        <v>0</v>
      </c>
      <c r="AX307" s="66" t="s">
        <v>108</v>
      </c>
      <c r="AY307" s="58">
        <v>6</v>
      </c>
    </row>
    <row r="308" spans="1:51" ht="15.75">
      <c r="A308" s="57">
        <f t="shared" si="21"/>
        <v>306</v>
      </c>
      <c r="E308" s="59"/>
      <c r="G308" s="59"/>
      <c r="AG308" s="60"/>
      <c r="AH308" s="60"/>
      <c r="AX308" s="66" t="s">
        <v>108</v>
      </c>
      <c r="AY308" s="58">
        <v>6</v>
      </c>
    </row>
    <row r="309" spans="1:51" ht="15.75">
      <c r="A309" s="57">
        <f t="shared" si="21"/>
        <v>307</v>
      </c>
      <c r="B309" s="64" t="s">
        <v>124</v>
      </c>
      <c r="E309" s="59"/>
      <c r="G309" s="59"/>
      <c r="AG309" s="60"/>
      <c r="AH309" s="60"/>
      <c r="AX309" s="66" t="s">
        <v>114</v>
      </c>
      <c r="AY309" s="58">
        <v>6</v>
      </c>
    </row>
    <row r="310" spans="1:51" ht="15.75">
      <c r="A310" s="57">
        <f t="shared" si="21"/>
        <v>308</v>
      </c>
      <c r="B310" s="64" t="s">
        <v>125</v>
      </c>
      <c r="E310" s="59"/>
      <c r="G310" s="59"/>
      <c r="AG310" s="60"/>
      <c r="AH310" s="60"/>
      <c r="AX310" s="66" t="s">
        <v>114</v>
      </c>
      <c r="AY310" s="58">
        <v>6</v>
      </c>
    </row>
    <row r="311" spans="1:51" ht="15.75">
      <c r="A311" s="57">
        <f t="shared" si="21"/>
        <v>309</v>
      </c>
      <c r="B311" s="103" t="s">
        <v>115</v>
      </c>
      <c r="E311" s="59"/>
      <c r="G311" s="59"/>
      <c r="AG311" s="60"/>
      <c r="AH311" s="60"/>
      <c r="AX311" s="66" t="s">
        <v>114</v>
      </c>
      <c r="AY311" s="58">
        <v>6</v>
      </c>
    </row>
    <row r="312" spans="1:51" ht="15.75">
      <c r="A312" s="57">
        <f t="shared" si="21"/>
        <v>310</v>
      </c>
      <c r="B312" s="98" t="s">
        <v>134</v>
      </c>
      <c r="E312" s="59"/>
      <c r="G312" s="59"/>
      <c r="AG312" s="60"/>
      <c r="AH312" s="60"/>
      <c r="AX312" s="66" t="s">
        <v>114</v>
      </c>
      <c r="AY312" s="58">
        <v>6</v>
      </c>
    </row>
    <row r="313" spans="1:51" ht="15.75">
      <c r="A313" s="57">
        <f t="shared" si="21"/>
        <v>311</v>
      </c>
      <c r="B313" s="64" t="s">
        <v>44</v>
      </c>
      <c r="E313" s="59">
        <v>2</v>
      </c>
      <c r="G313" s="59">
        <v>2.1698693367928383</v>
      </c>
      <c r="I313" s="76">
        <f>I260</f>
        <v>14.74</v>
      </c>
      <c r="K313" s="66">
        <f>ROUND(I313*$E313,0)</f>
        <v>29</v>
      </c>
      <c r="M313" s="66">
        <f>ROUND(I313*$G313,0)</f>
        <v>32</v>
      </c>
      <c r="O313" s="76">
        <f>O260</f>
        <v>15</v>
      </c>
      <c r="Q313" s="66">
        <f>ROUND(O313*$G313,0)</f>
        <v>33</v>
      </c>
      <c r="AG313" s="60"/>
      <c r="AH313" s="60"/>
      <c r="AU313" s="76">
        <f>AU260</f>
        <v>14.74</v>
      </c>
      <c r="AW313" s="66">
        <f>ROUND(AU313*$E313,0)</f>
        <v>29</v>
      </c>
      <c r="AX313" s="66" t="s">
        <v>114</v>
      </c>
      <c r="AY313" s="58">
        <v>6</v>
      </c>
    </row>
    <row r="314" spans="1:51" ht="15.75">
      <c r="A314" s="57">
        <f t="shared" si="21"/>
        <v>312</v>
      </c>
      <c r="B314" s="64" t="s">
        <v>126</v>
      </c>
      <c r="E314" s="59">
        <v>168</v>
      </c>
      <c r="G314" s="59">
        <f>E314*($G$321-$G$320)/($E$321-$E$320)</f>
        <v>186.62322262854667</v>
      </c>
      <c r="I314" s="76">
        <f>I261</f>
        <v>10.66</v>
      </c>
      <c r="K314" s="66">
        <f>ROUND(I314*$E314,0)</f>
        <v>1791</v>
      </c>
      <c r="M314" s="66">
        <f>ROUND(I314*$G314,0)</f>
        <v>1989</v>
      </c>
      <c r="O314" s="76">
        <f>O261</f>
        <v>12.76</v>
      </c>
      <c r="Q314" s="66">
        <f>ROUND(O314*$G314,0)</f>
        <v>2381</v>
      </c>
      <c r="AG314" s="60"/>
      <c r="AH314" s="60"/>
      <c r="AU314" s="76">
        <f>AU261</f>
        <v>8.1</v>
      </c>
      <c r="AW314" s="66">
        <f>ROUND(AU314*$E314,0)</f>
        <v>1361</v>
      </c>
      <c r="AX314" s="66" t="s">
        <v>114</v>
      </c>
      <c r="AY314" s="58">
        <v>6</v>
      </c>
    </row>
    <row r="315" spans="1:51" ht="15.75">
      <c r="A315" s="57">
        <f t="shared" si="21"/>
        <v>313</v>
      </c>
      <c r="B315" s="64" t="s">
        <v>127</v>
      </c>
      <c r="E315" s="59">
        <v>159</v>
      </c>
      <c r="G315" s="59">
        <f>E315*($G$321-$G$320)/($E$321-$E$320)</f>
        <v>176.6255499877317</v>
      </c>
      <c r="I315" s="76">
        <f>I262</f>
        <v>8.56</v>
      </c>
      <c r="K315" s="66">
        <f>ROUND(I315*$E315,0)</f>
        <v>1361</v>
      </c>
      <c r="M315" s="66">
        <f>ROUND(I315*$G315,0)</f>
        <v>1512</v>
      </c>
      <c r="O315" s="76">
        <f>O262</f>
        <v>10.24</v>
      </c>
      <c r="Q315" s="66">
        <f>ROUND(O315*$G315,0)</f>
        <v>1809</v>
      </c>
      <c r="AG315" s="60"/>
      <c r="AH315" s="60"/>
      <c r="AU315" s="76">
        <f>AU262</f>
        <v>8.1</v>
      </c>
      <c r="AW315" s="66">
        <f>ROUND(AU315*$E315,0)</f>
        <v>1288</v>
      </c>
      <c r="AX315" s="66" t="s">
        <v>114</v>
      </c>
      <c r="AY315" s="58">
        <v>6</v>
      </c>
    </row>
    <row r="316" spans="1:51" ht="15.75">
      <c r="A316" s="57">
        <f t="shared" si="21"/>
        <v>314</v>
      </c>
      <c r="B316" s="64" t="s">
        <v>93</v>
      </c>
      <c r="E316" s="59">
        <v>0</v>
      </c>
      <c r="G316" s="59">
        <f>E316*($G$321-$G$320)/($E$321-$E$320)</f>
        <v>0</v>
      </c>
      <c r="I316" s="76">
        <f>I263</f>
        <v>-0.54</v>
      </c>
      <c r="K316" s="66">
        <f>ROUND(I316*$E316,0)</f>
        <v>0</v>
      </c>
      <c r="M316" s="66">
        <f>ROUND(I316*$G316,0)</f>
        <v>0</v>
      </c>
      <c r="O316" s="76">
        <f>O263</f>
        <v>-0.66</v>
      </c>
      <c r="Q316" s="66">
        <f>ROUND(O316*$G316,0)</f>
        <v>0</v>
      </c>
      <c r="AG316" s="60"/>
      <c r="AH316" s="60"/>
      <c r="AU316" s="76">
        <f>AU263</f>
        <v>-0.54</v>
      </c>
      <c r="AW316" s="66">
        <f>ROUND(AU316*$E316,0)</f>
        <v>0</v>
      </c>
      <c r="AX316" s="66" t="s">
        <v>114</v>
      </c>
      <c r="AY316" s="58">
        <v>6</v>
      </c>
    </row>
    <row r="317" spans="1:51" ht="15.75">
      <c r="A317" s="57">
        <f t="shared" si="21"/>
        <v>315</v>
      </c>
      <c r="B317" s="64" t="s">
        <v>128</v>
      </c>
      <c r="E317" s="59">
        <v>13840</v>
      </c>
      <c r="G317" s="59">
        <f>E317*($G$321-$G$320)/($E$321-$E$320)</f>
        <v>15374.198816542179</v>
      </c>
      <c r="I317" s="76"/>
      <c r="J317" s="93">
        <f>J264</f>
        <v>2.7737</v>
      </c>
      <c r="K317" s="66">
        <f>ROUND(J317*$E317/100,0)</f>
        <v>384</v>
      </c>
      <c r="M317" s="66">
        <f>ROUND(J317*$G317/100,0)</f>
        <v>426</v>
      </c>
      <c r="O317" s="76"/>
      <c r="P317" s="93">
        <f>P264</f>
        <v>2.574</v>
      </c>
      <c r="Q317" s="66">
        <f>ROUND(P317*$G317/100,0)</f>
        <v>396</v>
      </c>
      <c r="AG317" s="60"/>
      <c r="AH317" s="60"/>
      <c r="AU317" s="76"/>
      <c r="AV317" s="93">
        <f>AV264</f>
        <v>2.7737</v>
      </c>
      <c r="AW317" s="66">
        <f>ROUND(AV317*$E317/100,0)</f>
        <v>384</v>
      </c>
      <c r="AX317" s="66" t="s">
        <v>114</v>
      </c>
      <c r="AY317" s="58">
        <v>6</v>
      </c>
    </row>
    <row r="318" spans="1:51" ht="15.75">
      <c r="A318" s="57">
        <f t="shared" si="21"/>
        <v>316</v>
      </c>
      <c r="B318" s="64" t="s">
        <v>129</v>
      </c>
      <c r="E318" s="59">
        <v>7520</v>
      </c>
      <c r="G318" s="59">
        <f>E318*($G$321-$G$320)/($E$321-$E$320)</f>
        <v>8353.610917658756</v>
      </c>
      <c r="I318" s="76"/>
      <c r="J318" s="93">
        <f>J265</f>
        <v>2.7737</v>
      </c>
      <c r="K318" s="66">
        <f>ROUND(J318*$E318/100,0)</f>
        <v>209</v>
      </c>
      <c r="M318" s="66">
        <f>ROUND(J318*$G318/100,0)</f>
        <v>232</v>
      </c>
      <c r="O318" s="76"/>
      <c r="P318" s="93">
        <f>P265</f>
        <v>2.574</v>
      </c>
      <c r="Q318" s="66">
        <f>ROUND(P318*$G318/100,0)</f>
        <v>215</v>
      </c>
      <c r="AG318" s="60"/>
      <c r="AH318" s="60"/>
      <c r="AU318" s="76"/>
      <c r="AV318" s="93">
        <f>AV265</f>
        <v>2.7737</v>
      </c>
      <c r="AW318" s="66">
        <f>ROUND(AV318*$E318/100,0)</f>
        <v>209</v>
      </c>
      <c r="AX318" s="66" t="s">
        <v>114</v>
      </c>
      <c r="AY318" s="58">
        <v>6</v>
      </c>
    </row>
    <row r="319" spans="1:51" ht="15.75">
      <c r="A319" s="57">
        <f t="shared" si="21"/>
        <v>317</v>
      </c>
      <c r="B319" s="64" t="s">
        <v>102</v>
      </c>
      <c r="E319" s="71">
        <v>0</v>
      </c>
      <c r="G319" s="71">
        <v>0</v>
      </c>
      <c r="I319" s="76">
        <f>I268</f>
        <v>176.88</v>
      </c>
      <c r="K319" s="77">
        <f>ROUND(I319*$E319,0)</f>
        <v>0</v>
      </c>
      <c r="M319" s="77">
        <f>ROUND(I319*$G319,0)</f>
        <v>0</v>
      </c>
      <c r="O319" s="76">
        <f>O285</f>
        <v>180</v>
      </c>
      <c r="Q319" s="77">
        <f>ROUND(O319*$G319,0)</f>
        <v>0</v>
      </c>
      <c r="AG319" s="60"/>
      <c r="AH319" s="60"/>
      <c r="AU319" s="76">
        <f>AU268</f>
        <v>176.88</v>
      </c>
      <c r="AW319" s="77">
        <f>ROUND(AU319*$E319,0)</f>
        <v>0</v>
      </c>
      <c r="AX319" s="66" t="s">
        <v>114</v>
      </c>
      <c r="AY319" s="58">
        <v>6</v>
      </c>
    </row>
    <row r="320" spans="1:51" ht="15.75">
      <c r="A320" s="57">
        <f t="shared" si="21"/>
        <v>318</v>
      </c>
      <c r="B320" s="64" t="s">
        <v>57</v>
      </c>
      <c r="E320" s="22">
        <v>0</v>
      </c>
      <c r="G320" s="78">
        <v>0</v>
      </c>
      <c r="I320" s="76"/>
      <c r="K320" s="81">
        <f>AW320</f>
        <v>0</v>
      </c>
      <c r="M320" s="81">
        <v>0</v>
      </c>
      <c r="O320" s="76"/>
      <c r="Q320" s="81">
        <v>0</v>
      </c>
      <c r="AG320" s="60"/>
      <c r="AH320" s="60"/>
      <c r="AU320" s="76"/>
      <c r="AW320" s="30">
        <v>0</v>
      </c>
      <c r="AX320" s="66" t="s">
        <v>114</v>
      </c>
      <c r="AY320" s="58">
        <v>6</v>
      </c>
    </row>
    <row r="321" spans="1:51" ht="16.5" thickBot="1">
      <c r="A321" s="57">
        <f t="shared" si="21"/>
        <v>319</v>
      </c>
      <c r="B321" s="64" t="s">
        <v>58</v>
      </c>
      <c r="E321" s="99">
        <f>E317+E318+E320</f>
        <v>21360</v>
      </c>
      <c r="G321" s="99">
        <v>23727.809734200935</v>
      </c>
      <c r="I321" s="96"/>
      <c r="J321" s="96"/>
      <c r="K321" s="97">
        <f>SUM(K313:K320)</f>
        <v>3774</v>
      </c>
      <c r="M321" s="97">
        <f>SUM(M313:M320)</f>
        <v>4191</v>
      </c>
      <c r="O321" s="96"/>
      <c r="P321" s="96"/>
      <c r="Q321" s="97">
        <f>SUM(Q313:Q320)</f>
        <v>4834</v>
      </c>
      <c r="AG321" s="60"/>
      <c r="AH321" s="60"/>
      <c r="AU321" s="96"/>
      <c r="AV321" s="96"/>
      <c r="AW321" s="97">
        <f>SUM(AW313:AW320)</f>
        <v>3271</v>
      </c>
      <c r="AX321" s="66" t="s">
        <v>114</v>
      </c>
      <c r="AY321" s="58">
        <v>6</v>
      </c>
    </row>
    <row r="322" spans="1:51" ht="16.5" thickTop="1">
      <c r="A322" s="57">
        <f t="shared" si="21"/>
        <v>320</v>
      </c>
      <c r="B322" s="64" t="s">
        <v>60</v>
      </c>
      <c r="E322" s="59"/>
      <c r="G322" s="59"/>
      <c r="I322" s="76"/>
      <c r="J322" s="26">
        <f>J306</f>
        <v>0</v>
      </c>
      <c r="K322" s="81">
        <f>ROUND(SUM(K314:K318)*J322,0)</f>
        <v>0</v>
      </c>
      <c r="M322" s="81">
        <f>ROUND(SUM(M314:M318)*J322,0)</f>
        <v>0</v>
      </c>
      <c r="O322" s="76"/>
      <c r="P322" s="26">
        <f>P272</f>
        <v>0</v>
      </c>
      <c r="Q322" s="81">
        <f>ROUND(SUM(Q314:Q318)*P322,0)</f>
        <v>0</v>
      </c>
      <c r="AG322" s="60"/>
      <c r="AH322" s="60"/>
      <c r="AU322" s="76"/>
      <c r="AV322" s="26">
        <f>AV306</f>
        <v>0.0353</v>
      </c>
      <c r="AW322" s="81">
        <f>ROUND(SUM(AW314:AW318)*AV322,0)</f>
        <v>114</v>
      </c>
      <c r="AX322" s="66" t="s">
        <v>114</v>
      </c>
      <c r="AY322" s="58">
        <v>6</v>
      </c>
    </row>
    <row r="323" spans="1:51" ht="15.75">
      <c r="A323" s="57">
        <f t="shared" si="21"/>
        <v>321</v>
      </c>
      <c r="B323" s="64" t="s">
        <v>62</v>
      </c>
      <c r="E323" s="59"/>
      <c r="G323" s="59"/>
      <c r="I323" s="76"/>
      <c r="J323" s="26">
        <f>J307</f>
        <v>0.03</v>
      </c>
      <c r="K323" s="81">
        <f>ROUND(SUM(K314:K318,K322)*J323,0)</f>
        <v>112</v>
      </c>
      <c r="M323" s="81">
        <f>ROUND(SUM(M314:M318,M322)*J323,0)</f>
        <v>125</v>
      </c>
      <c r="O323" s="76"/>
      <c r="P323" s="26">
        <f>P273</f>
        <v>0.03</v>
      </c>
      <c r="Q323" s="81">
        <f>ROUND(SUM(Q314:Q318,Q322)*P323,0)</f>
        <v>144</v>
      </c>
      <c r="S323" s="60"/>
      <c r="T323" s="60"/>
      <c r="U323" s="60"/>
      <c r="V323" s="60"/>
      <c r="AG323" s="60"/>
      <c r="AH323" s="60"/>
      <c r="AU323" s="76"/>
      <c r="AV323" s="26">
        <f>AV307</f>
        <v>0</v>
      </c>
      <c r="AW323" s="81">
        <f>ROUND(SUM(AW314:AW318,AW322)*AV323,0)</f>
        <v>0</v>
      </c>
      <c r="AX323" s="66" t="s">
        <v>114</v>
      </c>
      <c r="AY323" s="58">
        <v>6</v>
      </c>
    </row>
    <row r="324" spans="1:51" ht="15.75">
      <c r="A324" s="57">
        <f t="shared" si="21"/>
        <v>322</v>
      </c>
      <c r="E324" s="59"/>
      <c r="G324" s="59"/>
      <c r="AG324" s="60"/>
      <c r="AH324" s="60"/>
      <c r="AX324" s="66" t="s">
        <v>114</v>
      </c>
      <c r="AY324" s="58">
        <v>6</v>
      </c>
    </row>
    <row r="325" spans="1:51" ht="15.75">
      <c r="A325" s="57">
        <f t="shared" si="21"/>
        <v>323</v>
      </c>
      <c r="B325" s="64" t="s">
        <v>124</v>
      </c>
      <c r="E325" s="59"/>
      <c r="G325" s="59"/>
      <c r="AG325" s="60"/>
      <c r="AH325" s="60"/>
      <c r="AX325" s="66" t="s">
        <v>111</v>
      </c>
      <c r="AY325" s="58">
        <v>6</v>
      </c>
    </row>
    <row r="326" spans="1:51" ht="15.75">
      <c r="A326" s="57">
        <f t="shared" si="21"/>
        <v>324</v>
      </c>
      <c r="B326" s="64" t="s">
        <v>125</v>
      </c>
      <c r="E326" s="59"/>
      <c r="G326" s="59"/>
      <c r="AG326" s="60"/>
      <c r="AH326" s="60"/>
      <c r="AX326" s="66" t="s">
        <v>111</v>
      </c>
      <c r="AY326" s="58">
        <v>6</v>
      </c>
    </row>
    <row r="327" spans="1:51" ht="15.75">
      <c r="A327" s="57">
        <f t="shared" si="21"/>
        <v>325</v>
      </c>
      <c r="B327" s="103" t="s">
        <v>112</v>
      </c>
      <c r="E327" s="59"/>
      <c r="G327" s="59"/>
      <c r="AG327" s="60"/>
      <c r="AH327" s="60"/>
      <c r="AX327" s="66" t="s">
        <v>111</v>
      </c>
      <c r="AY327" s="58">
        <v>6</v>
      </c>
    </row>
    <row r="328" spans="1:51" ht="15.75">
      <c r="A328" s="57">
        <f t="shared" si="21"/>
        <v>326</v>
      </c>
      <c r="B328" s="98" t="s">
        <v>134</v>
      </c>
      <c r="E328" s="59"/>
      <c r="G328" s="59"/>
      <c r="AG328" s="60"/>
      <c r="AH328" s="60"/>
      <c r="AX328" s="66" t="s">
        <v>111</v>
      </c>
      <c r="AY328" s="58">
        <v>6</v>
      </c>
    </row>
    <row r="329" spans="1:51" ht="15.75">
      <c r="A329" s="57">
        <f t="shared" si="21"/>
        <v>327</v>
      </c>
      <c r="B329" s="64" t="s">
        <v>44</v>
      </c>
      <c r="E329" s="59">
        <f>120-60</f>
        <v>60</v>
      </c>
      <c r="G329" s="59">
        <v>65.09608010378514</v>
      </c>
      <c r="I329" s="76">
        <f>I260</f>
        <v>14.74</v>
      </c>
      <c r="K329" s="66">
        <f>ROUND(I329*$E329,0)</f>
        <v>884</v>
      </c>
      <c r="M329" s="66">
        <f>ROUND(I329*$G329,0)</f>
        <v>960</v>
      </c>
      <c r="O329" s="76">
        <f>O260</f>
        <v>15</v>
      </c>
      <c r="Q329" s="66">
        <f>ROUND(O329*$G329,0)</f>
        <v>976</v>
      </c>
      <c r="AG329" s="60"/>
      <c r="AH329" s="60"/>
      <c r="AU329" s="76">
        <f>AU260</f>
        <v>14.74</v>
      </c>
      <c r="AW329" s="66">
        <f>ROUND(AU329*$E329,0)</f>
        <v>884</v>
      </c>
      <c r="AX329" s="66" t="s">
        <v>111</v>
      </c>
      <c r="AY329" s="58">
        <v>6</v>
      </c>
    </row>
    <row r="330" spans="1:51" ht="15.75">
      <c r="A330" s="57">
        <f t="shared" si="21"/>
        <v>328</v>
      </c>
      <c r="B330" s="64" t="s">
        <v>126</v>
      </c>
      <c r="E330" s="59">
        <f>59996-53196</f>
        <v>6800</v>
      </c>
      <c r="G330" s="59">
        <f>E330*($G$337-$G$336)/($E$337-$E$336)</f>
        <v>7553.7971063935565</v>
      </c>
      <c r="I330" s="76">
        <f>I261</f>
        <v>10.66</v>
      </c>
      <c r="K330" s="66">
        <f>ROUND(I330*$E330,0)</f>
        <v>72488</v>
      </c>
      <c r="M330" s="66">
        <f>ROUND(I330*$G330,0)</f>
        <v>80523</v>
      </c>
      <c r="O330" s="76">
        <f>O261</f>
        <v>12.76</v>
      </c>
      <c r="Q330" s="66">
        <f>ROUND(O330*$G330,0)</f>
        <v>96386</v>
      </c>
      <c r="AG330" s="60"/>
      <c r="AH330" s="60"/>
      <c r="AU330" s="76">
        <f>AU261</f>
        <v>8.1</v>
      </c>
      <c r="AW330" s="66">
        <f>ROUND(AU330*$E330,0)</f>
        <v>55080</v>
      </c>
      <c r="AX330" s="66" t="s">
        <v>111</v>
      </c>
      <c r="AY330" s="58">
        <v>6</v>
      </c>
    </row>
    <row r="331" spans="1:51" ht="15.75">
      <c r="A331" s="57">
        <f t="shared" si="21"/>
        <v>329</v>
      </c>
      <c r="B331" s="64" t="s">
        <v>127</v>
      </c>
      <c r="E331" s="59">
        <f>75996-(120891-53196)</f>
        <v>8301</v>
      </c>
      <c r="G331" s="59">
        <f>E331*($G$337-$G$336)/($E$337-$E$336)</f>
        <v>9221.18673237837</v>
      </c>
      <c r="I331" s="76">
        <f>I262</f>
        <v>8.56</v>
      </c>
      <c r="K331" s="66">
        <f>ROUND(I331*$E331,0)</f>
        <v>71057</v>
      </c>
      <c r="M331" s="66">
        <f>ROUND(I331*$G331,0)</f>
        <v>78933</v>
      </c>
      <c r="O331" s="76">
        <f>O262</f>
        <v>10.24</v>
      </c>
      <c r="Q331" s="66">
        <f>ROUND(O331*$G331,0)</f>
        <v>94425</v>
      </c>
      <c r="AG331" s="60"/>
      <c r="AH331" s="60"/>
      <c r="AU331" s="76">
        <f>AU262</f>
        <v>8.1</v>
      </c>
      <c r="AW331" s="66">
        <f>ROUND(AU331*$E331,0)</f>
        <v>67238</v>
      </c>
      <c r="AX331" s="66" t="s">
        <v>111</v>
      </c>
      <c r="AY331" s="58">
        <v>6</v>
      </c>
    </row>
    <row r="332" spans="1:51" ht="15.75">
      <c r="A332" s="57">
        <f t="shared" si="21"/>
        <v>330</v>
      </c>
      <c r="B332" s="64" t="s">
        <v>93</v>
      </c>
      <c r="E332" s="59">
        <f>120891-120891</f>
        <v>0</v>
      </c>
      <c r="G332" s="59">
        <f>E332*($G$337-$G$336)/($E$337-$E$336)</f>
        <v>0</v>
      </c>
      <c r="I332" s="76">
        <f>I263</f>
        <v>-0.54</v>
      </c>
      <c r="K332" s="66">
        <f>ROUND(I332*$E332,0)</f>
        <v>0</v>
      </c>
      <c r="M332" s="66">
        <f>ROUND(I332*$G332,0)</f>
        <v>0</v>
      </c>
      <c r="O332" s="76">
        <f>O263</f>
        <v>-0.66</v>
      </c>
      <c r="Q332" s="66">
        <f>ROUND(O332*$G332,0)</f>
        <v>0</v>
      </c>
      <c r="AG332" s="60"/>
      <c r="AH332" s="60"/>
      <c r="AU332" s="76">
        <f>AU263</f>
        <v>-0.54</v>
      </c>
      <c r="AW332" s="66">
        <f>ROUND(AU332*$E332,0)</f>
        <v>0</v>
      </c>
      <c r="AX332" s="66" t="s">
        <v>111</v>
      </c>
      <c r="AY332" s="58">
        <v>6</v>
      </c>
    </row>
    <row r="333" spans="1:51" ht="15.75">
      <c r="A333" s="57">
        <f t="shared" si="21"/>
        <v>331</v>
      </c>
      <c r="B333" s="64" t="s">
        <v>128</v>
      </c>
      <c r="E333" s="59">
        <f>28369342-25822800</f>
        <v>2546542</v>
      </c>
      <c r="G333" s="59">
        <f>E333*($G$337-$G$336)/($E$337-$E$336)</f>
        <v>2828832.586898479</v>
      </c>
      <c r="I333" s="76"/>
      <c r="J333" s="93">
        <f>J264</f>
        <v>2.7737</v>
      </c>
      <c r="K333" s="66">
        <f>ROUND(J333*$E333/100,0)</f>
        <v>70633</v>
      </c>
      <c r="M333" s="66">
        <f>ROUND(J333*$G333/100,0)</f>
        <v>78463</v>
      </c>
      <c r="O333" s="76"/>
      <c r="P333" s="93">
        <f>P264</f>
        <v>2.574</v>
      </c>
      <c r="Q333" s="66">
        <f>ROUND(P333*$G333/100,0)</f>
        <v>72814</v>
      </c>
      <c r="AG333" s="60"/>
      <c r="AH333" s="60"/>
      <c r="AU333" s="76"/>
      <c r="AV333" s="93">
        <f>AV264</f>
        <v>2.7737</v>
      </c>
      <c r="AW333" s="66">
        <f>ROUND(AV333*$E333/100,0)</f>
        <v>70633</v>
      </c>
      <c r="AX333" s="66" t="s">
        <v>111</v>
      </c>
      <c r="AY333" s="58">
        <v>6</v>
      </c>
    </row>
    <row r="334" spans="1:51" ht="15.75">
      <c r="A334" s="57">
        <f t="shared" si="21"/>
        <v>332</v>
      </c>
      <c r="B334" s="64" t="s">
        <v>129</v>
      </c>
      <c r="E334" s="59">
        <f>37301171-(59945400-25822800)</f>
        <v>3178571</v>
      </c>
      <c r="G334" s="59">
        <f>E334*($G$337-$G$336)/($E$337-$E$336)</f>
        <v>3530923.5915097753</v>
      </c>
      <c r="I334" s="76"/>
      <c r="J334" s="93">
        <f>J265</f>
        <v>2.7737</v>
      </c>
      <c r="K334" s="66">
        <f>ROUND(J334*$E334/100,0)</f>
        <v>88164</v>
      </c>
      <c r="M334" s="66">
        <f>ROUND(J334*$G334/100,0)</f>
        <v>97937</v>
      </c>
      <c r="O334" s="76"/>
      <c r="P334" s="93">
        <f>P265</f>
        <v>2.574</v>
      </c>
      <c r="Q334" s="66">
        <f>ROUND(P334*$G334/100,0)</f>
        <v>90886</v>
      </c>
      <c r="AG334" s="60"/>
      <c r="AH334" s="60"/>
      <c r="AU334" s="76"/>
      <c r="AV334" s="93">
        <f>AV265</f>
        <v>2.7737</v>
      </c>
      <c r="AW334" s="66">
        <f>ROUND(AV334*$E334/100,0)</f>
        <v>88164</v>
      </c>
      <c r="AX334" s="66" t="s">
        <v>111</v>
      </c>
      <c r="AY334" s="58">
        <v>6</v>
      </c>
    </row>
    <row r="335" spans="1:51" ht="15.75">
      <c r="A335" s="57">
        <f t="shared" si="21"/>
        <v>333</v>
      </c>
      <c r="B335" s="64" t="s">
        <v>102</v>
      </c>
      <c r="E335" s="71">
        <v>0</v>
      </c>
      <c r="G335" s="59">
        <f>E335*G329/E329</f>
        <v>0</v>
      </c>
      <c r="I335" s="76">
        <f>I319</f>
        <v>176.88</v>
      </c>
      <c r="K335" s="77">
        <f>ROUND(I335*$E335,0)</f>
        <v>0</v>
      </c>
      <c r="M335" s="77">
        <f>ROUND(I335*$G335,0)</f>
        <v>0</v>
      </c>
      <c r="O335" s="76">
        <f>O285</f>
        <v>180</v>
      </c>
      <c r="Q335" s="77">
        <f>ROUND(O335*$G335,0)</f>
        <v>0</v>
      </c>
      <c r="Y335" s="114"/>
      <c r="AG335" s="60"/>
      <c r="AH335" s="60"/>
      <c r="AU335" s="76">
        <f>AU319</f>
        <v>176.88</v>
      </c>
      <c r="AW335" s="77">
        <f>ROUND(AU335*$E335,0)</f>
        <v>0</v>
      </c>
      <c r="AX335" s="66" t="s">
        <v>111</v>
      </c>
      <c r="AY335" s="58">
        <v>6</v>
      </c>
    </row>
    <row r="336" spans="1:51" ht="15.75">
      <c r="A336" s="57">
        <f t="shared" si="21"/>
        <v>334</v>
      </c>
      <c r="B336" s="64" t="s">
        <v>57</v>
      </c>
      <c r="E336" s="22">
        <v>88456</v>
      </c>
      <c r="G336" s="22">
        <v>0</v>
      </c>
      <c r="I336" s="76"/>
      <c r="K336" s="81">
        <f>AW336</f>
        <v>2590</v>
      </c>
      <c r="M336" s="81">
        <v>0</v>
      </c>
      <c r="O336" s="76"/>
      <c r="Q336" s="81">
        <v>0</v>
      </c>
      <c r="AG336" s="60"/>
      <c r="AH336" s="60"/>
      <c r="AU336" s="76"/>
      <c r="AW336" s="81">
        <v>2590</v>
      </c>
      <c r="AX336" s="66" t="s">
        <v>111</v>
      </c>
      <c r="AY336" s="58">
        <v>6</v>
      </c>
    </row>
    <row r="337" spans="1:51" ht="16.5" thickBot="1">
      <c r="A337" s="57">
        <f t="shared" si="21"/>
        <v>335</v>
      </c>
      <c r="B337" s="64" t="s">
        <v>58</v>
      </c>
      <c r="E337" s="99">
        <f>E333+E336+E334</f>
        <v>5813569</v>
      </c>
      <c r="G337" s="99">
        <v>6359756.178408255</v>
      </c>
      <c r="I337" s="96"/>
      <c r="J337" s="96"/>
      <c r="K337" s="97">
        <f>SUM(K329:K336)</f>
        <v>305816</v>
      </c>
      <c r="M337" s="97">
        <f>SUM(M329:M336)</f>
        <v>336816</v>
      </c>
      <c r="O337" s="96"/>
      <c r="P337" s="96"/>
      <c r="Q337" s="97">
        <f>SUM(Q329:Q336)</f>
        <v>355487</v>
      </c>
      <c r="Y337" s="114"/>
      <c r="AG337" s="60"/>
      <c r="AH337" s="60"/>
      <c r="AU337" s="96"/>
      <c r="AV337" s="96"/>
      <c r="AW337" s="97">
        <f>SUM(AW329:AW336)</f>
        <v>284589</v>
      </c>
      <c r="AX337" s="66" t="s">
        <v>111</v>
      </c>
      <c r="AY337" s="58">
        <v>6</v>
      </c>
    </row>
    <row r="338" spans="1:51" ht="16.5" thickTop="1">
      <c r="A338" s="57">
        <f t="shared" si="21"/>
        <v>336</v>
      </c>
      <c r="B338" s="64" t="s">
        <v>60</v>
      </c>
      <c r="E338" s="59"/>
      <c r="G338" s="59"/>
      <c r="I338" s="76"/>
      <c r="J338" s="26">
        <f>J322</f>
        <v>0</v>
      </c>
      <c r="K338" s="81">
        <f>ROUND(SUM(K330:K334)*J338,0)</f>
        <v>0</v>
      </c>
      <c r="M338" s="81">
        <f>ROUND(SUM(M330:M334)*J338,0)</f>
        <v>0</v>
      </c>
      <c r="O338" s="76"/>
      <c r="P338" s="26">
        <f>P272</f>
        <v>0</v>
      </c>
      <c r="Q338" s="81">
        <f>ROUND(SUM(Q330:Q334)*P338,0)</f>
        <v>0</v>
      </c>
      <c r="AG338" s="60"/>
      <c r="AH338" s="60"/>
      <c r="AU338" s="76"/>
      <c r="AV338" s="26">
        <f>AV322</f>
        <v>0.0353</v>
      </c>
      <c r="AW338" s="81">
        <f>ROUND(SUM(AW330:AW334)*AV338,0)</f>
        <v>9923</v>
      </c>
      <c r="AX338" s="66" t="s">
        <v>111</v>
      </c>
      <c r="AY338" s="58">
        <v>6</v>
      </c>
    </row>
    <row r="339" spans="1:51" ht="15.75">
      <c r="A339" s="57">
        <f t="shared" si="21"/>
        <v>337</v>
      </c>
      <c r="B339" s="64" t="s">
        <v>62</v>
      </c>
      <c r="E339" s="59"/>
      <c r="G339" s="59"/>
      <c r="I339" s="76"/>
      <c r="J339" s="26">
        <f>J323</f>
        <v>0.03</v>
      </c>
      <c r="K339" s="81">
        <f>ROUND(SUM(K330:K334,K338)*J339,0)</f>
        <v>9070</v>
      </c>
      <c r="M339" s="81">
        <f>ROUND(SUM(M330:M334,M338)*J339,0)</f>
        <v>10076</v>
      </c>
      <c r="O339" s="76"/>
      <c r="P339" s="26">
        <f>P273</f>
        <v>0.03</v>
      </c>
      <c r="Q339" s="81">
        <f>ROUND(SUM(Q330:Q334,Q338)*P339,0)</f>
        <v>10635</v>
      </c>
      <c r="S339" s="60"/>
      <c r="T339" s="60"/>
      <c r="U339" s="60"/>
      <c r="V339" s="60"/>
      <c r="AG339" s="60"/>
      <c r="AH339" s="60"/>
      <c r="AU339" s="76"/>
      <c r="AV339" s="26">
        <f>AV323</f>
        <v>0</v>
      </c>
      <c r="AW339" s="81">
        <f>ROUND(SUM(AW330:AW334,AW338)*AV339,0)</f>
        <v>0</v>
      </c>
      <c r="AX339" s="66" t="s">
        <v>111</v>
      </c>
      <c r="AY339" s="58">
        <v>6</v>
      </c>
    </row>
    <row r="340" spans="1:51" ht="15.75">
      <c r="A340" s="57">
        <f t="shared" si="21"/>
        <v>338</v>
      </c>
      <c r="AG340" s="60"/>
      <c r="AH340" s="60"/>
      <c r="AX340" s="66" t="s">
        <v>111</v>
      </c>
      <c r="AY340" s="58">
        <v>6</v>
      </c>
    </row>
    <row r="341" spans="1:51" ht="15.75">
      <c r="A341" s="57">
        <f t="shared" si="21"/>
        <v>339</v>
      </c>
      <c r="B341" s="64" t="s">
        <v>135</v>
      </c>
      <c r="E341" s="59"/>
      <c r="G341" s="59"/>
      <c r="J341" s="93"/>
      <c r="P341" s="93"/>
      <c r="AG341" s="60"/>
      <c r="AH341" s="60"/>
      <c r="AV341" s="93"/>
      <c r="AX341" s="66" t="s">
        <v>87</v>
      </c>
      <c r="AY341" s="107" t="s">
        <v>8</v>
      </c>
    </row>
    <row r="342" spans="1:51" ht="15.75">
      <c r="A342" s="57">
        <f t="shared" si="21"/>
        <v>340</v>
      </c>
      <c r="B342" s="64" t="s">
        <v>136</v>
      </c>
      <c r="E342" s="59"/>
      <c r="G342" s="59"/>
      <c r="J342" s="65"/>
      <c r="P342" s="65"/>
      <c r="AG342" s="60"/>
      <c r="AH342" s="60"/>
      <c r="AV342" s="65"/>
      <c r="AX342" s="66" t="s">
        <v>87</v>
      </c>
      <c r="AY342" s="107" t="s">
        <v>8</v>
      </c>
    </row>
    <row r="343" spans="1:51" ht="15.75">
      <c r="A343" s="57">
        <f t="shared" si="21"/>
        <v>341</v>
      </c>
      <c r="B343" s="64" t="s">
        <v>89</v>
      </c>
      <c r="E343" s="59"/>
      <c r="G343" s="59"/>
      <c r="AG343" s="60"/>
      <c r="AH343" s="60"/>
      <c r="AX343" s="66" t="s">
        <v>87</v>
      </c>
      <c r="AY343" s="107" t="s">
        <v>8</v>
      </c>
    </row>
    <row r="344" spans="1:51" ht="15.75">
      <c r="A344" s="57">
        <f t="shared" si="21"/>
        <v>342</v>
      </c>
      <c r="E344" s="59"/>
      <c r="G344" s="59"/>
      <c r="S344" s="68"/>
      <c r="T344" s="70"/>
      <c r="U344" s="66"/>
      <c r="V344" s="17"/>
      <c r="AG344" s="60"/>
      <c r="AH344" s="60"/>
      <c r="AX344" s="66" t="s">
        <v>87</v>
      </c>
      <c r="AY344" s="107" t="s">
        <v>8</v>
      </c>
    </row>
    <row r="345" spans="1:51" ht="15.75">
      <c r="A345" s="57">
        <f t="shared" si="21"/>
        <v>343</v>
      </c>
      <c r="B345" s="64" t="s">
        <v>44</v>
      </c>
      <c r="E345" s="59">
        <f aca="true" t="shared" si="22" ref="E345:E353">E362+E379</f>
        <v>18186</v>
      </c>
      <c r="G345" s="59">
        <f aca="true" t="shared" si="23" ref="G345:G353">G362+G379</f>
        <v>19866.72492899279</v>
      </c>
      <c r="I345" s="69">
        <v>14.74</v>
      </c>
      <c r="J345" s="16"/>
      <c r="K345" s="66">
        <f>ROUND(I345*$E345,0)</f>
        <v>268062</v>
      </c>
      <c r="M345" s="66">
        <f>ROUND(I345*$G345,0)</f>
        <v>292836</v>
      </c>
      <c r="O345" s="69">
        <f>O260</f>
        <v>15</v>
      </c>
      <c r="P345" s="16"/>
      <c r="Q345" s="66">
        <f>ROUND(O345*$G345,0)</f>
        <v>298001</v>
      </c>
      <c r="S345" s="68"/>
      <c r="T345" s="70"/>
      <c r="U345" s="66"/>
      <c r="V345" s="17"/>
      <c r="AG345" s="60"/>
      <c r="AH345" s="60"/>
      <c r="AU345" s="69">
        <v>14.74</v>
      </c>
      <c r="AV345" s="16"/>
      <c r="AW345" s="66">
        <f>ROUND(AU345*$E345,0)</f>
        <v>268062</v>
      </c>
      <c r="AX345" s="66" t="s">
        <v>87</v>
      </c>
      <c r="AY345" s="107" t="s">
        <v>8</v>
      </c>
    </row>
    <row r="346" spans="1:51" ht="15.75">
      <c r="A346" s="57">
        <f t="shared" si="21"/>
        <v>344</v>
      </c>
      <c r="B346" s="64" t="s">
        <v>137</v>
      </c>
      <c r="D346" s="76"/>
      <c r="E346" s="59">
        <f t="shared" si="22"/>
        <v>556721.27</v>
      </c>
      <c r="F346" s="76"/>
      <c r="G346" s="59">
        <f t="shared" si="23"/>
        <v>640003.3708986428</v>
      </c>
      <c r="H346" s="76"/>
      <c r="I346" s="69">
        <v>4.22</v>
      </c>
      <c r="J346" s="16"/>
      <c r="K346" s="66">
        <f>ROUND(I346*$E346,0)</f>
        <v>2349364</v>
      </c>
      <c r="L346" s="76"/>
      <c r="M346" s="66">
        <f>ROUND(I346*$G346,0)</f>
        <v>2700814</v>
      </c>
      <c r="N346" s="76"/>
      <c r="O346" s="69">
        <v>4.61</v>
      </c>
      <c r="P346" s="16"/>
      <c r="Q346" s="66">
        <f>ROUND(O346*$G346,0)</f>
        <v>2950416</v>
      </c>
      <c r="R346" s="69">
        <f>ROUND(O346*$S$356/$S$354*2,2)</f>
        <v>0</v>
      </c>
      <c r="S346" s="68"/>
      <c r="T346" s="70"/>
      <c r="U346" s="66"/>
      <c r="V346" s="17"/>
      <c r="AG346" s="60"/>
      <c r="AH346" s="60"/>
      <c r="AT346" s="76"/>
      <c r="AU346" s="69">
        <v>3.53</v>
      </c>
      <c r="AV346" s="16"/>
      <c r="AW346" s="66">
        <f>ROUND(AU346*$E346,0)</f>
        <v>1965226</v>
      </c>
      <c r="AX346" s="66" t="s">
        <v>87</v>
      </c>
      <c r="AY346" s="107" t="s">
        <v>8</v>
      </c>
    </row>
    <row r="347" spans="1:51" ht="15.75">
      <c r="A347" s="57">
        <f t="shared" si="21"/>
        <v>345</v>
      </c>
      <c r="B347" s="64" t="s">
        <v>138</v>
      </c>
      <c r="D347" s="76"/>
      <c r="E347" s="59">
        <f t="shared" si="22"/>
        <v>657931.95</v>
      </c>
      <c r="F347" s="76"/>
      <c r="G347" s="59">
        <f t="shared" si="23"/>
        <v>756354.5503154878</v>
      </c>
      <c r="H347" s="76"/>
      <c r="I347" s="69">
        <v>3.53</v>
      </c>
      <c r="J347" s="16"/>
      <c r="K347" s="66">
        <f>ROUND(I347*$E347,0)</f>
        <v>2322500</v>
      </c>
      <c r="L347" s="76"/>
      <c r="M347" s="66">
        <f>ROUND(I347*$G347,0)</f>
        <v>2669932</v>
      </c>
      <c r="N347" s="76"/>
      <c r="O347" s="69">
        <v>3.86</v>
      </c>
      <c r="P347" s="16"/>
      <c r="Q347" s="66">
        <f>ROUND(O347*$G347,0)</f>
        <v>2919529</v>
      </c>
      <c r="R347" s="69">
        <f>ROUND(O347*$S$356/$S$354*2,2)</f>
        <v>0</v>
      </c>
      <c r="S347" s="68"/>
      <c r="T347" s="70"/>
      <c r="U347" s="66"/>
      <c r="V347" s="17"/>
      <c r="AG347" s="60"/>
      <c r="AH347" s="60"/>
      <c r="AT347" s="76"/>
      <c r="AU347" s="69">
        <f>AU346</f>
        <v>3.53</v>
      </c>
      <c r="AV347" s="16"/>
      <c r="AW347" s="66">
        <f>ROUND(AU347*$E347,0)</f>
        <v>2322500</v>
      </c>
      <c r="AX347" s="66" t="s">
        <v>87</v>
      </c>
      <c r="AY347" s="107" t="s">
        <v>8</v>
      </c>
    </row>
    <row r="348" spans="1:51" ht="15.75">
      <c r="A348" s="57">
        <f t="shared" si="21"/>
        <v>346</v>
      </c>
      <c r="B348" s="64" t="s">
        <v>93</v>
      </c>
      <c r="D348" s="76"/>
      <c r="E348" s="59">
        <f t="shared" si="22"/>
        <v>24948</v>
      </c>
      <c r="F348" s="76"/>
      <c r="G348" s="59">
        <f t="shared" si="23"/>
        <v>28680.068388943248</v>
      </c>
      <c r="H348" s="76"/>
      <c r="I348" s="69">
        <v>-0.39</v>
      </c>
      <c r="J348" s="16"/>
      <c r="K348" s="66">
        <f>ROUND(I348*$E348,0)</f>
        <v>-9730</v>
      </c>
      <c r="L348" s="76"/>
      <c r="M348" s="66">
        <f>ROUND(I348*$G348,0)</f>
        <v>-11185</v>
      </c>
      <c r="N348" s="76"/>
      <c r="O348" s="69">
        <v>-0.43</v>
      </c>
      <c r="P348" s="16"/>
      <c r="Q348" s="66">
        <f>ROUND(O348*$G348,0)</f>
        <v>-12332</v>
      </c>
      <c r="R348" s="69">
        <f>ROUND(O348*$S$356/$S$354*2,2)</f>
        <v>0</v>
      </c>
      <c r="T348" s="70"/>
      <c r="U348" s="66"/>
      <c r="V348" s="17"/>
      <c r="AG348" s="60"/>
      <c r="AH348" s="60"/>
      <c r="AT348" s="76"/>
      <c r="AU348" s="69">
        <v>-0.39</v>
      </c>
      <c r="AV348" s="16"/>
      <c r="AW348" s="66">
        <f>ROUND(AU348*$E348,0)</f>
        <v>-9730</v>
      </c>
      <c r="AX348" s="66" t="s">
        <v>87</v>
      </c>
      <c r="AY348" s="107" t="s">
        <v>8</v>
      </c>
    </row>
    <row r="349" spans="1:51" ht="15.75">
      <c r="A349" s="57">
        <f t="shared" si="21"/>
        <v>347</v>
      </c>
      <c r="B349" s="64" t="s">
        <v>69</v>
      </c>
      <c r="D349" s="76"/>
      <c r="E349" s="59">
        <f t="shared" si="22"/>
        <v>34520196</v>
      </c>
      <c r="F349" s="76"/>
      <c r="G349" s="59">
        <f t="shared" si="23"/>
        <v>39684206.432568744</v>
      </c>
      <c r="H349" s="76"/>
      <c r="I349" s="16"/>
      <c r="J349" s="94">
        <v>8.043</v>
      </c>
      <c r="K349" s="66">
        <f>ROUND(J349*$E349/100,0)</f>
        <v>2776459</v>
      </c>
      <c r="L349" s="76"/>
      <c r="M349" s="66">
        <f>ROUND(J349*$G349/100,0)</f>
        <v>3191801</v>
      </c>
      <c r="N349" s="76"/>
      <c r="O349" s="16"/>
      <c r="P349" s="94">
        <v>8.4174</v>
      </c>
      <c r="Q349" s="66">
        <f>ROUND(P349*$G349/100,0)</f>
        <v>3340378</v>
      </c>
      <c r="S349" s="68">
        <f>ROUND(P349*$S$356/$S$354,4)</f>
        <v>0</v>
      </c>
      <c r="T349" s="70"/>
      <c r="U349" s="66"/>
      <c r="V349" s="17"/>
      <c r="AG349" s="60"/>
      <c r="AH349" s="60"/>
      <c r="AT349" s="76"/>
      <c r="AU349" s="16"/>
      <c r="AV349" s="94">
        <v>6.7231</v>
      </c>
      <c r="AW349" s="66">
        <f>ROUND(AV349*$E349/100,0)</f>
        <v>2320827</v>
      </c>
      <c r="AX349" s="66" t="s">
        <v>87</v>
      </c>
      <c r="AY349" s="107" t="s">
        <v>8</v>
      </c>
    </row>
    <row r="350" spans="1:51" ht="15.75">
      <c r="A350" s="57">
        <f t="shared" si="21"/>
        <v>348</v>
      </c>
      <c r="B350" s="64" t="s">
        <v>71</v>
      </c>
      <c r="D350" s="76"/>
      <c r="E350" s="59">
        <f t="shared" si="22"/>
        <v>40061913</v>
      </c>
      <c r="F350" s="76"/>
      <c r="G350" s="59">
        <f t="shared" si="23"/>
        <v>46054930.440592214</v>
      </c>
      <c r="H350" s="76"/>
      <c r="I350" s="16"/>
      <c r="J350" s="94">
        <v>2.4215</v>
      </c>
      <c r="K350" s="66">
        <f>ROUND(J350*$E350/100,0)</f>
        <v>970099</v>
      </c>
      <c r="L350" s="76"/>
      <c r="M350" s="66">
        <f>ROUND(J350*$G350/100,0)</f>
        <v>1115220</v>
      </c>
      <c r="N350" s="76"/>
      <c r="O350" s="16"/>
      <c r="P350" s="94">
        <v>2.5342</v>
      </c>
      <c r="Q350" s="66">
        <f>ROUND(P350*$G350/100,0)</f>
        <v>1167124</v>
      </c>
      <c r="S350" s="68">
        <f>ROUND(P350*$S$356/$S$354,4)</f>
        <v>0</v>
      </c>
      <c r="T350" s="70"/>
      <c r="U350" s="66"/>
      <c r="V350" s="17"/>
      <c r="AG350" s="60"/>
      <c r="AH350" s="60"/>
      <c r="AT350" s="76"/>
      <c r="AU350" s="16"/>
      <c r="AV350" s="94">
        <v>2.0241</v>
      </c>
      <c r="AW350" s="66">
        <f>ROUND(AV350*$E350/100,0)</f>
        <v>810893</v>
      </c>
      <c r="AX350" s="66" t="s">
        <v>87</v>
      </c>
      <c r="AY350" s="107" t="s">
        <v>8</v>
      </c>
    </row>
    <row r="351" spans="1:51" ht="15.75">
      <c r="A351" s="57">
        <f t="shared" si="21"/>
        <v>349</v>
      </c>
      <c r="B351" s="64" t="s">
        <v>139</v>
      </c>
      <c r="D351" s="76"/>
      <c r="E351" s="59">
        <f t="shared" si="22"/>
        <v>51088194</v>
      </c>
      <c r="F351" s="76"/>
      <c r="G351" s="59">
        <f t="shared" si="23"/>
        <v>58730675.71699536</v>
      </c>
      <c r="H351" s="76"/>
      <c r="I351" s="16"/>
      <c r="J351" s="94">
        <v>6.7231</v>
      </c>
      <c r="K351" s="66">
        <f>ROUND(J351*$E351/100,0)</f>
        <v>3434710</v>
      </c>
      <c r="L351" s="76"/>
      <c r="M351" s="66">
        <f>ROUND(J351*$G351/100,0)</f>
        <v>3948522</v>
      </c>
      <c r="N351" s="76"/>
      <c r="O351" s="16"/>
      <c r="P351" s="94">
        <v>7.035999999999999</v>
      </c>
      <c r="Q351" s="66">
        <f>ROUND(P351*$G351/100,0)</f>
        <v>4132290</v>
      </c>
      <c r="S351" s="68">
        <f>ROUND(P351*$S$356/$S$354,4)</f>
        <v>0</v>
      </c>
      <c r="T351" s="70"/>
      <c r="U351" s="66"/>
      <c r="V351" s="17"/>
      <c r="AG351" s="60"/>
      <c r="AH351" s="60"/>
      <c r="AT351" s="76"/>
      <c r="AU351" s="16"/>
      <c r="AV351" s="94">
        <f>AV349</f>
        <v>6.7231</v>
      </c>
      <c r="AW351" s="66">
        <f>ROUND(AV351*$E351/100,0)</f>
        <v>3434710</v>
      </c>
      <c r="AX351" s="66" t="s">
        <v>87</v>
      </c>
      <c r="AY351" s="107" t="s">
        <v>8</v>
      </c>
    </row>
    <row r="352" spans="1:51" ht="15.75">
      <c r="A352" s="57">
        <f t="shared" si="21"/>
        <v>350</v>
      </c>
      <c r="B352" s="64" t="s">
        <v>74</v>
      </c>
      <c r="D352" s="76"/>
      <c r="E352" s="59">
        <f t="shared" si="22"/>
        <v>53600453</v>
      </c>
      <c r="F352" s="76"/>
      <c r="G352" s="59">
        <f t="shared" si="23"/>
        <v>61618753.31563004</v>
      </c>
      <c r="H352" s="76"/>
      <c r="I352" s="16"/>
      <c r="J352" s="94">
        <v>2.0241</v>
      </c>
      <c r="K352" s="66">
        <f>ROUND(J352*$E352/100,0)</f>
        <v>1084927</v>
      </c>
      <c r="L352" s="76"/>
      <c r="M352" s="66">
        <f>ROUND(J352*$G352/100,0)</f>
        <v>1247225</v>
      </c>
      <c r="N352" s="76"/>
      <c r="O352" s="16"/>
      <c r="P352" s="94">
        <v>2.1183</v>
      </c>
      <c r="Q352" s="66">
        <f>ROUND(P352*$G352/100,0)</f>
        <v>1305270</v>
      </c>
      <c r="S352" s="68">
        <f>ROUND(P352*$S$356/$S$354,4)</f>
        <v>0</v>
      </c>
      <c r="T352" s="70"/>
      <c r="U352" s="66"/>
      <c r="V352" s="17"/>
      <c r="AG352" s="60"/>
      <c r="AH352" s="60"/>
      <c r="AT352" s="76"/>
      <c r="AU352" s="16"/>
      <c r="AV352" s="94">
        <f>AV350</f>
        <v>2.0241</v>
      </c>
      <c r="AW352" s="66">
        <f>ROUND(AV352*$E352/100,0)</f>
        <v>1084927</v>
      </c>
      <c r="AX352" s="66" t="s">
        <v>87</v>
      </c>
      <c r="AY352" s="107" t="s">
        <v>8</v>
      </c>
    </row>
    <row r="353" spans="1:51" ht="15.75">
      <c r="A353" s="57">
        <f t="shared" si="21"/>
        <v>351</v>
      </c>
      <c r="B353" s="64" t="s">
        <v>57</v>
      </c>
      <c r="E353" s="22">
        <f t="shared" si="22"/>
        <v>177869</v>
      </c>
      <c r="G353" s="22">
        <f t="shared" si="23"/>
        <v>0</v>
      </c>
      <c r="I353" s="76"/>
      <c r="K353" s="81">
        <f>K370+K387</f>
        <v>19378.19240593511</v>
      </c>
      <c r="M353" s="81">
        <v>0</v>
      </c>
      <c r="O353" s="76"/>
      <c r="Q353" s="81">
        <v>0</v>
      </c>
      <c r="V353" s="17"/>
      <c r="AG353" s="60"/>
      <c r="AH353" s="60"/>
      <c r="AU353" s="76"/>
      <c r="AW353" s="81">
        <f>AW370+AW387</f>
        <v>19378.19240593511</v>
      </c>
      <c r="AX353" s="66" t="s">
        <v>87</v>
      </c>
      <c r="AY353" s="107" t="s">
        <v>8</v>
      </c>
    </row>
    <row r="354" spans="1:51" ht="16.5" thickBot="1">
      <c r="A354" s="57">
        <f t="shared" si="21"/>
        <v>352</v>
      </c>
      <c r="B354" s="64" t="s">
        <v>58</v>
      </c>
      <c r="E354" s="99">
        <f>E349+E350+E353+E351+E352</f>
        <v>179448625</v>
      </c>
      <c r="G354" s="99">
        <f>G349+G350+G353+G351+G352</f>
        <v>206088565.90578637</v>
      </c>
      <c r="I354" s="96"/>
      <c r="J354" s="96"/>
      <c r="K354" s="97">
        <f>SUM(K345:K353)</f>
        <v>13215769.192405935</v>
      </c>
      <c r="M354" s="97">
        <f>SUM(M345:M353)</f>
        <v>15155165</v>
      </c>
      <c r="O354" s="96"/>
      <c r="P354" s="96"/>
      <c r="Q354" s="97">
        <f>SUM(Q345:Q353)</f>
        <v>16100676</v>
      </c>
      <c r="R354" s="85" t="s">
        <v>59</v>
      </c>
      <c r="S354" s="86">
        <f>Q354</f>
        <v>16100676</v>
      </c>
      <c r="U354" s="66"/>
      <c r="V354" s="60"/>
      <c r="W354" s="60"/>
      <c r="AG354" s="60"/>
      <c r="AH354" s="60"/>
      <c r="AU354" s="96"/>
      <c r="AV354" s="96"/>
      <c r="AW354" s="97">
        <f>SUM(AW345:AW353)</f>
        <v>12216793.192405935</v>
      </c>
      <c r="AX354" s="66" t="s">
        <v>87</v>
      </c>
      <c r="AY354" s="107" t="s">
        <v>8</v>
      </c>
    </row>
    <row r="355" spans="1:51" ht="16.5" thickTop="1">
      <c r="A355" s="57">
        <f t="shared" si="21"/>
        <v>353</v>
      </c>
      <c r="B355" s="64" t="s">
        <v>60</v>
      </c>
      <c r="E355" s="59"/>
      <c r="G355" s="59"/>
      <c r="I355" s="76"/>
      <c r="J355" s="26">
        <v>0</v>
      </c>
      <c r="K355" s="81">
        <f>ROUND(SUM(K346:K352)*J355,0)</f>
        <v>0</v>
      </c>
      <c r="M355" s="81">
        <f>ROUND(SUM(M346:M352)*J355,0)</f>
        <v>0</v>
      </c>
      <c r="O355" s="76"/>
      <c r="P355" s="26">
        <v>0</v>
      </c>
      <c r="Q355" s="81">
        <f>ROUND(SUM(Q346:Q352)*P355,0)</f>
        <v>0</v>
      </c>
      <c r="R355" s="88" t="s">
        <v>61</v>
      </c>
      <c r="S355" s="89">
        <v>16100652.30327031</v>
      </c>
      <c r="U355" s="66"/>
      <c r="V355" s="60"/>
      <c r="W355" s="60"/>
      <c r="AG355" s="60"/>
      <c r="AH355" s="60"/>
      <c r="AU355" s="76"/>
      <c r="AV355" s="26">
        <v>0.0358</v>
      </c>
      <c r="AW355" s="81">
        <f>ROUND(SUM(AW346:AW352)*AV355,0)</f>
        <v>427071</v>
      </c>
      <c r="AX355" s="66" t="s">
        <v>87</v>
      </c>
      <c r="AY355" s="107" t="s">
        <v>8</v>
      </c>
    </row>
    <row r="356" spans="1:51" ht="15.75">
      <c r="A356" s="57">
        <f t="shared" si="21"/>
        <v>354</v>
      </c>
      <c r="B356" s="64" t="s">
        <v>62</v>
      </c>
      <c r="E356" s="59"/>
      <c r="G356" s="59"/>
      <c r="I356" s="76"/>
      <c r="J356" s="26">
        <v>0.0304</v>
      </c>
      <c r="K356" s="81">
        <f>ROUND(SUM(K346:K352,K355)*J356,0)</f>
        <v>393021</v>
      </c>
      <c r="M356" s="81">
        <f>ROUND(SUM(M346:M352,M355)*J356,0)</f>
        <v>451815</v>
      </c>
      <c r="O356" s="76"/>
      <c r="P356" s="26">
        <v>0.0304</v>
      </c>
      <c r="Q356" s="81">
        <f>ROUND(SUM(Q346:Q352,Q355)*P356,0)</f>
        <v>480401</v>
      </c>
      <c r="R356" s="90" t="s">
        <v>515</v>
      </c>
      <c r="S356" s="91">
        <f>S355-S354</f>
        <v>-23.696729689836502</v>
      </c>
      <c r="V356" s="60"/>
      <c r="W356" s="60"/>
      <c r="AG356" s="60"/>
      <c r="AH356" s="60"/>
      <c r="AU356" s="76"/>
      <c r="AV356" s="26"/>
      <c r="AW356" s="81">
        <f>ROUND(SUM(AW346:AW352,AW355)*AV356,0)</f>
        <v>0</v>
      </c>
      <c r="AX356" s="66" t="s">
        <v>87</v>
      </c>
      <c r="AY356" s="107" t="s">
        <v>8</v>
      </c>
    </row>
    <row r="357" spans="1:51" ht="15.75">
      <c r="A357" s="57">
        <f t="shared" si="21"/>
        <v>355</v>
      </c>
      <c r="E357" s="59"/>
      <c r="G357" s="59"/>
      <c r="S357" s="60"/>
      <c r="U357" s="66"/>
      <c r="V357" s="60"/>
      <c r="AG357" s="60"/>
      <c r="AH357" s="60"/>
      <c r="AX357" s="66" t="s">
        <v>87</v>
      </c>
      <c r="AY357" s="107" t="s">
        <v>8</v>
      </c>
    </row>
    <row r="358" spans="1:51" ht="15.75">
      <c r="A358" s="57">
        <f t="shared" si="21"/>
        <v>356</v>
      </c>
      <c r="B358" s="64" t="s">
        <v>135</v>
      </c>
      <c r="E358" s="59"/>
      <c r="G358" s="59"/>
      <c r="J358" s="93"/>
      <c r="P358" s="93"/>
      <c r="R358" s="55"/>
      <c r="AG358" s="60"/>
      <c r="AH358" s="60"/>
      <c r="AV358" s="93"/>
      <c r="AX358" s="66" t="s">
        <v>99</v>
      </c>
      <c r="AY358" s="107" t="s">
        <v>8</v>
      </c>
    </row>
    <row r="359" spans="1:51" ht="15.75">
      <c r="A359" s="57">
        <f t="shared" si="21"/>
        <v>357</v>
      </c>
      <c r="B359" s="64" t="s">
        <v>136</v>
      </c>
      <c r="E359" s="59"/>
      <c r="G359" s="59"/>
      <c r="J359" s="65"/>
      <c r="P359" s="65"/>
      <c r="T359" s="60"/>
      <c r="U359" s="60"/>
      <c r="AG359" s="60"/>
      <c r="AH359" s="60"/>
      <c r="AV359" s="65"/>
      <c r="AX359" s="66" t="s">
        <v>99</v>
      </c>
      <c r="AY359" s="107" t="s">
        <v>8</v>
      </c>
    </row>
    <row r="360" spans="1:51" ht="15.75">
      <c r="A360" s="57">
        <f t="shared" si="21"/>
        <v>358</v>
      </c>
      <c r="B360" s="103" t="s">
        <v>105</v>
      </c>
      <c r="E360" s="59"/>
      <c r="G360" s="59"/>
      <c r="AG360" s="60"/>
      <c r="AH360" s="60"/>
      <c r="AX360" s="66" t="s">
        <v>99</v>
      </c>
      <c r="AY360" s="107" t="s">
        <v>8</v>
      </c>
    </row>
    <row r="361" spans="1:51" ht="15.75">
      <c r="A361" s="57">
        <f t="shared" si="21"/>
        <v>359</v>
      </c>
      <c r="B361" s="98" t="s">
        <v>140</v>
      </c>
      <c r="E361" s="59"/>
      <c r="G361" s="59"/>
      <c r="AG361" s="60"/>
      <c r="AH361" s="60"/>
      <c r="AX361" s="66" t="s">
        <v>99</v>
      </c>
      <c r="AY361" s="107" t="s">
        <v>8</v>
      </c>
    </row>
    <row r="362" spans="1:51" ht="15.75">
      <c r="A362" s="57">
        <f t="shared" si="21"/>
        <v>360</v>
      </c>
      <c r="B362" s="64" t="s">
        <v>44</v>
      </c>
      <c r="E362" s="59">
        <f>16131+12-30-44-5-7</f>
        <v>16057</v>
      </c>
      <c r="G362" s="59">
        <v>17540.965698055494</v>
      </c>
      <c r="I362" s="76">
        <f>I345</f>
        <v>14.74</v>
      </c>
      <c r="K362" s="66">
        <f>ROUND(I362*$E362,0)</f>
        <v>236680</v>
      </c>
      <c r="M362" s="66">
        <f>ROUND(I362*$G362,0)</f>
        <v>258554</v>
      </c>
      <c r="O362" s="76">
        <f>O345</f>
        <v>15</v>
      </c>
      <c r="Q362" s="66">
        <f>ROUND(O362*$G362,0)</f>
        <v>263114</v>
      </c>
      <c r="AG362" s="60"/>
      <c r="AH362" s="60"/>
      <c r="AU362" s="76">
        <f>AU345</f>
        <v>14.74</v>
      </c>
      <c r="AW362" s="66">
        <f>ROUND(AU362*$E362,0)</f>
        <v>236680</v>
      </c>
      <c r="AX362" s="66" t="s">
        <v>99</v>
      </c>
      <c r="AY362" s="107" t="s">
        <v>8</v>
      </c>
    </row>
    <row r="363" spans="1:51" ht="15.75">
      <c r="A363" s="57">
        <f t="shared" si="21"/>
        <v>361</v>
      </c>
      <c r="B363" s="64" t="s">
        <v>137</v>
      </c>
      <c r="E363" s="59">
        <f>438002.93+149-4795-149</f>
        <v>433207.93</v>
      </c>
      <c r="G363" s="59">
        <f aca="true" t="shared" si="24" ref="G363:G369">E363*($G$371-$G$370)/($E$371-$E$370)</f>
        <v>498013.18979607744</v>
      </c>
      <c r="I363" s="76">
        <f>I346</f>
        <v>4.22</v>
      </c>
      <c r="K363" s="66">
        <f>ROUND(I363*$E363,0)</f>
        <v>1828137</v>
      </c>
      <c r="M363" s="66">
        <f>ROUND(I363*$G363,0)</f>
        <v>2101616</v>
      </c>
      <c r="O363" s="76">
        <f>O346</f>
        <v>4.61</v>
      </c>
      <c r="Q363" s="66">
        <f>ROUND(O363*$G363,0)</f>
        <v>2295841</v>
      </c>
      <c r="AG363" s="60"/>
      <c r="AH363" s="60"/>
      <c r="AU363" s="76">
        <f>AU346</f>
        <v>3.53</v>
      </c>
      <c r="AW363" s="66">
        <f>ROUND(AU363*$E363,0)</f>
        <v>1529224</v>
      </c>
      <c r="AX363" s="66" t="s">
        <v>99</v>
      </c>
      <c r="AY363" s="107" t="s">
        <v>8</v>
      </c>
    </row>
    <row r="364" spans="1:51" ht="15.75">
      <c r="A364" s="57">
        <f aca="true" t="shared" si="25" ref="A364:A427">A363+1</f>
        <v>362</v>
      </c>
      <c r="B364" s="64" t="s">
        <v>138</v>
      </c>
      <c r="E364" s="59">
        <f>552359.24+14043-38230-14043</f>
        <v>514129.24</v>
      </c>
      <c r="G364" s="59">
        <f t="shared" si="24"/>
        <v>591039.833411713</v>
      </c>
      <c r="I364" s="76">
        <f>I347</f>
        <v>3.53</v>
      </c>
      <c r="K364" s="66">
        <f>ROUND(I364*$E364,0)</f>
        <v>1814876</v>
      </c>
      <c r="M364" s="66">
        <f>ROUND(I364*$G364,0)</f>
        <v>2086371</v>
      </c>
      <c r="O364" s="76">
        <f>O347</f>
        <v>3.86</v>
      </c>
      <c r="Q364" s="66">
        <f>ROUND(O364*$G364,0)</f>
        <v>2281414</v>
      </c>
      <c r="AG364" s="60"/>
      <c r="AH364" s="60"/>
      <c r="AU364" s="76">
        <f>AU347</f>
        <v>3.53</v>
      </c>
      <c r="AW364" s="66">
        <f>ROUND(AU364*$E364,0)</f>
        <v>1814876</v>
      </c>
      <c r="AX364" s="66" t="s">
        <v>99</v>
      </c>
      <c r="AY364" s="107" t="s">
        <v>8</v>
      </c>
    </row>
    <row r="365" spans="1:51" ht="15.75">
      <c r="A365" s="57">
        <f t="shared" si="25"/>
        <v>363</v>
      </c>
      <c r="B365" s="64" t="s">
        <v>93</v>
      </c>
      <c r="E365" s="59">
        <f>29154-4021-14163</f>
        <v>10970</v>
      </c>
      <c r="G365" s="59">
        <f t="shared" si="24"/>
        <v>12611.044982632171</v>
      </c>
      <c r="I365" s="76">
        <f>I348</f>
        <v>-0.39</v>
      </c>
      <c r="K365" s="66">
        <f>ROUND(I365*$E365,0)</f>
        <v>-4278</v>
      </c>
      <c r="M365" s="66">
        <f>ROUND(I365*$G365,0)</f>
        <v>-4918</v>
      </c>
      <c r="O365" s="76">
        <f>O348</f>
        <v>-0.43</v>
      </c>
      <c r="Q365" s="66">
        <f>ROUND(O365*$G365,0)</f>
        <v>-5423</v>
      </c>
      <c r="AG365" s="60"/>
      <c r="AH365" s="60"/>
      <c r="AU365" s="76">
        <f>AU348</f>
        <v>-0.39</v>
      </c>
      <c r="AW365" s="66">
        <f>ROUND(AU365*$E365,0)</f>
        <v>-4278</v>
      </c>
      <c r="AX365" s="66" t="s">
        <v>99</v>
      </c>
      <c r="AY365" s="107" t="s">
        <v>8</v>
      </c>
    </row>
    <row r="366" spans="1:51" ht="15.75">
      <c r="A366" s="57">
        <f t="shared" si="25"/>
        <v>364</v>
      </c>
      <c r="B366" s="64" t="s">
        <v>69</v>
      </c>
      <c r="E366" s="59">
        <f>23278761+12400-381240-12400</f>
        <v>22897521</v>
      </c>
      <c r="G366" s="59">
        <f t="shared" si="24"/>
        <v>26322850.257225595</v>
      </c>
      <c r="J366" s="106">
        <f>J349</f>
        <v>8.043</v>
      </c>
      <c r="K366" s="66">
        <f>ROUND(J366*$E366/100,0)</f>
        <v>1841648</v>
      </c>
      <c r="M366" s="66">
        <f>ROUND(J366*$G366/100,0)</f>
        <v>2117147</v>
      </c>
      <c r="P366" s="106">
        <f>P349</f>
        <v>8.4174</v>
      </c>
      <c r="Q366" s="66">
        <f>ROUND(P366*$G366/100,0)</f>
        <v>2215700</v>
      </c>
      <c r="AG366" s="60"/>
      <c r="AH366" s="60"/>
      <c r="AV366" s="106">
        <f>AV349</f>
        <v>6.7231</v>
      </c>
      <c r="AW366" s="66">
        <f>ROUND(AV366*$E366/100,0)</f>
        <v>1539423</v>
      </c>
      <c r="AX366" s="66" t="s">
        <v>99</v>
      </c>
      <c r="AY366" s="107" t="s">
        <v>8</v>
      </c>
    </row>
    <row r="367" spans="1:51" ht="15.75">
      <c r="A367" s="57">
        <f t="shared" si="25"/>
        <v>365</v>
      </c>
      <c r="B367" s="64" t="s">
        <v>71</v>
      </c>
      <c r="D367" s="76"/>
      <c r="E367" s="59">
        <f>31184452+14640-394900-14640</f>
        <v>30789552</v>
      </c>
      <c r="F367" s="76"/>
      <c r="G367" s="59">
        <f t="shared" si="24"/>
        <v>35395480.88122993</v>
      </c>
      <c r="H367" s="76"/>
      <c r="J367" s="106">
        <f>J350</f>
        <v>2.4215</v>
      </c>
      <c r="K367" s="66">
        <f>ROUND(J367*$E367/100,0)</f>
        <v>745569</v>
      </c>
      <c r="L367" s="76"/>
      <c r="M367" s="66">
        <f>ROUND(J367*$G367/100,0)</f>
        <v>857102</v>
      </c>
      <c r="N367" s="76"/>
      <c r="P367" s="106">
        <f>P350</f>
        <v>2.5342</v>
      </c>
      <c r="Q367" s="66">
        <f>ROUND(P367*$G367/100,0)</f>
        <v>896992</v>
      </c>
      <c r="AG367" s="60"/>
      <c r="AH367" s="60"/>
      <c r="AT367" s="76"/>
      <c r="AV367" s="106">
        <f>AV350</f>
        <v>2.0241</v>
      </c>
      <c r="AW367" s="66">
        <f>ROUND(AV367*$E367/100,0)</f>
        <v>623211</v>
      </c>
      <c r="AX367" s="66" t="s">
        <v>99</v>
      </c>
      <c r="AY367" s="107" t="s">
        <v>8</v>
      </c>
    </row>
    <row r="368" spans="1:51" ht="15.75">
      <c r="A368" s="57">
        <f t="shared" si="25"/>
        <v>366</v>
      </c>
      <c r="B368" s="64" t="s">
        <v>139</v>
      </c>
      <c r="E368" s="59">
        <f>43829523+1657100-4389360-1657100</f>
        <v>39440163</v>
      </c>
      <c r="G368" s="59">
        <f t="shared" si="24"/>
        <v>45340170.4389558</v>
      </c>
      <c r="J368" s="106">
        <f>J351</f>
        <v>6.7231</v>
      </c>
      <c r="K368" s="66">
        <f>ROUND(J368*$E368/100,0)</f>
        <v>2651602</v>
      </c>
      <c r="M368" s="66">
        <f>ROUND(J368*$G368/100,0)</f>
        <v>3048265</v>
      </c>
      <c r="P368" s="106">
        <f>P351</f>
        <v>7.035999999999999</v>
      </c>
      <c r="Q368" s="66">
        <f>ROUND(P368*$G368/100,0)</f>
        <v>3190134</v>
      </c>
      <c r="AG368" s="60"/>
      <c r="AH368" s="60"/>
      <c r="AV368" s="106">
        <f>AV351</f>
        <v>6.7231</v>
      </c>
      <c r="AW368" s="66">
        <f>ROUND(AV368*$E368/100,0)</f>
        <v>2651602</v>
      </c>
      <c r="AX368" s="66" t="s">
        <v>99</v>
      </c>
      <c r="AY368" s="107" t="s">
        <v>8</v>
      </c>
    </row>
    <row r="369" spans="1:51" ht="15.75">
      <c r="A369" s="57">
        <f t="shared" si="25"/>
        <v>367</v>
      </c>
      <c r="B369" s="64" t="s">
        <v>74</v>
      </c>
      <c r="D369" s="76"/>
      <c r="E369" s="59">
        <f>50674226+2128520-5117060-2128520</f>
        <v>45557166</v>
      </c>
      <c r="F369" s="76"/>
      <c r="G369" s="59">
        <f t="shared" si="24"/>
        <v>52372239.71807119</v>
      </c>
      <c r="H369" s="76"/>
      <c r="J369" s="106">
        <f>J352</f>
        <v>2.0241</v>
      </c>
      <c r="K369" s="66">
        <f>ROUND(J369*$E369/100,0)</f>
        <v>922123</v>
      </c>
      <c r="L369" s="76"/>
      <c r="M369" s="66">
        <f>ROUND(J369*$G369/100,0)</f>
        <v>1060067</v>
      </c>
      <c r="N369" s="76"/>
      <c r="P369" s="106">
        <f>P352</f>
        <v>2.1183</v>
      </c>
      <c r="Q369" s="66">
        <f>ROUND(P369*$G369/100,0)</f>
        <v>1109401</v>
      </c>
      <c r="AG369" s="60"/>
      <c r="AH369" s="60"/>
      <c r="AT369" s="76"/>
      <c r="AV369" s="106">
        <f>AV352</f>
        <v>2.0241</v>
      </c>
      <c r="AW369" s="66">
        <f>ROUND(AV369*$E369/100,0)</f>
        <v>922123</v>
      </c>
      <c r="AX369" s="66" t="s">
        <v>99</v>
      </c>
      <c r="AY369" s="107" t="s">
        <v>8</v>
      </c>
    </row>
    <row r="370" spans="1:51" ht="15.75">
      <c r="A370" s="57">
        <f t="shared" si="25"/>
        <v>368</v>
      </c>
      <c r="B370" s="64" t="s">
        <v>57</v>
      </c>
      <c r="E370" s="22">
        <v>329999</v>
      </c>
      <c r="G370" s="22">
        <v>0</v>
      </c>
      <c r="I370" s="76"/>
      <c r="K370" s="81">
        <f>AW370</f>
        <v>23135.19240593511</v>
      </c>
      <c r="M370" s="81">
        <v>0</v>
      </c>
      <c r="O370" s="76"/>
      <c r="Q370" s="81">
        <v>0</v>
      </c>
      <c r="AG370" s="60"/>
      <c r="AH370" s="60"/>
      <c r="AU370" s="76"/>
      <c r="AW370" s="81">
        <v>23135.19240593511</v>
      </c>
      <c r="AX370" s="66" t="s">
        <v>99</v>
      </c>
      <c r="AY370" s="107" t="s">
        <v>8</v>
      </c>
    </row>
    <row r="371" spans="1:51" ht="16.5" thickBot="1">
      <c r="A371" s="57">
        <f t="shared" si="25"/>
        <v>369</v>
      </c>
      <c r="B371" s="64" t="s">
        <v>58</v>
      </c>
      <c r="E371" s="99">
        <f>E366+E367+E370+E368+E369</f>
        <v>139014401</v>
      </c>
      <c r="G371" s="99">
        <v>159430741.29548252</v>
      </c>
      <c r="I371" s="96"/>
      <c r="J371" s="96"/>
      <c r="K371" s="97">
        <f>SUM(K362:K370)</f>
        <v>10059492.192405935</v>
      </c>
      <c r="M371" s="97">
        <f>SUM(M362:M370)</f>
        <v>11524204</v>
      </c>
      <c r="O371" s="96"/>
      <c r="P371" s="96"/>
      <c r="Q371" s="97">
        <f>SUM(Q362:Q370)</f>
        <v>12247173</v>
      </c>
      <c r="AG371" s="60"/>
      <c r="AH371" s="60"/>
      <c r="AU371" s="96"/>
      <c r="AV371" s="96"/>
      <c r="AW371" s="97">
        <f>SUM(AW362:AW370)</f>
        <v>9335996.192405935</v>
      </c>
      <c r="AX371" s="66" t="s">
        <v>99</v>
      </c>
      <c r="AY371" s="107" t="s">
        <v>8</v>
      </c>
    </row>
    <row r="372" spans="1:51" ht="16.5" thickTop="1">
      <c r="A372" s="57">
        <f t="shared" si="25"/>
        <v>370</v>
      </c>
      <c r="B372" s="64" t="s">
        <v>60</v>
      </c>
      <c r="E372" s="59"/>
      <c r="G372" s="59"/>
      <c r="I372" s="76"/>
      <c r="J372" s="26">
        <f>J355</f>
        <v>0</v>
      </c>
      <c r="K372" s="81">
        <f>ROUND(SUM(K363:K369)*J372,0)</f>
        <v>0</v>
      </c>
      <c r="M372" s="81">
        <f>ROUND(SUM(M363:M369)*J372,0)</f>
        <v>0</v>
      </c>
      <c r="O372" s="76"/>
      <c r="P372" s="26">
        <f>P355</f>
        <v>0</v>
      </c>
      <c r="Q372" s="81">
        <f>ROUND(SUM(Q363:Q369)*P372,0)</f>
        <v>0</v>
      </c>
      <c r="AG372" s="60"/>
      <c r="AH372" s="60"/>
      <c r="AU372" s="76"/>
      <c r="AV372" s="26">
        <f>AV355</f>
        <v>0.0358</v>
      </c>
      <c r="AW372" s="81">
        <f>ROUND(SUM(AW363:AW369)*AV372,0)</f>
        <v>324927</v>
      </c>
      <c r="AX372" s="66" t="s">
        <v>99</v>
      </c>
      <c r="AY372" s="107" t="s">
        <v>8</v>
      </c>
    </row>
    <row r="373" spans="1:51" ht="15.75">
      <c r="A373" s="57">
        <f t="shared" si="25"/>
        <v>371</v>
      </c>
      <c r="B373" s="64" t="s">
        <v>62</v>
      </c>
      <c r="E373" s="59"/>
      <c r="G373" s="59"/>
      <c r="I373" s="76"/>
      <c r="J373" s="26">
        <f>J356</f>
        <v>0.0304</v>
      </c>
      <c r="K373" s="81">
        <f>ROUND(SUM(K363:K369,K372)*J373,0)</f>
        <v>297910</v>
      </c>
      <c r="M373" s="81">
        <f>ROUND(SUM(M363:M369,M372)*J373,0)</f>
        <v>342476</v>
      </c>
      <c r="O373" s="76"/>
      <c r="P373" s="26">
        <f>P356</f>
        <v>0.0304</v>
      </c>
      <c r="Q373" s="81">
        <f>ROUND(SUM(Q363:Q369,Q372)*P373,0)</f>
        <v>364315</v>
      </c>
      <c r="S373" s="60"/>
      <c r="T373" s="60"/>
      <c r="U373" s="60"/>
      <c r="V373" s="60"/>
      <c r="AG373" s="60"/>
      <c r="AH373" s="60"/>
      <c r="AU373" s="76"/>
      <c r="AV373" s="26">
        <f>AV356</f>
        <v>0</v>
      </c>
      <c r="AW373" s="81">
        <f>ROUND(SUM(AW363:AW369,AW372)*AV373,0)</f>
        <v>0</v>
      </c>
      <c r="AX373" s="66" t="s">
        <v>99</v>
      </c>
      <c r="AY373" s="107" t="s">
        <v>8</v>
      </c>
    </row>
    <row r="374" spans="1:51" ht="15.75">
      <c r="A374" s="57">
        <f t="shared" si="25"/>
        <v>372</v>
      </c>
      <c r="E374" s="59"/>
      <c r="G374" s="59"/>
      <c r="AG374" s="60"/>
      <c r="AH374" s="60"/>
      <c r="AX374" s="66" t="s">
        <v>99</v>
      </c>
      <c r="AY374" s="107" t="s">
        <v>8</v>
      </c>
    </row>
    <row r="375" spans="1:51" ht="15.75">
      <c r="A375" s="57">
        <f t="shared" si="25"/>
        <v>373</v>
      </c>
      <c r="B375" s="64" t="s">
        <v>135</v>
      </c>
      <c r="E375" s="59"/>
      <c r="G375" s="59"/>
      <c r="J375" s="93"/>
      <c r="P375" s="93"/>
      <c r="AG375" s="60"/>
      <c r="AH375" s="60"/>
      <c r="AV375" s="93"/>
      <c r="AX375" s="66" t="s">
        <v>108</v>
      </c>
      <c r="AY375" s="107" t="s">
        <v>8</v>
      </c>
    </row>
    <row r="376" spans="1:51" ht="15.75">
      <c r="A376" s="57">
        <f t="shared" si="25"/>
        <v>374</v>
      </c>
      <c r="B376" s="64" t="s">
        <v>136</v>
      </c>
      <c r="E376" s="59"/>
      <c r="G376" s="59"/>
      <c r="J376" s="65"/>
      <c r="P376" s="65"/>
      <c r="AG376" s="60"/>
      <c r="AH376" s="60"/>
      <c r="AV376" s="65"/>
      <c r="AX376" s="66" t="s">
        <v>108</v>
      </c>
      <c r="AY376" s="107" t="s">
        <v>8</v>
      </c>
    </row>
    <row r="377" spans="1:51" ht="15.75">
      <c r="A377" s="57">
        <f t="shared" si="25"/>
        <v>375</v>
      </c>
      <c r="B377" s="103" t="s">
        <v>141</v>
      </c>
      <c r="E377" s="59"/>
      <c r="G377" s="59"/>
      <c r="AG377" s="60"/>
      <c r="AH377" s="60"/>
      <c r="AX377" s="66" t="s">
        <v>108</v>
      </c>
      <c r="AY377" s="107" t="s">
        <v>8</v>
      </c>
    </row>
    <row r="378" spans="1:51" ht="15.75">
      <c r="A378" s="57">
        <f t="shared" si="25"/>
        <v>376</v>
      </c>
      <c r="B378" s="98" t="s">
        <v>140</v>
      </c>
      <c r="E378" s="59"/>
      <c r="G378" s="59"/>
      <c r="AG378" s="60"/>
      <c r="AH378" s="60"/>
      <c r="AX378" s="66" t="s">
        <v>108</v>
      </c>
      <c r="AY378" s="107" t="s">
        <v>8</v>
      </c>
    </row>
    <row r="379" spans="1:51" ht="15.75">
      <c r="A379" s="57">
        <f t="shared" si="25"/>
        <v>377</v>
      </c>
      <c r="B379" s="64" t="s">
        <v>44</v>
      </c>
      <c r="E379" s="59">
        <f>2165-15-21</f>
        <v>2129</v>
      </c>
      <c r="G379" s="59">
        <v>2325.7592309372953</v>
      </c>
      <c r="I379" s="76">
        <f>I345</f>
        <v>14.74</v>
      </c>
      <c r="K379" s="66">
        <f>ROUND(I379*$E379,0)</f>
        <v>31381</v>
      </c>
      <c r="M379" s="66">
        <f>ROUND(I379*$G379,0)</f>
        <v>34282</v>
      </c>
      <c r="O379" s="76">
        <f>O345</f>
        <v>15</v>
      </c>
      <c r="Q379" s="66">
        <f>ROUND(O379*$G379,0)</f>
        <v>34886</v>
      </c>
      <c r="AG379" s="60"/>
      <c r="AH379" s="60"/>
      <c r="AU379" s="76">
        <f>AU345</f>
        <v>14.74</v>
      </c>
      <c r="AW379" s="66">
        <f>ROUND(AU379*$E379,0)</f>
        <v>31381</v>
      </c>
      <c r="AX379" s="66" t="s">
        <v>108</v>
      </c>
      <c r="AY379" s="107" t="s">
        <v>8</v>
      </c>
    </row>
    <row r="380" spans="1:51" ht="15.75">
      <c r="A380" s="57">
        <f t="shared" si="25"/>
        <v>378</v>
      </c>
      <c r="B380" s="64" t="s">
        <v>137</v>
      </c>
      <c r="E380" s="59">
        <f>171150.34-47637</f>
        <v>123513.34</v>
      </c>
      <c r="G380" s="59">
        <f aca="true" t="shared" si="26" ref="G380:G386">E380*($G$388-$G$387)/($E$388-$E$387)</f>
        <v>141990.18110256532</v>
      </c>
      <c r="I380" s="76">
        <f>I346</f>
        <v>4.22</v>
      </c>
      <c r="K380" s="66">
        <f>ROUND(I380*$E380,0)</f>
        <v>521226</v>
      </c>
      <c r="M380" s="66">
        <f>ROUND(I380*$G380,0)</f>
        <v>599199</v>
      </c>
      <c r="O380" s="76">
        <f>O346</f>
        <v>4.61</v>
      </c>
      <c r="Q380" s="66">
        <f>ROUND(O380*$G380,0)</f>
        <v>654575</v>
      </c>
      <c r="AG380" s="60"/>
      <c r="AH380" s="60"/>
      <c r="AU380" s="76">
        <f>AU346</f>
        <v>3.53</v>
      </c>
      <c r="AW380" s="66">
        <f>ROUND(AU380*$E380,0)</f>
        <v>436002</v>
      </c>
      <c r="AX380" s="66" t="s">
        <v>108</v>
      </c>
      <c r="AY380" s="107" t="s">
        <v>8</v>
      </c>
    </row>
    <row r="381" spans="1:51" ht="15.75">
      <c r="A381" s="57">
        <f t="shared" si="25"/>
        <v>379</v>
      </c>
      <c r="B381" s="64" t="s">
        <v>138</v>
      </c>
      <c r="E381" s="59">
        <f>209217.71-65415</f>
        <v>143802.71</v>
      </c>
      <c r="G381" s="59">
        <f t="shared" si="26"/>
        <v>165314.71690377474</v>
      </c>
      <c r="I381" s="76">
        <f>I347</f>
        <v>3.53</v>
      </c>
      <c r="K381" s="66">
        <f>ROUND(I381*$E381,0)</f>
        <v>507624</v>
      </c>
      <c r="M381" s="66">
        <f>ROUND(I381*$G381,0)</f>
        <v>583561</v>
      </c>
      <c r="O381" s="76">
        <f>O347</f>
        <v>3.86</v>
      </c>
      <c r="Q381" s="66">
        <f>ROUND(O381*$G381,0)</f>
        <v>638115</v>
      </c>
      <c r="AG381" s="60"/>
      <c r="AH381" s="60"/>
      <c r="AU381" s="76">
        <f>AU347</f>
        <v>3.53</v>
      </c>
      <c r="AW381" s="66">
        <f>ROUND(AU381*$E381,0)</f>
        <v>507624</v>
      </c>
      <c r="AX381" s="66" t="s">
        <v>108</v>
      </c>
      <c r="AY381" s="107" t="s">
        <v>8</v>
      </c>
    </row>
    <row r="382" spans="1:51" ht="15.75">
      <c r="A382" s="57">
        <f t="shared" si="25"/>
        <v>380</v>
      </c>
      <c r="B382" s="64" t="s">
        <v>93</v>
      </c>
      <c r="D382" s="76"/>
      <c r="E382" s="59">
        <f>127030-47637-65415</f>
        <v>13978</v>
      </c>
      <c r="F382" s="76"/>
      <c r="G382" s="59">
        <f t="shared" si="26"/>
        <v>16069.023406311075</v>
      </c>
      <c r="H382" s="76"/>
      <c r="I382" s="76">
        <f>I348</f>
        <v>-0.39</v>
      </c>
      <c r="K382" s="66">
        <f>ROUND(I382*$E382,0)</f>
        <v>-5451</v>
      </c>
      <c r="L382" s="76"/>
      <c r="M382" s="66">
        <f>ROUND(I382*$G382,0)</f>
        <v>-6267</v>
      </c>
      <c r="N382" s="76"/>
      <c r="O382" s="76">
        <f>O348</f>
        <v>-0.43</v>
      </c>
      <c r="Q382" s="66">
        <f>ROUND(O382*$G382,0)</f>
        <v>-6910</v>
      </c>
      <c r="AG382" s="60"/>
      <c r="AH382" s="60"/>
      <c r="AT382" s="76"/>
      <c r="AU382" s="76">
        <f>AU348</f>
        <v>-0.39</v>
      </c>
      <c r="AW382" s="66">
        <f>ROUND(AU382*$E382,0)</f>
        <v>-5451</v>
      </c>
      <c r="AX382" s="66" t="s">
        <v>108</v>
      </c>
      <c r="AY382" s="107" t="s">
        <v>8</v>
      </c>
    </row>
    <row r="383" spans="1:51" ht="15.75">
      <c r="A383" s="57">
        <f t="shared" si="25"/>
        <v>381</v>
      </c>
      <c r="B383" s="64" t="s">
        <v>69</v>
      </c>
      <c r="D383" s="76"/>
      <c r="E383" s="59">
        <f>16107675-4485000</f>
        <v>11622675</v>
      </c>
      <c r="F383" s="76"/>
      <c r="G383" s="59">
        <f t="shared" si="26"/>
        <v>13361356.17534315</v>
      </c>
      <c r="H383" s="76"/>
      <c r="J383" s="106">
        <f>J349</f>
        <v>8.043</v>
      </c>
      <c r="K383" s="66">
        <f>ROUND(J383*$E383/100,0)</f>
        <v>934812</v>
      </c>
      <c r="L383" s="76"/>
      <c r="M383" s="66">
        <f>ROUND(J383*$G383/100,0)</f>
        <v>1074654</v>
      </c>
      <c r="N383" s="76"/>
      <c r="P383" s="106">
        <f>P349</f>
        <v>8.4174</v>
      </c>
      <c r="Q383" s="66">
        <f>ROUND(P383*$G383/100,0)</f>
        <v>1124679</v>
      </c>
      <c r="AG383" s="60"/>
      <c r="AH383" s="60"/>
      <c r="AT383" s="76"/>
      <c r="AV383" s="106">
        <f>AV349</f>
        <v>6.7231</v>
      </c>
      <c r="AW383" s="66">
        <f>ROUND(AV383*$E383/100,0)</f>
        <v>781404</v>
      </c>
      <c r="AX383" s="66" t="s">
        <v>108</v>
      </c>
      <c r="AY383" s="107" t="s">
        <v>8</v>
      </c>
    </row>
    <row r="384" spans="1:51" ht="15.75">
      <c r="A384" s="57">
        <f t="shared" si="25"/>
        <v>382</v>
      </c>
      <c r="B384" s="64" t="s">
        <v>71</v>
      </c>
      <c r="D384" s="76"/>
      <c r="E384" s="59">
        <f>10176961-904600</f>
        <v>9272361</v>
      </c>
      <c r="F384" s="76"/>
      <c r="G384" s="59">
        <f t="shared" si="26"/>
        <v>10659449.559362281</v>
      </c>
      <c r="H384" s="76"/>
      <c r="J384" s="106">
        <f>J350</f>
        <v>2.4215</v>
      </c>
      <c r="K384" s="66">
        <f>ROUND(J384*$E384/100,0)</f>
        <v>224530</v>
      </c>
      <c r="L384" s="76"/>
      <c r="M384" s="66">
        <f>ROUND(J384*$G384/100,0)</f>
        <v>258119</v>
      </c>
      <c r="N384" s="76"/>
      <c r="P384" s="106">
        <f>P350</f>
        <v>2.5342</v>
      </c>
      <c r="Q384" s="66">
        <f>ROUND(P384*$G384/100,0)</f>
        <v>270132</v>
      </c>
      <c r="AG384" s="60"/>
      <c r="AH384" s="60"/>
      <c r="AT384" s="76"/>
      <c r="AV384" s="106">
        <f>AV350</f>
        <v>2.0241</v>
      </c>
      <c r="AW384" s="66">
        <f>ROUND(AV384*$E384/100,0)</f>
        <v>187682</v>
      </c>
      <c r="AX384" s="66" t="s">
        <v>108</v>
      </c>
      <c r="AY384" s="107" t="s">
        <v>8</v>
      </c>
    </row>
    <row r="385" spans="1:51" ht="15.75">
      <c r="A385" s="57">
        <f t="shared" si="25"/>
        <v>383</v>
      </c>
      <c r="B385" s="64" t="s">
        <v>139</v>
      </c>
      <c r="D385" s="76"/>
      <c r="E385" s="59">
        <f>17437031-5789000</f>
        <v>11648031</v>
      </c>
      <c r="F385" s="76"/>
      <c r="G385" s="59">
        <f t="shared" si="26"/>
        <v>13390505.278039562</v>
      </c>
      <c r="H385" s="76"/>
      <c r="J385" s="106">
        <f>J351</f>
        <v>6.7231</v>
      </c>
      <c r="K385" s="66">
        <f>ROUND(J385*$E385/100,0)</f>
        <v>783109</v>
      </c>
      <c r="L385" s="76"/>
      <c r="M385" s="66">
        <f>ROUND(J385*$G385/100,0)</f>
        <v>900257</v>
      </c>
      <c r="N385" s="76"/>
      <c r="P385" s="106">
        <f>P351</f>
        <v>7.035999999999999</v>
      </c>
      <c r="Q385" s="66">
        <f>ROUND(P385*$G385/100,0)</f>
        <v>942156</v>
      </c>
      <c r="AG385" s="60"/>
      <c r="AH385" s="60"/>
      <c r="AT385" s="76"/>
      <c r="AV385" s="106">
        <f>AV351</f>
        <v>6.7231</v>
      </c>
      <c r="AW385" s="66">
        <f>ROUND(AV385*$E385/100,0)</f>
        <v>783109</v>
      </c>
      <c r="AX385" s="66" t="s">
        <v>108</v>
      </c>
      <c r="AY385" s="107" t="s">
        <v>8</v>
      </c>
    </row>
    <row r="386" spans="1:51" ht="15.75">
      <c r="A386" s="57">
        <f t="shared" si="25"/>
        <v>384</v>
      </c>
      <c r="B386" s="64" t="s">
        <v>74</v>
      </c>
      <c r="D386" s="76"/>
      <c r="E386" s="59">
        <f>9276887-1233600</f>
        <v>8043287</v>
      </c>
      <c r="F386" s="76"/>
      <c r="G386" s="59">
        <f t="shared" si="26"/>
        <v>9246513.597558849</v>
      </c>
      <c r="H386" s="76"/>
      <c r="J386" s="106">
        <f>J352</f>
        <v>2.0241</v>
      </c>
      <c r="K386" s="66">
        <f>ROUND(J386*$E386/100,0)</f>
        <v>162804</v>
      </c>
      <c r="L386" s="76"/>
      <c r="M386" s="66">
        <f>ROUND(J386*$G386/100,0)</f>
        <v>187159</v>
      </c>
      <c r="N386" s="76"/>
      <c r="P386" s="106">
        <f>P352</f>
        <v>2.1183</v>
      </c>
      <c r="Q386" s="66">
        <f>ROUND(P386*$G386/100,0)</f>
        <v>195869</v>
      </c>
      <c r="AG386" s="60"/>
      <c r="AH386" s="60"/>
      <c r="AT386" s="76"/>
      <c r="AV386" s="106">
        <f>AV352</f>
        <v>2.0241</v>
      </c>
      <c r="AW386" s="66">
        <f>ROUND(AV386*$E386/100,0)</f>
        <v>162804</v>
      </c>
      <c r="AX386" s="66" t="s">
        <v>108</v>
      </c>
      <c r="AY386" s="107" t="s">
        <v>8</v>
      </c>
    </row>
    <row r="387" spans="1:51" ht="15.75">
      <c r="A387" s="57">
        <f t="shared" si="25"/>
        <v>385</v>
      </c>
      <c r="B387" s="64" t="s">
        <v>57</v>
      </c>
      <c r="E387" s="22">
        <v>-152130</v>
      </c>
      <c r="G387" s="22">
        <v>0</v>
      </c>
      <c r="I387" s="76"/>
      <c r="K387" s="81">
        <f>AW387</f>
        <v>-3757</v>
      </c>
      <c r="M387" s="81">
        <v>0</v>
      </c>
      <c r="O387" s="76"/>
      <c r="Q387" s="81">
        <v>0</v>
      </c>
      <c r="AG387" s="60"/>
      <c r="AH387" s="60"/>
      <c r="AU387" s="76"/>
      <c r="AW387" s="81">
        <v>-3757</v>
      </c>
      <c r="AX387" s="66" t="s">
        <v>108</v>
      </c>
      <c r="AY387" s="107" t="s">
        <v>8</v>
      </c>
    </row>
    <row r="388" spans="1:51" ht="16.5" thickBot="1">
      <c r="A388" s="57">
        <f t="shared" si="25"/>
        <v>386</v>
      </c>
      <c r="B388" s="64" t="s">
        <v>58</v>
      </c>
      <c r="D388" s="76"/>
      <c r="E388" s="99">
        <f>E383+E384+E387+E385+E386</f>
        <v>40434224</v>
      </c>
      <c r="F388" s="76"/>
      <c r="G388" s="99">
        <v>46657824.61030384</v>
      </c>
      <c r="H388" s="76"/>
      <c r="I388" s="96"/>
      <c r="J388" s="96"/>
      <c r="K388" s="97">
        <f>SUM(K379:K387)</f>
        <v>3156278</v>
      </c>
      <c r="L388" s="76"/>
      <c r="M388" s="97">
        <f>SUM(M379:M387)</f>
        <v>3630964</v>
      </c>
      <c r="N388" s="76"/>
      <c r="O388" s="96"/>
      <c r="P388" s="96"/>
      <c r="Q388" s="97">
        <f>SUM(Q379:Q387)</f>
        <v>3853502</v>
      </c>
      <c r="AG388" s="60"/>
      <c r="AH388" s="60"/>
      <c r="AT388" s="76"/>
      <c r="AU388" s="96"/>
      <c r="AV388" s="96"/>
      <c r="AW388" s="97">
        <f>SUM(AW379:AW387)</f>
        <v>2880798</v>
      </c>
      <c r="AX388" s="66" t="s">
        <v>108</v>
      </c>
      <c r="AY388" s="107" t="s">
        <v>8</v>
      </c>
    </row>
    <row r="389" spans="1:51" ht="16.5" thickTop="1">
      <c r="A389" s="57">
        <f t="shared" si="25"/>
        <v>387</v>
      </c>
      <c r="B389" s="64" t="s">
        <v>60</v>
      </c>
      <c r="E389" s="59"/>
      <c r="G389" s="59"/>
      <c r="I389" s="76"/>
      <c r="J389" s="26">
        <f>J372</f>
        <v>0</v>
      </c>
      <c r="K389" s="81">
        <f>ROUND(SUM(K380:K386)*J389,0)</f>
        <v>0</v>
      </c>
      <c r="M389" s="81">
        <f>ROUND(SUM(M380:M386)*J389,0)</f>
        <v>0</v>
      </c>
      <c r="O389" s="76"/>
      <c r="P389" s="26">
        <f>P355</f>
        <v>0</v>
      </c>
      <c r="Q389" s="81">
        <f>ROUND(SUM(Q380:Q386)*P389,0)</f>
        <v>0</v>
      </c>
      <c r="AG389" s="60"/>
      <c r="AH389" s="60"/>
      <c r="AU389" s="76"/>
      <c r="AV389" s="26">
        <f>AV372</f>
        <v>0.0358</v>
      </c>
      <c r="AW389" s="81">
        <f>ROUND(SUM(AW380:AW386)*AV389,0)</f>
        <v>102144</v>
      </c>
      <c r="AX389" s="66" t="s">
        <v>108</v>
      </c>
      <c r="AY389" s="107" t="s">
        <v>8</v>
      </c>
    </row>
    <row r="390" spans="1:51" ht="15.75">
      <c r="A390" s="57">
        <f t="shared" si="25"/>
        <v>388</v>
      </c>
      <c r="B390" s="64" t="s">
        <v>62</v>
      </c>
      <c r="E390" s="59"/>
      <c r="G390" s="59"/>
      <c r="I390" s="76"/>
      <c r="J390" s="26">
        <f>J373</f>
        <v>0.0304</v>
      </c>
      <c r="K390" s="81">
        <f>ROUND(SUM(K380:K386,K389)*J390,0)</f>
        <v>95111</v>
      </c>
      <c r="M390" s="81">
        <f>ROUND(SUM(M380:M386,M389)*J390,0)</f>
        <v>109339</v>
      </c>
      <c r="O390" s="76"/>
      <c r="P390" s="26">
        <f>P356</f>
        <v>0.0304</v>
      </c>
      <c r="Q390" s="81">
        <f>ROUND(SUM(Q380:Q386,Q389)*P390,0)</f>
        <v>116086</v>
      </c>
      <c r="S390" s="60"/>
      <c r="T390" s="60"/>
      <c r="U390" s="60"/>
      <c r="V390" s="60"/>
      <c r="AG390" s="60"/>
      <c r="AH390" s="60"/>
      <c r="AU390" s="76"/>
      <c r="AV390" s="26">
        <f>AV373</f>
        <v>0</v>
      </c>
      <c r="AW390" s="81">
        <f>ROUND(SUM(AW380:AW386,AW389)*AV390,0)</f>
        <v>0</v>
      </c>
      <c r="AX390" s="66" t="s">
        <v>108</v>
      </c>
      <c r="AY390" s="107" t="s">
        <v>8</v>
      </c>
    </row>
    <row r="391" spans="1:51" ht="15.75">
      <c r="A391" s="57">
        <f t="shared" si="25"/>
        <v>389</v>
      </c>
      <c r="D391" s="76"/>
      <c r="F391" s="76"/>
      <c r="H391" s="76"/>
      <c r="L391" s="76"/>
      <c r="N391" s="76"/>
      <c r="AG391" s="60"/>
      <c r="AH391" s="60"/>
      <c r="AT391" s="76"/>
      <c r="AX391" s="66" t="s">
        <v>108</v>
      </c>
      <c r="AY391" s="107" t="s">
        <v>8</v>
      </c>
    </row>
    <row r="392" spans="1:51" ht="15.75">
      <c r="A392" s="57">
        <f t="shared" si="25"/>
        <v>390</v>
      </c>
      <c r="D392" s="76"/>
      <c r="F392" s="76"/>
      <c r="H392" s="76"/>
      <c r="L392" s="76"/>
      <c r="N392" s="76"/>
      <c r="AG392" s="60"/>
      <c r="AH392" s="60"/>
      <c r="AT392" s="76"/>
      <c r="AX392" s="66" t="s">
        <v>108</v>
      </c>
      <c r="AY392" s="107" t="s">
        <v>8</v>
      </c>
    </row>
    <row r="393" spans="1:51" ht="15.75">
      <c r="A393" s="57">
        <f t="shared" si="25"/>
        <v>391</v>
      </c>
      <c r="B393" s="64" t="s">
        <v>142</v>
      </c>
      <c r="D393" s="76"/>
      <c r="E393" s="59"/>
      <c r="F393" s="76"/>
      <c r="G393" s="59"/>
      <c r="H393" s="76"/>
      <c r="L393" s="76"/>
      <c r="N393" s="76"/>
      <c r="AG393" s="60"/>
      <c r="AH393" s="60"/>
      <c r="AT393" s="76"/>
      <c r="AX393" s="66" t="s">
        <v>99</v>
      </c>
      <c r="AY393" s="107" t="s">
        <v>9</v>
      </c>
    </row>
    <row r="394" spans="1:51" ht="15.75">
      <c r="A394" s="57">
        <f t="shared" si="25"/>
        <v>392</v>
      </c>
      <c r="B394" s="64" t="s">
        <v>143</v>
      </c>
      <c r="E394" s="59"/>
      <c r="G394" s="59"/>
      <c r="AG394" s="60"/>
      <c r="AH394" s="60"/>
      <c r="AX394" s="66" t="s">
        <v>99</v>
      </c>
      <c r="AY394" s="107" t="s">
        <v>9</v>
      </c>
    </row>
    <row r="395" spans="1:51" ht="15.75">
      <c r="A395" s="57">
        <f t="shared" si="25"/>
        <v>393</v>
      </c>
      <c r="B395" s="64" t="s">
        <v>105</v>
      </c>
      <c r="E395" s="59"/>
      <c r="G395" s="59"/>
      <c r="AG395" s="60"/>
      <c r="AH395" s="60"/>
      <c r="AX395" s="66" t="s">
        <v>99</v>
      </c>
      <c r="AY395" s="107" t="s">
        <v>9</v>
      </c>
    </row>
    <row r="396" spans="1:51" ht="15.75">
      <c r="A396" s="57">
        <f t="shared" si="25"/>
        <v>394</v>
      </c>
      <c r="B396" s="98" t="s">
        <v>144</v>
      </c>
      <c r="E396" s="59"/>
      <c r="G396" s="59"/>
      <c r="AG396" s="60"/>
      <c r="AH396" s="60"/>
      <c r="AX396" s="66" t="s">
        <v>99</v>
      </c>
      <c r="AY396" s="107" t="s">
        <v>9</v>
      </c>
    </row>
    <row r="397" spans="1:51" ht="15.75">
      <c r="A397" s="57">
        <f t="shared" si="25"/>
        <v>395</v>
      </c>
      <c r="B397" s="64" t="s">
        <v>44</v>
      </c>
      <c r="E397" s="59">
        <f>199+24-10-12</f>
        <v>201</v>
      </c>
      <c r="G397" s="59">
        <v>201</v>
      </c>
      <c r="I397" s="24">
        <f>I260</f>
        <v>14.74</v>
      </c>
      <c r="K397" s="66">
        <f>ROUND(I397*$E397,0)</f>
        <v>2963</v>
      </c>
      <c r="M397" s="66">
        <f>ROUND(I397*$G397,0)</f>
        <v>2963</v>
      </c>
      <c r="O397" s="24">
        <f>O260</f>
        <v>15</v>
      </c>
      <c r="Q397" s="66">
        <f>ROUND(O397*$G397,0)</f>
        <v>3015</v>
      </c>
      <c r="AG397" s="60"/>
      <c r="AH397" s="60"/>
      <c r="AU397" s="24">
        <f>AU260</f>
        <v>14.74</v>
      </c>
      <c r="AW397" s="66">
        <f>ROUND(AU397*$E397,0)</f>
        <v>2963</v>
      </c>
      <c r="AX397" s="66" t="s">
        <v>99</v>
      </c>
      <c r="AY397" s="107" t="s">
        <v>9</v>
      </c>
    </row>
    <row r="398" spans="1:51" ht="15.75">
      <c r="A398" s="57">
        <f t="shared" si="25"/>
        <v>396</v>
      </c>
      <c r="B398" s="64" t="s">
        <v>145</v>
      </c>
      <c r="E398" s="59">
        <f>6429+5356-217-4552</f>
        <v>7016</v>
      </c>
      <c r="G398" s="59">
        <f>E398*($G$405-$G$404)/($E$405-$E$404)</f>
        <v>7134.381186908964</v>
      </c>
      <c r="I398" s="24">
        <f>I261</f>
        <v>10.66</v>
      </c>
      <c r="K398" s="66">
        <f>ROUND(I398*$E398,0)</f>
        <v>74791</v>
      </c>
      <c r="M398" s="66">
        <f>ROUND(I398*$G398,0)</f>
        <v>76053</v>
      </c>
      <c r="O398" s="24">
        <f>O261</f>
        <v>12.76</v>
      </c>
      <c r="Q398" s="66">
        <f>ROUND(O398*$G398,0)</f>
        <v>91035</v>
      </c>
      <c r="AG398" s="60"/>
      <c r="AH398" s="60"/>
      <c r="AU398" s="24">
        <f>AU261</f>
        <v>8.1</v>
      </c>
      <c r="AW398" s="66">
        <f>ROUND(AU398*$E398,0)</f>
        <v>56830</v>
      </c>
      <c r="AX398" s="66" t="s">
        <v>99</v>
      </c>
      <c r="AY398" s="107" t="s">
        <v>9</v>
      </c>
    </row>
    <row r="399" spans="1:51" ht="15.75">
      <c r="A399" s="57">
        <f t="shared" si="25"/>
        <v>397</v>
      </c>
      <c r="B399" s="64" t="s">
        <v>146</v>
      </c>
      <c r="E399" s="59">
        <f>14650+6509-(6196+9829-217-4552)</f>
        <v>9903</v>
      </c>
      <c r="G399" s="59">
        <f>E399*($G$405-$G$404)/($E$405-$E$404)</f>
        <v>10070.093627987382</v>
      </c>
      <c r="I399" s="24">
        <f>I262</f>
        <v>8.56</v>
      </c>
      <c r="K399" s="66">
        <f>ROUND(I399*$E399,0)</f>
        <v>84770</v>
      </c>
      <c r="M399" s="66">
        <f>ROUND(I399*$G399,0)</f>
        <v>86200</v>
      </c>
      <c r="O399" s="24">
        <f>O262</f>
        <v>10.24</v>
      </c>
      <c r="Q399" s="66">
        <f>ROUND(O399*$G399,0)</f>
        <v>103118</v>
      </c>
      <c r="AG399" s="60"/>
      <c r="AH399" s="60"/>
      <c r="AU399" s="24">
        <f>AU262</f>
        <v>8.1</v>
      </c>
      <c r="AW399" s="66">
        <f>ROUND(AU399*$E399,0)</f>
        <v>80214</v>
      </c>
      <c r="AX399" s="66" t="s">
        <v>99</v>
      </c>
      <c r="AY399" s="107" t="s">
        <v>9</v>
      </c>
    </row>
    <row r="400" spans="1:51" ht="15.75">
      <c r="A400" s="57">
        <f t="shared" si="25"/>
        <v>398</v>
      </c>
      <c r="B400" s="64" t="s">
        <v>93</v>
      </c>
      <c r="E400" s="59">
        <f>6196+0-6196-0</f>
        <v>0</v>
      </c>
      <c r="G400" s="59">
        <f>E400*($G$405-$G$404)/($E$405-$E$404)</f>
        <v>0</v>
      </c>
      <c r="I400" s="24">
        <f>I263</f>
        <v>-0.54</v>
      </c>
      <c r="K400" s="66">
        <f>ROUND(I400*$E400,0)</f>
        <v>0</v>
      </c>
      <c r="M400" s="66">
        <f>ROUND(I400*$G400,0)</f>
        <v>0</v>
      </c>
      <c r="O400" s="24">
        <f>O263</f>
        <v>-0.66</v>
      </c>
      <c r="Q400" s="66">
        <f>ROUND(O400*$G400,0)</f>
        <v>0</v>
      </c>
      <c r="AG400" s="60"/>
      <c r="AH400" s="60"/>
      <c r="AU400" s="24">
        <f>AU263</f>
        <v>-0.54</v>
      </c>
      <c r="AW400" s="66">
        <f>ROUND(AU400*$E400,0)</f>
        <v>0</v>
      </c>
      <c r="AX400" s="66" t="s">
        <v>99</v>
      </c>
      <c r="AY400" s="107" t="s">
        <v>9</v>
      </c>
    </row>
    <row r="401" spans="1:51" ht="15.75">
      <c r="A401" s="57">
        <f t="shared" si="25"/>
        <v>399</v>
      </c>
      <c r="B401" s="64" t="s">
        <v>128</v>
      </c>
      <c r="E401" s="59">
        <f>2473140+1402060-48000-1185900</f>
        <v>2641300</v>
      </c>
      <c r="G401" s="59">
        <f>E401*($G$405-$G$404)/($E$405-$E$404)</f>
        <v>2685866.737312236</v>
      </c>
      <c r="I401" s="76"/>
      <c r="J401" s="93">
        <f>J264</f>
        <v>2.7737</v>
      </c>
      <c r="K401" s="66">
        <f>ROUND(J401*$E401/100,0)</f>
        <v>73262</v>
      </c>
      <c r="M401" s="66">
        <f>ROUND(J401*$G401/100,0)</f>
        <v>74498</v>
      </c>
      <c r="O401" s="76"/>
      <c r="P401" s="93">
        <f>P264</f>
        <v>2.574</v>
      </c>
      <c r="Q401" s="66">
        <f>ROUND(P401*$G401/100,0)</f>
        <v>69134</v>
      </c>
      <c r="AG401" s="60"/>
      <c r="AH401" s="60"/>
      <c r="AU401" s="76"/>
      <c r="AV401" s="93">
        <f>AV264</f>
        <v>2.7737</v>
      </c>
      <c r="AW401" s="66">
        <f>ROUND(AV401*$E401/100,0)</f>
        <v>73262</v>
      </c>
      <c r="AX401" s="66" t="s">
        <v>99</v>
      </c>
      <c r="AY401" s="107" t="s">
        <v>9</v>
      </c>
    </row>
    <row r="402" spans="1:51" ht="15.75">
      <c r="A402" s="57">
        <f t="shared" si="25"/>
        <v>400</v>
      </c>
      <c r="B402" s="64" t="s">
        <v>129</v>
      </c>
      <c r="E402" s="59">
        <f>4695740+1863600-(1310400+2720700-48000-1185900)</f>
        <v>3762140</v>
      </c>
      <c r="G402" s="59">
        <f>E402*($G$405-$G$404)/($E$405-$E$404)</f>
        <v>3825618.7056040037</v>
      </c>
      <c r="I402" s="76"/>
      <c r="J402" s="93">
        <f>J265</f>
        <v>2.7737</v>
      </c>
      <c r="K402" s="66">
        <f>ROUND(J402*$E402/100,0)</f>
        <v>104350</v>
      </c>
      <c r="M402" s="66">
        <f>ROUND(J402*$G402/100,0)</f>
        <v>106111</v>
      </c>
      <c r="O402" s="76"/>
      <c r="P402" s="93">
        <f>P265</f>
        <v>2.574</v>
      </c>
      <c r="Q402" s="66">
        <f>ROUND(P402*$G402/100,0)</f>
        <v>98471</v>
      </c>
      <c r="AG402" s="60"/>
      <c r="AH402" s="60"/>
      <c r="AU402" s="76"/>
      <c r="AV402" s="93">
        <f>AV265</f>
        <v>2.7737</v>
      </c>
      <c r="AW402" s="66">
        <f>ROUND(AV402*$E402/100,0)</f>
        <v>104350</v>
      </c>
      <c r="AX402" s="66" t="s">
        <v>99</v>
      </c>
      <c r="AY402" s="107" t="s">
        <v>9</v>
      </c>
    </row>
    <row r="403" spans="1:51" ht="15.75">
      <c r="A403" s="57">
        <f t="shared" si="25"/>
        <v>401</v>
      </c>
      <c r="B403" s="64" t="s">
        <v>102</v>
      </c>
      <c r="D403" s="76"/>
      <c r="E403" s="59">
        <v>0</v>
      </c>
      <c r="F403" s="76"/>
      <c r="G403" s="59">
        <f>E403*G397/E397</f>
        <v>0</v>
      </c>
      <c r="H403" s="76"/>
      <c r="I403" s="24">
        <f>I269</f>
        <v>176.88</v>
      </c>
      <c r="J403" s="106"/>
      <c r="K403" s="66">
        <f>ROUND(I403*$E403,0)</f>
        <v>0</v>
      </c>
      <c r="L403" s="76"/>
      <c r="M403" s="66">
        <f>ROUND(I403*$G403,0)</f>
        <v>0</v>
      </c>
      <c r="N403" s="76"/>
      <c r="O403" s="24">
        <f>O269</f>
        <v>180</v>
      </c>
      <c r="P403" s="106"/>
      <c r="Q403" s="66">
        <f>ROUND(O403*$G403,0)</f>
        <v>0</v>
      </c>
      <c r="AG403" s="60"/>
      <c r="AH403" s="60"/>
      <c r="AT403" s="76"/>
      <c r="AU403" s="24">
        <f>AU420</f>
        <v>176.88</v>
      </c>
      <c r="AV403" s="106"/>
      <c r="AW403" s="66">
        <f>ROUND(AU403*$E403,0)</f>
        <v>0</v>
      </c>
      <c r="AX403" s="66" t="s">
        <v>99</v>
      </c>
      <c r="AY403" s="107" t="s">
        <v>9</v>
      </c>
    </row>
    <row r="404" spans="1:51" ht="15.75">
      <c r="A404" s="57">
        <f t="shared" si="25"/>
        <v>402</v>
      </c>
      <c r="B404" s="64" t="s">
        <v>57</v>
      </c>
      <c r="E404" s="22">
        <v>18272</v>
      </c>
      <c r="G404" s="22">
        <v>0</v>
      </c>
      <c r="I404" s="76"/>
      <c r="K404" s="81">
        <f>AW404</f>
        <v>1280.9596145665178</v>
      </c>
      <c r="M404" s="81">
        <v>0</v>
      </c>
      <c r="O404" s="76"/>
      <c r="Q404" s="81">
        <v>0</v>
      </c>
      <c r="AG404" s="60"/>
      <c r="AH404" s="60"/>
      <c r="AU404" s="76"/>
      <c r="AW404" s="81">
        <v>1280.9596145665178</v>
      </c>
      <c r="AX404" s="66" t="s">
        <v>99</v>
      </c>
      <c r="AY404" s="107" t="s">
        <v>9</v>
      </c>
    </row>
    <row r="405" spans="1:51" ht="16.5" thickBot="1">
      <c r="A405" s="57">
        <f t="shared" si="25"/>
        <v>403</v>
      </c>
      <c r="B405" s="64" t="s">
        <v>58</v>
      </c>
      <c r="E405" s="99">
        <f>E401+E404+E402</f>
        <v>6421712</v>
      </c>
      <c r="G405" s="99">
        <v>6511485.44291624</v>
      </c>
      <c r="I405" s="96"/>
      <c r="J405" s="96"/>
      <c r="K405" s="97">
        <f>SUM(K397:K404)</f>
        <v>341416.9596145665</v>
      </c>
      <c r="M405" s="97">
        <f>SUM(M397:M404)</f>
        <v>345825</v>
      </c>
      <c r="O405" s="96"/>
      <c r="P405" s="96"/>
      <c r="Q405" s="97">
        <f>SUM(Q397:Q404)</f>
        <v>364773</v>
      </c>
      <c r="AG405" s="60"/>
      <c r="AH405" s="60"/>
      <c r="AU405" s="96"/>
      <c r="AV405" s="96"/>
      <c r="AW405" s="97">
        <f>SUM(AW397:AW404)</f>
        <v>318899.9596145665</v>
      </c>
      <c r="AX405" s="66" t="s">
        <v>99</v>
      </c>
      <c r="AY405" s="107" t="s">
        <v>9</v>
      </c>
    </row>
    <row r="406" spans="1:51" ht="16.5" thickTop="1">
      <c r="A406" s="57">
        <f t="shared" si="25"/>
        <v>404</v>
      </c>
      <c r="B406" s="64" t="s">
        <v>60</v>
      </c>
      <c r="E406" s="59"/>
      <c r="G406" s="59"/>
      <c r="I406" s="76"/>
      <c r="J406" s="26">
        <f>J338</f>
        <v>0</v>
      </c>
      <c r="K406" s="81">
        <f>ROUND(SUM(K398:K402)*J406,0)</f>
        <v>0</v>
      </c>
      <c r="M406" s="81">
        <f>ROUND(SUM(M398:M402)*J406,0)</f>
        <v>0</v>
      </c>
      <c r="O406" s="76"/>
      <c r="P406" s="26">
        <f>P338</f>
        <v>0</v>
      </c>
      <c r="Q406" s="81">
        <f>ROUND(SUM(Q398:Q402)*P406,0)</f>
        <v>0</v>
      </c>
      <c r="AG406" s="60"/>
      <c r="AH406" s="60"/>
      <c r="AU406" s="76"/>
      <c r="AV406" s="26">
        <f>AV338</f>
        <v>0.0353</v>
      </c>
      <c r="AW406" s="81">
        <f>ROUND(SUM(AW398:AW402)*AV406,0)</f>
        <v>11107</v>
      </c>
      <c r="AX406" s="66" t="s">
        <v>99</v>
      </c>
      <c r="AY406" s="107" t="s">
        <v>9</v>
      </c>
    </row>
    <row r="407" spans="1:51" ht="15.75">
      <c r="A407" s="57">
        <f t="shared" si="25"/>
        <v>405</v>
      </c>
      <c r="B407" s="64" t="s">
        <v>62</v>
      </c>
      <c r="E407" s="59"/>
      <c r="G407" s="59"/>
      <c r="I407" s="76"/>
      <c r="J407" s="26">
        <f>J339</f>
        <v>0.03</v>
      </c>
      <c r="K407" s="81">
        <f>ROUND(SUM(K398:K402,K406)*J407,0)</f>
        <v>10115</v>
      </c>
      <c r="M407" s="81">
        <f>ROUND(SUM(M398:M402,M406)*J407,0)</f>
        <v>10286</v>
      </c>
      <c r="O407" s="76"/>
      <c r="P407" s="26">
        <f>P339</f>
        <v>0.03</v>
      </c>
      <c r="Q407" s="81">
        <f>ROUND(SUM(Q398:Q402,Q406)*P407,0)</f>
        <v>10853</v>
      </c>
      <c r="S407" s="60"/>
      <c r="T407" s="60"/>
      <c r="U407" s="60"/>
      <c r="V407" s="60"/>
      <c r="AG407" s="60"/>
      <c r="AH407" s="60"/>
      <c r="AU407" s="76"/>
      <c r="AV407" s="26">
        <f>AV339</f>
        <v>0</v>
      </c>
      <c r="AW407" s="81">
        <f>ROUND(SUM(AW398:AW402,AW406)*AV407,0)</f>
        <v>0</v>
      </c>
      <c r="AX407" s="66" t="s">
        <v>99</v>
      </c>
      <c r="AY407" s="107" t="s">
        <v>9</v>
      </c>
    </row>
    <row r="408" spans="1:51" ht="15.75">
      <c r="A408" s="57">
        <f t="shared" si="25"/>
        <v>406</v>
      </c>
      <c r="E408" s="59"/>
      <c r="G408" s="59"/>
      <c r="AG408" s="60"/>
      <c r="AH408" s="60"/>
      <c r="AX408" s="66" t="s">
        <v>99</v>
      </c>
      <c r="AY408" s="107" t="s">
        <v>9</v>
      </c>
    </row>
    <row r="409" spans="1:51" ht="15.75">
      <c r="A409" s="57">
        <f t="shared" si="25"/>
        <v>407</v>
      </c>
      <c r="AG409" s="60"/>
      <c r="AH409" s="60"/>
      <c r="AX409" s="66" t="s">
        <v>99</v>
      </c>
      <c r="AY409" s="107" t="s">
        <v>9</v>
      </c>
    </row>
    <row r="410" spans="1:51" ht="15.75">
      <c r="A410" s="57">
        <f t="shared" si="25"/>
        <v>408</v>
      </c>
      <c r="B410" s="64" t="s">
        <v>142</v>
      </c>
      <c r="E410" s="59"/>
      <c r="G410" s="59"/>
      <c r="AG410" s="60"/>
      <c r="AH410" s="60"/>
      <c r="AX410" s="66" t="s">
        <v>108</v>
      </c>
      <c r="AY410" s="107" t="s">
        <v>9</v>
      </c>
    </row>
    <row r="411" spans="1:51" ht="15.75">
      <c r="A411" s="57">
        <f t="shared" si="25"/>
        <v>409</v>
      </c>
      <c r="B411" s="64" t="s">
        <v>143</v>
      </c>
      <c r="E411" s="59"/>
      <c r="G411" s="59"/>
      <c r="AG411" s="60"/>
      <c r="AH411" s="60"/>
      <c r="AX411" s="66" t="s">
        <v>108</v>
      </c>
      <c r="AY411" s="107" t="s">
        <v>9</v>
      </c>
    </row>
    <row r="412" spans="1:51" ht="15.75">
      <c r="A412" s="57">
        <f t="shared" si="25"/>
        <v>410</v>
      </c>
      <c r="B412" s="64" t="s">
        <v>109</v>
      </c>
      <c r="E412" s="59"/>
      <c r="G412" s="59"/>
      <c r="AG412" s="60"/>
      <c r="AH412" s="60"/>
      <c r="AX412" s="66" t="s">
        <v>108</v>
      </c>
      <c r="AY412" s="107" t="s">
        <v>9</v>
      </c>
    </row>
    <row r="413" spans="1:51" ht="15.75">
      <c r="A413" s="57">
        <f t="shared" si="25"/>
        <v>411</v>
      </c>
      <c r="B413" s="98" t="s">
        <v>147</v>
      </c>
      <c r="E413" s="59"/>
      <c r="G413" s="59"/>
      <c r="AG413" s="60"/>
      <c r="AH413" s="60"/>
      <c r="AX413" s="66" t="s">
        <v>108</v>
      </c>
      <c r="AY413" s="107" t="s">
        <v>9</v>
      </c>
    </row>
    <row r="414" spans="1:51" ht="15.75">
      <c r="A414" s="57">
        <f t="shared" si="25"/>
        <v>412</v>
      </c>
      <c r="B414" s="115" t="s">
        <v>44</v>
      </c>
      <c r="E414" s="59">
        <v>89</v>
      </c>
      <c r="G414" s="59">
        <v>89</v>
      </c>
      <c r="I414" s="24">
        <f>I260</f>
        <v>14.74</v>
      </c>
      <c r="K414" s="66">
        <f>ROUND(I414*$E414,0)</f>
        <v>1312</v>
      </c>
      <c r="M414" s="66">
        <f>ROUND(I414*$G414,0)</f>
        <v>1312</v>
      </c>
      <c r="O414" s="24">
        <f>O260</f>
        <v>15</v>
      </c>
      <c r="Q414" s="66">
        <f>ROUND(O414*$G414,0)</f>
        <v>1335</v>
      </c>
      <c r="AG414" s="60"/>
      <c r="AH414" s="60"/>
      <c r="AU414" s="24">
        <f>AU260</f>
        <v>14.74</v>
      </c>
      <c r="AW414" s="66">
        <f>ROUND(AU414*$E414,0)</f>
        <v>1312</v>
      </c>
      <c r="AX414" s="66" t="s">
        <v>108</v>
      </c>
      <c r="AY414" s="107" t="s">
        <v>9</v>
      </c>
    </row>
    <row r="415" spans="1:51" ht="15.75">
      <c r="A415" s="57">
        <f t="shared" si="25"/>
        <v>413</v>
      </c>
      <c r="B415" s="64" t="s">
        <v>145</v>
      </c>
      <c r="E415" s="59">
        <v>5428</v>
      </c>
      <c r="G415" s="59">
        <f>E415*($G$422-$G$421)/($E$422-$E$421)</f>
        <v>5519.586813361154</v>
      </c>
      <c r="I415" s="24">
        <f>I261</f>
        <v>10.66</v>
      </c>
      <c r="K415" s="66">
        <f>ROUND(I415*$E415,0)</f>
        <v>57862</v>
      </c>
      <c r="M415" s="66">
        <f>ROUND(I415*$G415,0)</f>
        <v>58839</v>
      </c>
      <c r="O415" s="24">
        <f>O261</f>
        <v>12.76</v>
      </c>
      <c r="Q415" s="66">
        <f>ROUND(O415*$G415,0)</f>
        <v>70430</v>
      </c>
      <c r="AG415" s="60"/>
      <c r="AH415" s="60"/>
      <c r="AU415" s="24">
        <f>AU261</f>
        <v>8.1</v>
      </c>
      <c r="AW415" s="66">
        <f>ROUND(AU415*$E415,0)</f>
        <v>43967</v>
      </c>
      <c r="AX415" s="66" t="s">
        <v>108</v>
      </c>
      <c r="AY415" s="107" t="s">
        <v>9</v>
      </c>
    </row>
    <row r="416" spans="1:51" ht="15.75">
      <c r="A416" s="57">
        <f t="shared" si="25"/>
        <v>414</v>
      </c>
      <c r="B416" s="64" t="s">
        <v>146</v>
      </c>
      <c r="E416" s="59">
        <v>6641</v>
      </c>
      <c r="G416" s="59">
        <f>E416*($G$422-$G$421)/($E$422-$E$421)</f>
        <v>6753.053800208442</v>
      </c>
      <c r="I416" s="24">
        <f>I262</f>
        <v>8.56</v>
      </c>
      <c r="K416" s="66">
        <f>ROUND(I416*$E416,0)</f>
        <v>56847</v>
      </c>
      <c r="M416" s="66">
        <f>ROUND(I416*$G416,0)</f>
        <v>57806</v>
      </c>
      <c r="O416" s="24">
        <f>O262</f>
        <v>10.24</v>
      </c>
      <c r="Q416" s="66">
        <f>ROUND(O416*$G416,0)</f>
        <v>69151</v>
      </c>
      <c r="AG416" s="60"/>
      <c r="AH416" s="60"/>
      <c r="AU416" s="24">
        <f>AU262</f>
        <v>8.1</v>
      </c>
      <c r="AW416" s="66">
        <f>ROUND(AU416*$E416,0)</f>
        <v>53792</v>
      </c>
      <c r="AX416" s="66" t="s">
        <v>108</v>
      </c>
      <c r="AY416" s="107" t="s">
        <v>9</v>
      </c>
    </row>
    <row r="417" spans="1:51" ht="15.75">
      <c r="A417" s="57">
        <f t="shared" si="25"/>
        <v>415</v>
      </c>
      <c r="B417" s="64" t="s">
        <v>93</v>
      </c>
      <c r="E417" s="59">
        <v>0</v>
      </c>
      <c r="G417" s="59">
        <f>E417*($G$422-$G$421)/($E$422-$E$421)</f>
        <v>0</v>
      </c>
      <c r="I417" s="24">
        <f>I263</f>
        <v>-0.54</v>
      </c>
      <c r="K417" s="66">
        <f>ROUND(I417*$E417,0)</f>
        <v>0</v>
      </c>
      <c r="M417" s="66">
        <f>ROUND(I417*$G417,0)</f>
        <v>0</v>
      </c>
      <c r="O417" s="24">
        <f>O263</f>
        <v>-0.66</v>
      </c>
      <c r="Q417" s="66">
        <f>ROUND(O417*$G417,0)</f>
        <v>0</v>
      </c>
      <c r="AG417" s="60"/>
      <c r="AH417" s="60"/>
      <c r="AU417" s="24">
        <f>AU263</f>
        <v>-0.54</v>
      </c>
      <c r="AW417" s="66">
        <f>ROUND(AU417*$E417,0)</f>
        <v>0</v>
      </c>
      <c r="AX417" s="66" t="s">
        <v>108</v>
      </c>
      <c r="AY417" s="107" t="s">
        <v>9</v>
      </c>
    </row>
    <row r="418" spans="1:51" ht="15.75">
      <c r="A418" s="57">
        <f t="shared" si="25"/>
        <v>416</v>
      </c>
      <c r="B418" s="64" t="s">
        <v>128</v>
      </c>
      <c r="E418" s="59">
        <v>1448401</v>
      </c>
      <c r="G418" s="59">
        <f>E418*($G$422-$G$421)/($E$422-$E$421)</f>
        <v>1472839.915265127</v>
      </c>
      <c r="I418" s="76"/>
      <c r="J418" s="93">
        <f>J264</f>
        <v>2.7737</v>
      </c>
      <c r="K418" s="66">
        <f>ROUND(J418*$E418/100,0)</f>
        <v>40174</v>
      </c>
      <c r="M418" s="66">
        <f>ROUND(J418*$G418/100,0)</f>
        <v>40852</v>
      </c>
      <c r="O418" s="76"/>
      <c r="P418" s="93">
        <f>P264</f>
        <v>2.574</v>
      </c>
      <c r="Q418" s="66">
        <f>ROUND(P418*$G418/100,0)</f>
        <v>37911</v>
      </c>
      <c r="AG418" s="60"/>
      <c r="AH418" s="60"/>
      <c r="AU418" s="76"/>
      <c r="AV418" s="93">
        <f>AV264</f>
        <v>2.7737</v>
      </c>
      <c r="AW418" s="66">
        <f>ROUND(AV418*$E418/100,0)</f>
        <v>40174</v>
      </c>
      <c r="AX418" s="66" t="s">
        <v>108</v>
      </c>
      <c r="AY418" s="107" t="s">
        <v>9</v>
      </c>
    </row>
    <row r="419" spans="1:51" ht="15.75">
      <c r="A419" s="57">
        <f t="shared" si="25"/>
        <v>417</v>
      </c>
      <c r="B419" s="64" t="s">
        <v>129</v>
      </c>
      <c r="E419" s="59">
        <v>1681486</v>
      </c>
      <c r="G419" s="59">
        <f>E419*($G$422-$G$421)/($E$422-$E$421)</f>
        <v>1709857.7657427033</v>
      </c>
      <c r="I419" s="76"/>
      <c r="J419" s="93">
        <f>J265</f>
        <v>2.7737</v>
      </c>
      <c r="K419" s="66">
        <f>ROUND(J419*$E419/100,0)</f>
        <v>46639</v>
      </c>
      <c r="M419" s="66">
        <f>ROUND(J419*$G419/100,0)</f>
        <v>47426</v>
      </c>
      <c r="O419" s="76"/>
      <c r="P419" s="93">
        <f>P265</f>
        <v>2.574</v>
      </c>
      <c r="Q419" s="66">
        <f>ROUND(P419*$G419/100,0)</f>
        <v>44012</v>
      </c>
      <c r="AG419" s="60"/>
      <c r="AH419" s="60"/>
      <c r="AU419" s="76"/>
      <c r="AV419" s="93">
        <f>AV265</f>
        <v>2.7737</v>
      </c>
      <c r="AW419" s="66">
        <f>ROUND(AV419*$E419/100,0)</f>
        <v>46639</v>
      </c>
      <c r="AX419" s="66" t="s">
        <v>108</v>
      </c>
      <c r="AY419" s="107" t="s">
        <v>9</v>
      </c>
    </row>
    <row r="420" spans="1:51" ht="15.75">
      <c r="A420" s="57">
        <f t="shared" si="25"/>
        <v>418</v>
      </c>
      <c r="B420" s="64" t="s">
        <v>102</v>
      </c>
      <c r="D420" s="76"/>
      <c r="E420" s="59">
        <v>0</v>
      </c>
      <c r="F420" s="76"/>
      <c r="G420" s="59">
        <f>E420*G414/E414</f>
        <v>0</v>
      </c>
      <c r="H420" s="76"/>
      <c r="I420" s="24">
        <f>I269</f>
        <v>176.88</v>
      </c>
      <c r="J420" s="106"/>
      <c r="K420" s="66">
        <f>ROUND(I420*$E420,0)</f>
        <v>0</v>
      </c>
      <c r="L420" s="76"/>
      <c r="M420" s="66">
        <f>ROUND(I420*$G420,0)</f>
        <v>0</v>
      </c>
      <c r="N420" s="76"/>
      <c r="O420" s="24">
        <f>O269</f>
        <v>180</v>
      </c>
      <c r="P420" s="106"/>
      <c r="Q420" s="66">
        <f>ROUND(O420*$G420,0)</f>
        <v>0</v>
      </c>
      <c r="AG420" s="60"/>
      <c r="AH420" s="60"/>
      <c r="AT420" s="76"/>
      <c r="AU420" s="24">
        <f>AU269</f>
        <v>176.88</v>
      </c>
      <c r="AV420" s="106"/>
      <c r="AW420" s="66">
        <f>ROUND(AU420*$E420,0)</f>
        <v>0</v>
      </c>
      <c r="AX420" s="66" t="s">
        <v>108</v>
      </c>
      <c r="AY420" s="107" t="s">
        <v>9</v>
      </c>
    </row>
    <row r="421" spans="1:51" ht="15.75">
      <c r="A421" s="57">
        <f t="shared" si="25"/>
        <v>419</v>
      </c>
      <c r="B421" s="64" t="s">
        <v>57</v>
      </c>
      <c r="E421" s="22">
        <v>-11955</v>
      </c>
      <c r="G421" s="22">
        <v>0</v>
      </c>
      <c r="I421" s="76"/>
      <c r="K421" s="81">
        <f>AW421</f>
        <v>-295</v>
      </c>
      <c r="M421" s="81">
        <v>0</v>
      </c>
      <c r="O421" s="76"/>
      <c r="Q421" s="81">
        <v>0</v>
      </c>
      <c r="AG421" s="60"/>
      <c r="AH421" s="60"/>
      <c r="AU421" s="76"/>
      <c r="AW421" s="81">
        <v>-295</v>
      </c>
      <c r="AX421" s="66" t="s">
        <v>108</v>
      </c>
      <c r="AY421" s="107" t="s">
        <v>9</v>
      </c>
    </row>
    <row r="422" spans="1:51" ht="16.5" thickBot="1">
      <c r="A422" s="57">
        <f t="shared" si="25"/>
        <v>420</v>
      </c>
      <c r="B422" s="64" t="s">
        <v>58</v>
      </c>
      <c r="E422" s="99">
        <f>E418+E421+E419</f>
        <v>3117932</v>
      </c>
      <c r="G422" s="99">
        <v>3182697.6810078304</v>
      </c>
      <c r="I422" s="96"/>
      <c r="J422" s="96"/>
      <c r="K422" s="97">
        <f>SUM(K414:K421)</f>
        <v>202539</v>
      </c>
      <c r="M422" s="97">
        <f>SUM(M414:M421)</f>
        <v>206235</v>
      </c>
      <c r="O422" s="96"/>
      <c r="P422" s="96"/>
      <c r="Q422" s="97">
        <f>SUM(Q414:Q421)</f>
        <v>222839</v>
      </c>
      <c r="AG422" s="60"/>
      <c r="AH422" s="60"/>
      <c r="AU422" s="96"/>
      <c r="AV422" s="96"/>
      <c r="AW422" s="97">
        <f>SUM(AW414:AW421)</f>
        <v>185589</v>
      </c>
      <c r="AX422" s="66" t="s">
        <v>108</v>
      </c>
      <c r="AY422" s="107" t="s">
        <v>9</v>
      </c>
    </row>
    <row r="423" spans="1:51" ht="16.5" thickTop="1">
      <c r="A423" s="57">
        <f t="shared" si="25"/>
        <v>421</v>
      </c>
      <c r="B423" s="64" t="s">
        <v>60</v>
      </c>
      <c r="E423" s="59"/>
      <c r="G423" s="59"/>
      <c r="I423" s="76"/>
      <c r="J423" s="26">
        <f>J406</f>
        <v>0</v>
      </c>
      <c r="K423" s="81">
        <f>ROUND(SUM(K415:K419)*J423,0)</f>
        <v>0</v>
      </c>
      <c r="M423" s="81">
        <f>ROUND(SUM(M415:M419)*J423,0)</f>
        <v>0</v>
      </c>
      <c r="O423" s="76"/>
      <c r="P423" s="26">
        <f>P406</f>
        <v>0</v>
      </c>
      <c r="Q423" s="81">
        <f>ROUND(SUM(Q415:Q419)*P423,0)</f>
        <v>0</v>
      </c>
      <c r="AG423" s="60"/>
      <c r="AH423" s="60"/>
      <c r="AU423" s="76"/>
      <c r="AV423" s="26">
        <f>AV406</f>
        <v>0.0353</v>
      </c>
      <c r="AW423" s="81">
        <f>ROUND(SUM(AW415:AW419)*AV423,0)</f>
        <v>6515</v>
      </c>
      <c r="AX423" s="66" t="s">
        <v>108</v>
      </c>
      <c r="AY423" s="107" t="s">
        <v>9</v>
      </c>
    </row>
    <row r="424" spans="1:51" ht="15.75">
      <c r="A424" s="57">
        <f t="shared" si="25"/>
        <v>422</v>
      </c>
      <c r="B424" s="64" t="s">
        <v>62</v>
      </c>
      <c r="E424" s="59"/>
      <c r="G424" s="59"/>
      <c r="I424" s="76"/>
      <c r="J424" s="26">
        <f>J407</f>
        <v>0.03</v>
      </c>
      <c r="K424" s="81">
        <f>ROUND(SUM(K415:K419,K423)*J424,0)</f>
        <v>6046</v>
      </c>
      <c r="M424" s="81">
        <f>ROUND(SUM(M415:M419,M423)*J424,0)</f>
        <v>6148</v>
      </c>
      <c r="O424" s="76"/>
      <c r="P424" s="26">
        <f>P407</f>
        <v>0.03</v>
      </c>
      <c r="Q424" s="81">
        <f>ROUND(SUM(Q415:Q419,Q423)*P424,0)</f>
        <v>6645</v>
      </c>
      <c r="S424" s="60"/>
      <c r="T424" s="60"/>
      <c r="U424" s="60"/>
      <c r="V424" s="60"/>
      <c r="AG424" s="60"/>
      <c r="AH424" s="60"/>
      <c r="AU424" s="76"/>
      <c r="AV424" s="26">
        <f>AV407</f>
        <v>0</v>
      </c>
      <c r="AW424" s="81">
        <f>ROUND(SUM(AW415:AW419,AW423)*AV424,0)</f>
        <v>0</v>
      </c>
      <c r="AX424" s="66" t="s">
        <v>108</v>
      </c>
      <c r="AY424" s="107" t="s">
        <v>9</v>
      </c>
    </row>
    <row r="425" spans="1:51" ht="15.75">
      <c r="A425" s="57">
        <f t="shared" si="25"/>
        <v>423</v>
      </c>
      <c r="E425" s="59"/>
      <c r="G425" s="59"/>
      <c r="AG425" s="116"/>
      <c r="AH425" s="116"/>
      <c r="AX425" s="66" t="s">
        <v>108</v>
      </c>
      <c r="AY425" s="107" t="s">
        <v>9</v>
      </c>
    </row>
    <row r="426" spans="1:51" ht="15.75">
      <c r="A426" s="57">
        <f t="shared" si="25"/>
        <v>424</v>
      </c>
      <c r="E426" s="59"/>
      <c r="G426" s="59"/>
      <c r="R426" s="58" t="s">
        <v>148</v>
      </c>
      <c r="AG426" s="116"/>
      <c r="AH426" s="116"/>
      <c r="AX426" s="66" t="s">
        <v>108</v>
      </c>
      <c r="AY426" s="107" t="s">
        <v>9</v>
      </c>
    </row>
    <row r="427" spans="1:51" ht="15.75">
      <c r="A427" s="57">
        <f t="shared" si="25"/>
        <v>425</v>
      </c>
      <c r="B427" s="64" t="s">
        <v>149</v>
      </c>
      <c r="E427" s="59"/>
      <c r="G427" s="59"/>
      <c r="R427" s="117">
        <v>0.11394</v>
      </c>
      <c r="S427" s="87">
        <f>S469</f>
        <v>67.69106116704643</v>
      </c>
      <c r="AG427" s="116"/>
      <c r="AH427" s="116"/>
      <c r="AX427" s="66" t="s">
        <v>87</v>
      </c>
      <c r="AY427" s="58">
        <v>7</v>
      </c>
    </row>
    <row r="428" spans="1:51" ht="15.75">
      <c r="A428" s="57">
        <f aca="true" t="shared" si="27" ref="A428:A491">A427+1</f>
        <v>426</v>
      </c>
      <c r="B428" s="103" t="s">
        <v>13</v>
      </c>
      <c r="E428" s="59"/>
      <c r="G428" s="59"/>
      <c r="AC428" s="58"/>
      <c r="AD428" s="58" t="s">
        <v>150</v>
      </c>
      <c r="AE428" s="60"/>
      <c r="AF428" s="60" t="s">
        <v>151</v>
      </c>
      <c r="AG428" s="60"/>
      <c r="AH428" s="60"/>
      <c r="AX428" s="66" t="s">
        <v>87</v>
      </c>
      <c r="AY428" s="58">
        <v>7</v>
      </c>
    </row>
    <row r="429" spans="1:51" ht="15.75">
      <c r="A429" s="57">
        <f t="shared" si="27"/>
        <v>427</v>
      </c>
      <c r="B429" s="98" t="s">
        <v>152</v>
      </c>
      <c r="E429" s="59"/>
      <c r="G429" s="59"/>
      <c r="R429" s="58" t="s">
        <v>0</v>
      </c>
      <c r="S429" s="58"/>
      <c r="V429" s="118" t="s">
        <v>153</v>
      </c>
      <c r="W429" s="118" t="s">
        <v>154</v>
      </c>
      <c r="X429" s="118" t="s">
        <v>155</v>
      </c>
      <c r="Y429" s="118" t="s">
        <v>156</v>
      </c>
      <c r="Z429" s="118" t="s">
        <v>157</v>
      </c>
      <c r="AA429" s="55" t="s">
        <v>30</v>
      </c>
      <c r="AB429" s="55" t="s">
        <v>158</v>
      </c>
      <c r="AD429" s="58" t="s">
        <v>7</v>
      </c>
      <c r="AE429" s="58" t="s">
        <v>7</v>
      </c>
      <c r="AF429" s="118" t="s">
        <v>153</v>
      </c>
      <c r="AG429" s="118" t="s">
        <v>154</v>
      </c>
      <c r="AH429" s="118" t="s">
        <v>155</v>
      </c>
      <c r="AI429" s="118" t="s">
        <v>156</v>
      </c>
      <c r="AJ429" s="118" t="s">
        <v>157</v>
      </c>
      <c r="AK429" s="55" t="s">
        <v>59</v>
      </c>
      <c r="AN429" s="55" t="s">
        <v>159</v>
      </c>
      <c r="AX429" s="66" t="s">
        <v>87</v>
      </c>
      <c r="AY429" s="58">
        <v>7</v>
      </c>
    </row>
    <row r="430" spans="1:51" ht="15.75">
      <c r="A430" s="57">
        <f t="shared" si="27"/>
        <v>428</v>
      </c>
      <c r="B430" s="64" t="s">
        <v>160</v>
      </c>
      <c r="E430" s="59"/>
      <c r="G430" s="59"/>
      <c r="I430" s="76"/>
      <c r="K430" s="66"/>
      <c r="M430" s="66"/>
      <c r="O430" s="76"/>
      <c r="Q430" s="66"/>
      <c r="S430" s="58"/>
      <c r="AD430" s="58"/>
      <c r="AE430" s="58"/>
      <c r="AF430" s="60"/>
      <c r="AG430" s="60"/>
      <c r="AH430" s="60"/>
      <c r="AI430" s="60"/>
      <c r="AO430" s="119" t="s">
        <v>153</v>
      </c>
      <c r="AP430" s="119" t="s">
        <v>154</v>
      </c>
      <c r="AQ430" s="119" t="s">
        <v>155</v>
      </c>
      <c r="AR430" s="119" t="s">
        <v>156</v>
      </c>
      <c r="AS430" s="119" t="s">
        <v>157</v>
      </c>
      <c r="AU430" s="76"/>
      <c r="AW430" s="66"/>
      <c r="AX430" s="66" t="s">
        <v>87</v>
      </c>
      <c r="AY430" s="58">
        <v>7</v>
      </c>
    </row>
    <row r="431" spans="1:51" ht="15.75">
      <c r="A431" s="57">
        <f t="shared" si="27"/>
        <v>429</v>
      </c>
      <c r="B431" s="64" t="s">
        <v>161</v>
      </c>
      <c r="E431" s="17">
        <f>AA431</f>
        <v>36</v>
      </c>
      <c r="G431" s="17">
        <f>E431*$G$464/$E$464</f>
        <v>35.5009042816855</v>
      </c>
      <c r="I431" s="69">
        <v>4.23</v>
      </c>
      <c r="K431" s="66">
        <f>ROUND(I431*$E431,0)</f>
        <v>152</v>
      </c>
      <c r="M431" s="66">
        <f>ROUND(I431*$G431,0)</f>
        <v>150</v>
      </c>
      <c r="O431" s="69">
        <v>4.71</v>
      </c>
      <c r="Q431" s="76">
        <f>ROUND(O431*$G431,0)</f>
        <v>167</v>
      </c>
      <c r="R431" s="69">
        <f>ROUND(L431*(1+$R$427),2)</f>
        <v>0</v>
      </c>
      <c r="S431" s="69">
        <f>AU431+AB431</f>
        <v>32.93</v>
      </c>
      <c r="T431" s="95"/>
      <c r="V431" s="55">
        <v>0</v>
      </c>
      <c r="W431" s="55">
        <v>0</v>
      </c>
      <c r="X431" s="55">
        <v>0</v>
      </c>
      <c r="Y431" s="55">
        <v>0</v>
      </c>
      <c r="Z431" s="55">
        <v>36</v>
      </c>
      <c r="AA431" s="55">
        <f>SUM(V431:Z431)</f>
        <v>36</v>
      </c>
      <c r="AB431" s="55">
        <v>29</v>
      </c>
      <c r="AD431" s="59">
        <v>39</v>
      </c>
      <c r="AE431" s="58">
        <f>AD431*E431</f>
        <v>1404</v>
      </c>
      <c r="AF431" s="120">
        <f aca="true" t="shared" si="28" ref="AF431:AF462">$AD431*V431*($G$464/$E$464)</f>
        <v>0</v>
      </c>
      <c r="AG431" s="120">
        <f aca="true" t="shared" si="29" ref="AG431:AG462">$AD431*W431*($G$464/$E$464)</f>
        <v>0</v>
      </c>
      <c r="AH431" s="120">
        <f aca="true" t="shared" si="30" ref="AH431:AH462">$AD431*X431*($G$464/$E$464)</f>
        <v>0</v>
      </c>
      <c r="AI431" s="120">
        <f aca="true" t="shared" si="31" ref="AI431:AI462">$AD431*Y431*($G$464/$E$464)</f>
        <v>0</v>
      </c>
      <c r="AJ431" s="120">
        <f aca="true" t="shared" si="32" ref="AJ431:AJ462">$AD431*Z431*($G$464/$E$464)</f>
        <v>1384.5352669857343</v>
      </c>
      <c r="AK431" s="55">
        <f aca="true" t="shared" si="33" ref="AK431:AK462">SUM(AF431:AJ431)</f>
        <v>1384.5352669857343</v>
      </c>
      <c r="AL431" s="121"/>
      <c r="AO431" s="56">
        <f aca="true" t="shared" si="34" ref="AO431:AO462">ROUND(AU431*$V431,0)</f>
        <v>0</v>
      </c>
      <c r="AP431" s="56">
        <f aca="true" t="shared" si="35" ref="AP431:AP462">ROUND(AU431*$W431,0)</f>
        <v>0</v>
      </c>
      <c r="AQ431" s="56">
        <f aca="true" t="shared" si="36" ref="AQ431:AQ462">ROUND(AU431*$X431,0)</f>
        <v>0</v>
      </c>
      <c r="AR431" s="56">
        <f aca="true" t="shared" si="37" ref="AR431:AR462">ROUND(AU431*$Y431,0)</f>
        <v>0</v>
      </c>
      <c r="AS431" s="56">
        <f aca="true" t="shared" si="38" ref="AS431:AS462">ROUND(AU431*$Z431,0)</f>
        <v>141</v>
      </c>
      <c r="AU431" s="69">
        <v>3.93</v>
      </c>
      <c r="AW431" s="66">
        <f>ROUND(AU431*$E431,0)</f>
        <v>141</v>
      </c>
      <c r="AX431" s="66" t="s">
        <v>87</v>
      </c>
      <c r="AY431" s="58">
        <v>7</v>
      </c>
    </row>
    <row r="432" spans="1:51" ht="15.75">
      <c r="A432" s="57">
        <f t="shared" si="27"/>
        <v>430</v>
      </c>
      <c r="B432" s="64" t="s">
        <v>162</v>
      </c>
      <c r="E432" s="17">
        <f>AA432</f>
        <v>56841.67999999999</v>
      </c>
      <c r="G432" s="17">
        <f>E432*$G$464/$E$464</f>
        <v>56053.64002472769</v>
      </c>
      <c r="I432" s="69">
        <v>12.19</v>
      </c>
      <c r="K432" s="66">
        <f>ROUND(I432*$E432,0)</f>
        <v>692900</v>
      </c>
      <c r="M432" s="66">
        <f>ROUND(I432*$G432,0)</f>
        <v>683294</v>
      </c>
      <c r="O432" s="69">
        <v>13.58</v>
      </c>
      <c r="Q432" s="66">
        <f>ROUND(O432*$G432,0)</f>
        <v>761208</v>
      </c>
      <c r="R432" s="69">
        <f>ROUND(L432*(1+$R$427),2)</f>
        <v>0</v>
      </c>
      <c r="S432" s="69">
        <f>AU432+AB432</f>
        <v>12.32</v>
      </c>
      <c r="T432" s="95"/>
      <c r="V432" s="55">
        <v>32046.44</v>
      </c>
      <c r="W432" s="55">
        <v>4666.33</v>
      </c>
      <c r="X432" s="55">
        <v>216</v>
      </c>
      <c r="Y432" s="55">
        <v>48</v>
      </c>
      <c r="Z432" s="55">
        <v>19864.91</v>
      </c>
      <c r="AA432" s="55">
        <f>SUM(V432:Z432)</f>
        <v>56841.67999999999</v>
      </c>
      <c r="AB432" s="55">
        <v>1</v>
      </c>
      <c r="AC432" s="116"/>
      <c r="AD432" s="59">
        <v>69</v>
      </c>
      <c r="AE432" s="58">
        <f>AD432*E432</f>
        <v>3922075.9199999995</v>
      </c>
      <c r="AF432" s="120">
        <f t="shared" si="28"/>
        <v>2180548.73143349</v>
      </c>
      <c r="AG432" s="120">
        <f t="shared" si="29"/>
        <v>317512.95813045185</v>
      </c>
      <c r="AH432" s="120">
        <f t="shared" si="30"/>
        <v>14697.374372617796</v>
      </c>
      <c r="AI432" s="120">
        <f t="shared" si="31"/>
        <v>3266.0831939150657</v>
      </c>
      <c r="AJ432" s="120">
        <f t="shared" si="32"/>
        <v>1351676.0145757361</v>
      </c>
      <c r="AK432" s="55">
        <f t="shared" si="33"/>
        <v>3867701.1617062106</v>
      </c>
      <c r="AL432" s="121"/>
      <c r="AO432" s="56">
        <f t="shared" si="34"/>
        <v>362766</v>
      </c>
      <c r="AP432" s="56">
        <f t="shared" si="35"/>
        <v>52823</v>
      </c>
      <c r="AQ432" s="56">
        <f t="shared" si="36"/>
        <v>2445</v>
      </c>
      <c r="AR432" s="56">
        <f t="shared" si="37"/>
        <v>543</v>
      </c>
      <c r="AS432" s="56">
        <f t="shared" si="38"/>
        <v>224871</v>
      </c>
      <c r="AU432" s="69">
        <v>11.32</v>
      </c>
      <c r="AW432" s="66">
        <f>ROUND(AU432*$E432,0)</f>
        <v>643448</v>
      </c>
      <c r="AX432" s="66" t="s">
        <v>87</v>
      </c>
      <c r="AY432" s="58">
        <v>7</v>
      </c>
    </row>
    <row r="433" spans="1:51" ht="15.75">
      <c r="A433" s="57">
        <f t="shared" si="27"/>
        <v>431</v>
      </c>
      <c r="B433" s="64" t="s">
        <v>163</v>
      </c>
      <c r="E433" s="17">
        <f>AA433</f>
        <v>276</v>
      </c>
      <c r="G433" s="17">
        <f>E433*$G$464/$E$464</f>
        <v>272.17359949292216</v>
      </c>
      <c r="I433" s="69">
        <v>6</v>
      </c>
      <c r="K433" s="66">
        <f>ROUND(I433*$E433,0)</f>
        <v>1656</v>
      </c>
      <c r="M433" s="66">
        <f>ROUND(I433*$G433,0)</f>
        <v>1633</v>
      </c>
      <c r="O433" s="69">
        <v>6.68</v>
      </c>
      <c r="Q433" s="66">
        <f>ROUND(O433*$G433,0)</f>
        <v>1818</v>
      </c>
      <c r="R433" s="69">
        <f>ROUND(L433*(1+$R$427),2)</f>
        <v>0</v>
      </c>
      <c r="S433" s="69">
        <f>AU433+AB433</f>
        <v>33.57</v>
      </c>
      <c r="T433" s="95"/>
      <c r="V433" s="55">
        <v>0</v>
      </c>
      <c r="W433" s="55">
        <v>0</v>
      </c>
      <c r="X433" s="55">
        <v>0</v>
      </c>
      <c r="Y433" s="55">
        <v>0</v>
      </c>
      <c r="Z433" s="55">
        <v>276</v>
      </c>
      <c r="AA433" s="55">
        <f>SUM(V433:Z433)</f>
        <v>276</v>
      </c>
      <c r="AB433" s="55">
        <v>28</v>
      </c>
      <c r="AC433" s="116"/>
      <c r="AD433" s="59">
        <v>69</v>
      </c>
      <c r="AE433" s="58">
        <f>AD433*E433</f>
        <v>19044</v>
      </c>
      <c r="AF433" s="120">
        <f t="shared" si="28"/>
        <v>0</v>
      </c>
      <c r="AG433" s="120">
        <f t="shared" si="29"/>
        <v>0</v>
      </c>
      <c r="AH433" s="120">
        <f t="shared" si="30"/>
        <v>0</v>
      </c>
      <c r="AI433" s="120">
        <f t="shared" si="31"/>
        <v>0</v>
      </c>
      <c r="AJ433" s="120">
        <f t="shared" si="32"/>
        <v>18779.97836501163</v>
      </c>
      <c r="AK433" s="55">
        <f t="shared" si="33"/>
        <v>18779.97836501163</v>
      </c>
      <c r="AL433" s="121"/>
      <c r="AO433" s="56">
        <f t="shared" si="34"/>
        <v>0</v>
      </c>
      <c r="AP433" s="56">
        <f t="shared" si="35"/>
        <v>0</v>
      </c>
      <c r="AQ433" s="56">
        <f t="shared" si="36"/>
        <v>0</v>
      </c>
      <c r="AR433" s="56">
        <f t="shared" si="37"/>
        <v>0</v>
      </c>
      <c r="AS433" s="56">
        <f t="shared" si="38"/>
        <v>1537</v>
      </c>
      <c r="AU433" s="69">
        <v>5.57</v>
      </c>
      <c r="AW433" s="66">
        <f>ROUND(AU433*$E433,0)</f>
        <v>1537</v>
      </c>
      <c r="AX433" s="66" t="s">
        <v>87</v>
      </c>
      <c r="AY433" s="58">
        <v>7</v>
      </c>
    </row>
    <row r="434" spans="1:51" ht="15.75">
      <c r="A434" s="57">
        <f t="shared" si="27"/>
        <v>432</v>
      </c>
      <c r="B434" s="64" t="s">
        <v>164</v>
      </c>
      <c r="E434" s="17">
        <f>AA434</f>
        <v>15350.34</v>
      </c>
      <c r="G434" s="17">
        <f>E434*$G$464/$E$464</f>
        <v>15137.526417536894</v>
      </c>
      <c r="I434" s="69">
        <v>19.93</v>
      </c>
      <c r="K434" s="66">
        <f>ROUND(I434*$E434,0)</f>
        <v>305932</v>
      </c>
      <c r="M434" s="66">
        <f>ROUND(I434*$G434,0)</f>
        <v>301691</v>
      </c>
      <c r="O434" s="69">
        <v>22.2</v>
      </c>
      <c r="Q434" s="66">
        <f>ROUND(O434*$G434,0)</f>
        <v>336053</v>
      </c>
      <c r="R434" s="69">
        <f>ROUND(L434*(1+$R$427),2)</f>
        <v>0</v>
      </c>
      <c r="S434" s="69">
        <f>AU434+AB434</f>
        <v>20.5</v>
      </c>
      <c r="T434" s="95"/>
      <c r="V434" s="55">
        <v>11095.37</v>
      </c>
      <c r="W434" s="55">
        <v>3416.24</v>
      </c>
      <c r="X434" s="55">
        <v>0</v>
      </c>
      <c r="Y434" s="55">
        <v>12</v>
      </c>
      <c r="Z434" s="55">
        <v>826.73</v>
      </c>
      <c r="AA434" s="55">
        <f>SUM(V434:Z434)</f>
        <v>15350.34</v>
      </c>
      <c r="AB434" s="55">
        <v>2</v>
      </c>
      <c r="AC434" s="116"/>
      <c r="AD434" s="59">
        <v>145</v>
      </c>
      <c r="AE434" s="58">
        <f>AD434*E434</f>
        <v>2225799.3</v>
      </c>
      <c r="AF434" s="120">
        <f t="shared" si="28"/>
        <v>1586524.2197023141</v>
      </c>
      <c r="AG434" s="120">
        <f t="shared" si="29"/>
        <v>488487.3150075962</v>
      </c>
      <c r="AH434" s="120">
        <f t="shared" si="30"/>
        <v>0</v>
      </c>
      <c r="AI434" s="120">
        <f t="shared" si="31"/>
        <v>1715.8770402814657</v>
      </c>
      <c r="AJ434" s="120">
        <f t="shared" si="32"/>
        <v>118213.91879265802</v>
      </c>
      <c r="AK434" s="55">
        <f t="shared" si="33"/>
        <v>2194941.33054285</v>
      </c>
      <c r="AL434" s="121"/>
      <c r="AO434" s="56">
        <f t="shared" si="34"/>
        <v>205264</v>
      </c>
      <c r="AP434" s="56">
        <f t="shared" si="35"/>
        <v>63200</v>
      </c>
      <c r="AQ434" s="56">
        <f t="shared" si="36"/>
        <v>0</v>
      </c>
      <c r="AR434" s="56">
        <f t="shared" si="37"/>
        <v>222</v>
      </c>
      <c r="AS434" s="56">
        <f t="shared" si="38"/>
        <v>15295</v>
      </c>
      <c r="AU434" s="69">
        <v>18.5</v>
      </c>
      <c r="AW434" s="66">
        <f>ROUND(AU434*$E434,0)</f>
        <v>283981</v>
      </c>
      <c r="AX434" s="66" t="s">
        <v>87</v>
      </c>
      <c r="AY434" s="58">
        <v>7</v>
      </c>
    </row>
    <row r="435" spans="1:51" ht="15.75">
      <c r="A435" s="57">
        <f t="shared" si="27"/>
        <v>433</v>
      </c>
      <c r="B435" s="64" t="s">
        <v>165</v>
      </c>
      <c r="E435" s="17"/>
      <c r="G435" s="17"/>
      <c r="I435" s="76"/>
      <c r="K435" s="66"/>
      <c r="M435" s="66"/>
      <c r="Q435" s="66"/>
      <c r="S435" s="58"/>
      <c r="T435" s="95"/>
      <c r="AC435" s="116"/>
      <c r="AD435" s="59"/>
      <c r="AE435" s="58"/>
      <c r="AF435" s="120">
        <f t="shared" si="28"/>
        <v>0</v>
      </c>
      <c r="AG435" s="120">
        <f t="shared" si="29"/>
        <v>0</v>
      </c>
      <c r="AH435" s="120">
        <f t="shared" si="30"/>
        <v>0</v>
      </c>
      <c r="AI435" s="120">
        <f t="shared" si="31"/>
        <v>0</v>
      </c>
      <c r="AJ435" s="120">
        <f t="shared" si="32"/>
        <v>0</v>
      </c>
      <c r="AK435" s="55">
        <f t="shared" si="33"/>
        <v>0</v>
      </c>
      <c r="AL435" s="121"/>
      <c r="AO435" s="56">
        <f t="shared" si="34"/>
        <v>0</v>
      </c>
      <c r="AP435" s="56">
        <f t="shared" si="35"/>
        <v>0</v>
      </c>
      <c r="AQ435" s="56">
        <f t="shared" si="36"/>
        <v>0</v>
      </c>
      <c r="AR435" s="56">
        <f t="shared" si="37"/>
        <v>0</v>
      </c>
      <c r="AS435" s="56">
        <f t="shared" si="38"/>
        <v>0</v>
      </c>
      <c r="AU435" s="76"/>
      <c r="AW435" s="66"/>
      <c r="AX435" s="66" t="s">
        <v>87</v>
      </c>
      <c r="AY435" s="58">
        <v>7</v>
      </c>
    </row>
    <row r="436" spans="1:51" ht="15.75">
      <c r="A436" s="57">
        <f t="shared" si="27"/>
        <v>434</v>
      </c>
      <c r="B436" s="64" t="s">
        <v>166</v>
      </c>
      <c r="E436" s="17">
        <f aca="true" t="shared" si="39" ref="E436:E462">AA436</f>
        <v>4079.63</v>
      </c>
      <c r="G436" s="17">
        <f aca="true" t="shared" si="40" ref="G436:G462">E436*$G$464/$E$464</f>
        <v>4023.0709481859058</v>
      </c>
      <c r="I436" s="69">
        <v>10.86</v>
      </c>
      <c r="K436" s="66">
        <f aca="true" t="shared" si="41" ref="K436:K446">ROUND(I436*$E436,0)</f>
        <v>44305</v>
      </c>
      <c r="M436" s="66">
        <f aca="true" t="shared" si="42" ref="M436:M446">ROUND(I436*$G436,0)</f>
        <v>43691</v>
      </c>
      <c r="O436" s="69">
        <v>12.1</v>
      </c>
      <c r="Q436" s="66">
        <f aca="true" t="shared" si="43" ref="Q436:Q446">ROUND(O436*$G436,0)</f>
        <v>48679</v>
      </c>
      <c r="R436" s="69">
        <f aca="true" t="shared" si="44" ref="R436:R446">ROUND(L436*(1+$R$427),2)</f>
        <v>0</v>
      </c>
      <c r="S436" s="69">
        <f aca="true" t="shared" si="45" ref="S436:S446">AU436+AB436</f>
        <v>13.08</v>
      </c>
      <c r="T436" s="95"/>
      <c r="V436" s="55">
        <v>1056.53</v>
      </c>
      <c r="W436" s="55">
        <v>12</v>
      </c>
      <c r="X436" s="55">
        <v>0</v>
      </c>
      <c r="Y436" s="55">
        <v>312</v>
      </c>
      <c r="Z436" s="55">
        <v>2699.1</v>
      </c>
      <c r="AA436" s="55">
        <f aca="true" t="shared" si="46" ref="AA436:AA463">SUM(V436:Z436)</f>
        <v>4079.63</v>
      </c>
      <c r="AB436" s="55">
        <v>3</v>
      </c>
      <c r="AC436" s="116"/>
      <c r="AD436" s="59">
        <v>28</v>
      </c>
      <c r="AE436" s="58">
        <f aca="true" t="shared" si="47" ref="AE436:AE446">AD436*E436</f>
        <v>114229.64</v>
      </c>
      <c r="AF436" s="120">
        <f t="shared" si="28"/>
        <v>29172.71031167825</v>
      </c>
      <c r="AG436" s="120">
        <f t="shared" si="29"/>
        <v>331.3417732957313</v>
      </c>
      <c r="AH436" s="120">
        <f t="shared" si="30"/>
        <v>0</v>
      </c>
      <c r="AI436" s="120">
        <f t="shared" si="31"/>
        <v>8614.886105689015</v>
      </c>
      <c r="AJ436" s="120">
        <f t="shared" si="32"/>
        <v>74527.04835854236</v>
      </c>
      <c r="AK436" s="55">
        <f t="shared" si="33"/>
        <v>112645.98654920535</v>
      </c>
      <c r="AL436" s="121"/>
      <c r="AO436" s="56">
        <f t="shared" si="34"/>
        <v>10650</v>
      </c>
      <c r="AP436" s="56">
        <f t="shared" si="35"/>
        <v>121</v>
      </c>
      <c r="AQ436" s="56">
        <f t="shared" si="36"/>
        <v>0</v>
      </c>
      <c r="AR436" s="56">
        <f t="shared" si="37"/>
        <v>3145</v>
      </c>
      <c r="AS436" s="56">
        <f t="shared" si="38"/>
        <v>27207</v>
      </c>
      <c r="AU436" s="69">
        <v>10.08</v>
      </c>
      <c r="AW436" s="66">
        <f aca="true" t="shared" si="48" ref="AW436:AW446">ROUND(AU436*$E436,0)</f>
        <v>41123</v>
      </c>
      <c r="AX436" s="66" t="s">
        <v>87</v>
      </c>
      <c r="AY436" s="58">
        <v>7</v>
      </c>
    </row>
    <row r="437" spans="1:51" ht="15.75">
      <c r="A437" s="57">
        <f t="shared" si="27"/>
        <v>435</v>
      </c>
      <c r="B437" s="64" t="s">
        <v>167</v>
      </c>
      <c r="E437" s="17">
        <f t="shared" si="39"/>
        <v>2222.88</v>
      </c>
      <c r="G437" s="17">
        <f t="shared" si="40"/>
        <v>2192.062503046474</v>
      </c>
      <c r="I437" s="69">
        <v>9.1</v>
      </c>
      <c r="K437" s="66">
        <f t="shared" si="41"/>
        <v>20228</v>
      </c>
      <c r="M437" s="66">
        <f t="shared" si="42"/>
        <v>19948</v>
      </c>
      <c r="O437" s="69">
        <v>10.14</v>
      </c>
      <c r="Q437" s="66">
        <f t="shared" si="43"/>
        <v>22228</v>
      </c>
      <c r="R437" s="69">
        <f t="shared" si="44"/>
        <v>0</v>
      </c>
      <c r="S437" s="69">
        <f t="shared" si="45"/>
        <v>12.45</v>
      </c>
      <c r="T437" s="95"/>
      <c r="V437" s="55">
        <v>810.44</v>
      </c>
      <c r="W437" s="55">
        <v>48</v>
      </c>
      <c r="X437" s="55">
        <v>0</v>
      </c>
      <c r="Y437" s="55">
        <v>12</v>
      </c>
      <c r="Z437" s="55">
        <v>1352.44</v>
      </c>
      <c r="AA437" s="55">
        <f t="shared" si="46"/>
        <v>2222.88</v>
      </c>
      <c r="AB437" s="55">
        <v>4</v>
      </c>
      <c r="AC437" s="116"/>
      <c r="AD437" s="59">
        <v>28</v>
      </c>
      <c r="AE437" s="58">
        <f t="shared" si="47"/>
        <v>62240.64</v>
      </c>
      <c r="AF437" s="120">
        <f t="shared" si="28"/>
        <v>22377.71889581604</v>
      </c>
      <c r="AG437" s="120">
        <f t="shared" si="29"/>
        <v>1325.3670931829251</v>
      </c>
      <c r="AH437" s="120">
        <f t="shared" si="30"/>
        <v>0</v>
      </c>
      <c r="AI437" s="120">
        <f t="shared" si="31"/>
        <v>331.3417732957313</v>
      </c>
      <c r="AJ437" s="120">
        <f t="shared" si="32"/>
        <v>37343.32232300657</v>
      </c>
      <c r="AK437" s="55">
        <f t="shared" si="33"/>
        <v>61377.75008530127</v>
      </c>
      <c r="AL437" s="121"/>
      <c r="AO437" s="56">
        <f t="shared" si="34"/>
        <v>6848</v>
      </c>
      <c r="AP437" s="56">
        <f t="shared" si="35"/>
        <v>406</v>
      </c>
      <c r="AQ437" s="56">
        <f t="shared" si="36"/>
        <v>0</v>
      </c>
      <c r="AR437" s="56">
        <f t="shared" si="37"/>
        <v>101</v>
      </c>
      <c r="AS437" s="56">
        <f t="shared" si="38"/>
        <v>11428</v>
      </c>
      <c r="AU437" s="69">
        <v>8.45</v>
      </c>
      <c r="AW437" s="66">
        <f t="shared" si="48"/>
        <v>18783</v>
      </c>
      <c r="AX437" s="66" t="s">
        <v>87</v>
      </c>
      <c r="AY437" s="58">
        <v>7</v>
      </c>
    </row>
    <row r="438" spans="1:51" ht="15.75">
      <c r="A438" s="57">
        <f t="shared" si="27"/>
        <v>436</v>
      </c>
      <c r="B438" s="64" t="s">
        <v>168</v>
      </c>
      <c r="E438" s="17">
        <f t="shared" si="39"/>
        <v>26891.59</v>
      </c>
      <c r="G438" s="17">
        <f t="shared" si="40"/>
        <v>26518.771182564746</v>
      </c>
      <c r="I438" s="69">
        <v>11.52</v>
      </c>
      <c r="K438" s="66">
        <f t="shared" si="41"/>
        <v>309791</v>
      </c>
      <c r="M438" s="66">
        <f t="shared" si="42"/>
        <v>305496</v>
      </c>
      <c r="O438" s="69">
        <v>12.83</v>
      </c>
      <c r="Q438" s="66">
        <f t="shared" si="43"/>
        <v>340236</v>
      </c>
      <c r="R438" s="69">
        <f t="shared" si="44"/>
        <v>0</v>
      </c>
      <c r="S438" s="69">
        <f t="shared" si="45"/>
        <v>15.7</v>
      </c>
      <c r="T438" s="95"/>
      <c r="V438" s="55">
        <v>13720.33</v>
      </c>
      <c r="W438" s="55">
        <v>1151.6</v>
      </c>
      <c r="X438" s="55">
        <v>36</v>
      </c>
      <c r="Y438" s="55">
        <v>722.9</v>
      </c>
      <c r="Z438" s="55">
        <v>11260.76</v>
      </c>
      <c r="AA438" s="55">
        <f t="shared" si="46"/>
        <v>26891.59</v>
      </c>
      <c r="AB438" s="55">
        <v>5</v>
      </c>
      <c r="AC438" s="116"/>
      <c r="AD438" s="59">
        <v>39</v>
      </c>
      <c r="AE438" s="58">
        <f t="shared" si="47"/>
        <v>1048772.01</v>
      </c>
      <c r="AF438" s="120">
        <f t="shared" si="28"/>
        <v>527674.4655467328</v>
      </c>
      <c r="AG438" s="120">
        <f t="shared" si="29"/>
        <v>44289.74481835477</v>
      </c>
      <c r="AH438" s="120">
        <f t="shared" si="30"/>
        <v>1384.5352669857343</v>
      </c>
      <c r="AI438" s="120">
        <f t="shared" si="31"/>
        <v>27802.237347332983</v>
      </c>
      <c r="AJ438" s="120">
        <f t="shared" si="32"/>
        <v>433081.0931406189</v>
      </c>
      <c r="AK438" s="55">
        <f t="shared" si="33"/>
        <v>1034232.0761200251</v>
      </c>
      <c r="AL438" s="121"/>
      <c r="AO438" s="56">
        <f t="shared" si="34"/>
        <v>146808</v>
      </c>
      <c r="AP438" s="56">
        <f t="shared" si="35"/>
        <v>12322</v>
      </c>
      <c r="AQ438" s="56">
        <f t="shared" si="36"/>
        <v>385</v>
      </c>
      <c r="AR438" s="56">
        <f t="shared" si="37"/>
        <v>7735</v>
      </c>
      <c r="AS438" s="56">
        <f t="shared" si="38"/>
        <v>120490</v>
      </c>
      <c r="AU438" s="69">
        <v>10.7</v>
      </c>
      <c r="AW438" s="66">
        <f t="shared" si="48"/>
        <v>287740</v>
      </c>
      <c r="AX438" s="66" t="s">
        <v>87</v>
      </c>
      <c r="AY438" s="58">
        <v>7</v>
      </c>
    </row>
    <row r="439" spans="1:51" ht="15.75">
      <c r="A439" s="57">
        <f t="shared" si="27"/>
        <v>437</v>
      </c>
      <c r="B439" s="64" t="s">
        <v>169</v>
      </c>
      <c r="E439" s="17">
        <f t="shared" si="39"/>
        <v>26499.86</v>
      </c>
      <c r="G439" s="17">
        <f t="shared" si="40"/>
        <v>26132.47203716851</v>
      </c>
      <c r="I439" s="69">
        <v>9.91</v>
      </c>
      <c r="K439" s="66">
        <f t="shared" si="41"/>
        <v>262614</v>
      </c>
      <c r="M439" s="66">
        <f t="shared" si="42"/>
        <v>258973</v>
      </c>
      <c r="O439" s="69">
        <v>11.04</v>
      </c>
      <c r="Q439" s="66">
        <f t="shared" si="43"/>
        <v>288502</v>
      </c>
      <c r="R439" s="69">
        <f t="shared" si="44"/>
        <v>0</v>
      </c>
      <c r="S439" s="69">
        <f t="shared" si="45"/>
        <v>15.2</v>
      </c>
      <c r="T439" s="95"/>
      <c r="V439" s="55">
        <v>10820</v>
      </c>
      <c r="W439" s="55">
        <v>909.14</v>
      </c>
      <c r="X439" s="55">
        <v>0</v>
      </c>
      <c r="Y439" s="55">
        <v>478.4</v>
      </c>
      <c r="Z439" s="55">
        <v>14292.32</v>
      </c>
      <c r="AA439" s="55">
        <f t="shared" si="46"/>
        <v>26499.86</v>
      </c>
      <c r="AB439" s="55">
        <v>6</v>
      </c>
      <c r="AC439" s="116"/>
      <c r="AD439" s="59">
        <v>39</v>
      </c>
      <c r="AE439" s="58">
        <f t="shared" si="47"/>
        <v>1033494.54</v>
      </c>
      <c r="AF439" s="120">
        <f t="shared" si="28"/>
        <v>416129.76635515684</v>
      </c>
      <c r="AG439" s="120">
        <f t="shared" si="29"/>
        <v>34964.89979520585</v>
      </c>
      <c r="AH439" s="120">
        <f t="shared" si="30"/>
        <v>0</v>
      </c>
      <c r="AI439" s="120">
        <f t="shared" si="31"/>
        <v>18398.935325721537</v>
      </c>
      <c r="AJ439" s="120">
        <f t="shared" si="32"/>
        <v>549672.8079734875</v>
      </c>
      <c r="AK439" s="55">
        <f t="shared" si="33"/>
        <v>1019166.4094495717</v>
      </c>
      <c r="AL439" s="121"/>
      <c r="AO439" s="56">
        <f t="shared" si="34"/>
        <v>99544</v>
      </c>
      <c r="AP439" s="56">
        <f t="shared" si="35"/>
        <v>8364</v>
      </c>
      <c r="AQ439" s="56">
        <f t="shared" si="36"/>
        <v>0</v>
      </c>
      <c r="AR439" s="56">
        <f t="shared" si="37"/>
        <v>4401</v>
      </c>
      <c r="AS439" s="56">
        <f t="shared" si="38"/>
        <v>131489</v>
      </c>
      <c r="AU439" s="69">
        <v>9.2</v>
      </c>
      <c r="AW439" s="66">
        <f t="shared" si="48"/>
        <v>243799</v>
      </c>
      <c r="AX439" s="66" t="s">
        <v>87</v>
      </c>
      <c r="AY439" s="58">
        <v>7</v>
      </c>
    </row>
    <row r="440" spans="1:51" ht="15.75">
      <c r="A440" s="57">
        <f t="shared" si="27"/>
        <v>438</v>
      </c>
      <c r="B440" s="64" t="s">
        <v>170</v>
      </c>
      <c r="E440" s="17">
        <f t="shared" si="39"/>
        <v>3008.66</v>
      </c>
      <c r="G440" s="17">
        <f t="shared" si="40"/>
        <v>2966.9486298926636</v>
      </c>
      <c r="I440" s="69">
        <v>14.48</v>
      </c>
      <c r="K440" s="66">
        <f t="shared" si="41"/>
        <v>43565</v>
      </c>
      <c r="M440" s="66">
        <f t="shared" si="42"/>
        <v>42961</v>
      </c>
      <c r="O440" s="69">
        <v>16.13</v>
      </c>
      <c r="Q440" s="66">
        <f t="shared" si="43"/>
        <v>47857</v>
      </c>
      <c r="R440" s="69">
        <f t="shared" si="44"/>
        <v>0</v>
      </c>
      <c r="S440" s="69">
        <f t="shared" si="45"/>
        <v>20.439999999999998</v>
      </c>
      <c r="T440" s="95"/>
      <c r="V440" s="55">
        <v>1615.33</v>
      </c>
      <c r="W440" s="55">
        <v>194.93</v>
      </c>
      <c r="X440" s="55">
        <v>0</v>
      </c>
      <c r="Y440" s="55">
        <v>108</v>
      </c>
      <c r="Z440" s="55">
        <v>1090.4</v>
      </c>
      <c r="AA440" s="55">
        <f t="shared" si="46"/>
        <v>3008.66</v>
      </c>
      <c r="AB440" s="55">
        <v>7</v>
      </c>
      <c r="AC440" s="116"/>
      <c r="AD440" s="59">
        <v>59</v>
      </c>
      <c r="AE440" s="58">
        <f t="shared" si="47"/>
        <v>177510.94</v>
      </c>
      <c r="AF440" s="120">
        <f t="shared" si="28"/>
        <v>93983.1907524102</v>
      </c>
      <c r="AG440" s="120">
        <f t="shared" si="29"/>
        <v>11341.424584058565</v>
      </c>
      <c r="AH440" s="120">
        <f t="shared" si="30"/>
        <v>0</v>
      </c>
      <c r="AI440" s="120">
        <f t="shared" si="31"/>
        <v>6283.660057858333</v>
      </c>
      <c r="AJ440" s="120">
        <f t="shared" si="32"/>
        <v>63441.69376934007</v>
      </c>
      <c r="AK440" s="55">
        <f t="shared" si="33"/>
        <v>175049.96916366718</v>
      </c>
      <c r="AL440" s="121"/>
      <c r="AO440" s="56">
        <f t="shared" si="34"/>
        <v>21710</v>
      </c>
      <c r="AP440" s="56">
        <f t="shared" si="35"/>
        <v>2620</v>
      </c>
      <c r="AQ440" s="56">
        <f t="shared" si="36"/>
        <v>0</v>
      </c>
      <c r="AR440" s="56">
        <f t="shared" si="37"/>
        <v>1452</v>
      </c>
      <c r="AS440" s="56">
        <f t="shared" si="38"/>
        <v>14655</v>
      </c>
      <c r="AU440" s="69">
        <v>13.44</v>
      </c>
      <c r="AW440" s="66">
        <f t="shared" si="48"/>
        <v>40436</v>
      </c>
      <c r="AX440" s="66" t="s">
        <v>87</v>
      </c>
      <c r="AY440" s="58">
        <v>7</v>
      </c>
    </row>
    <row r="441" spans="1:51" ht="15.75">
      <c r="A441" s="57">
        <f t="shared" si="27"/>
        <v>439</v>
      </c>
      <c r="B441" s="64" t="s">
        <v>171</v>
      </c>
      <c r="E441" s="17">
        <f t="shared" si="39"/>
        <v>2618.4</v>
      </c>
      <c r="G441" s="17">
        <f t="shared" si="40"/>
        <v>2582.099104754592</v>
      </c>
      <c r="I441" s="69">
        <v>12.75</v>
      </c>
      <c r="K441" s="66">
        <f t="shared" si="41"/>
        <v>33385</v>
      </c>
      <c r="M441" s="66">
        <f t="shared" si="42"/>
        <v>32922</v>
      </c>
      <c r="O441" s="69">
        <v>14.2</v>
      </c>
      <c r="Q441" s="66">
        <f t="shared" si="43"/>
        <v>36666</v>
      </c>
      <c r="R441" s="69">
        <f t="shared" si="44"/>
        <v>0</v>
      </c>
      <c r="S441" s="69">
        <f t="shared" si="45"/>
        <v>19.84</v>
      </c>
      <c r="T441" s="95"/>
      <c r="V441" s="55">
        <v>1842.97</v>
      </c>
      <c r="W441" s="55">
        <v>156.73</v>
      </c>
      <c r="X441" s="55">
        <v>0</v>
      </c>
      <c r="Y441" s="55">
        <v>12</v>
      </c>
      <c r="Z441" s="55">
        <v>606.7</v>
      </c>
      <c r="AA441" s="55">
        <f t="shared" si="46"/>
        <v>2618.4</v>
      </c>
      <c r="AB441" s="55">
        <v>8</v>
      </c>
      <c r="AC441" s="116"/>
      <c r="AD441" s="59">
        <v>59</v>
      </c>
      <c r="AE441" s="58">
        <f t="shared" si="47"/>
        <v>154485.6</v>
      </c>
      <c r="AF441" s="120">
        <f t="shared" si="28"/>
        <v>107227.74978547382</v>
      </c>
      <c r="AG441" s="120">
        <f t="shared" si="29"/>
        <v>9118.870748779042</v>
      </c>
      <c r="AH441" s="120">
        <f t="shared" si="30"/>
        <v>0</v>
      </c>
      <c r="AI441" s="120">
        <f t="shared" si="31"/>
        <v>698.1844508731481</v>
      </c>
      <c r="AJ441" s="120">
        <f t="shared" si="32"/>
        <v>35299.04219539492</v>
      </c>
      <c r="AK441" s="55">
        <f t="shared" si="33"/>
        <v>152343.8471805209</v>
      </c>
      <c r="AL441" s="121"/>
      <c r="AO441" s="56">
        <f t="shared" si="34"/>
        <v>21821</v>
      </c>
      <c r="AP441" s="56">
        <f t="shared" si="35"/>
        <v>1856</v>
      </c>
      <c r="AQ441" s="56">
        <f t="shared" si="36"/>
        <v>0</v>
      </c>
      <c r="AR441" s="56">
        <f t="shared" si="37"/>
        <v>142</v>
      </c>
      <c r="AS441" s="56">
        <f t="shared" si="38"/>
        <v>7183</v>
      </c>
      <c r="AU441" s="69">
        <v>11.84</v>
      </c>
      <c r="AW441" s="66">
        <f t="shared" si="48"/>
        <v>31002</v>
      </c>
      <c r="AX441" s="66" t="s">
        <v>87</v>
      </c>
      <c r="AY441" s="58">
        <v>7</v>
      </c>
    </row>
    <row r="442" spans="1:51" ht="15.75">
      <c r="A442" s="57">
        <f t="shared" si="27"/>
        <v>440</v>
      </c>
      <c r="B442" s="64" t="s">
        <v>172</v>
      </c>
      <c r="E442" s="17">
        <f t="shared" si="39"/>
        <v>108.17</v>
      </c>
      <c r="G442" s="17">
        <f t="shared" si="40"/>
        <v>106.67035600416445</v>
      </c>
      <c r="I442" s="69">
        <v>15.67</v>
      </c>
      <c r="K442" s="66">
        <f t="shared" si="41"/>
        <v>1695</v>
      </c>
      <c r="M442" s="66">
        <f t="shared" si="42"/>
        <v>1672</v>
      </c>
      <c r="O442" s="69">
        <v>17.46</v>
      </c>
      <c r="Q442" s="66">
        <f t="shared" si="43"/>
        <v>1862</v>
      </c>
      <c r="R442" s="69">
        <f t="shared" si="44"/>
        <v>0</v>
      </c>
      <c r="S442" s="69">
        <f t="shared" si="45"/>
        <v>23.55</v>
      </c>
      <c r="T442" s="95"/>
      <c r="V442" s="55">
        <v>0</v>
      </c>
      <c r="W442" s="55">
        <v>0</v>
      </c>
      <c r="X442" s="55">
        <v>0</v>
      </c>
      <c r="Y442" s="55">
        <v>12</v>
      </c>
      <c r="Z442" s="55">
        <v>96.17</v>
      </c>
      <c r="AA442" s="55">
        <f t="shared" si="46"/>
        <v>108.17</v>
      </c>
      <c r="AB442" s="55">
        <v>9</v>
      </c>
      <c r="AC442" s="116"/>
      <c r="AD442" s="59">
        <v>76</v>
      </c>
      <c r="AE442" s="58">
        <f t="shared" si="47"/>
        <v>8220.92</v>
      </c>
      <c r="AF442" s="120">
        <f t="shared" si="28"/>
        <v>0</v>
      </c>
      <c r="AG442" s="120">
        <f t="shared" si="29"/>
        <v>0</v>
      </c>
      <c r="AH442" s="120">
        <f t="shared" si="30"/>
        <v>0</v>
      </c>
      <c r="AI442" s="120">
        <f t="shared" si="31"/>
        <v>899.3562418026993</v>
      </c>
      <c r="AJ442" s="120">
        <f t="shared" si="32"/>
        <v>7207.590814513799</v>
      </c>
      <c r="AK442" s="55">
        <f t="shared" si="33"/>
        <v>8106.947056316499</v>
      </c>
      <c r="AL442" s="121"/>
      <c r="AO442" s="56">
        <f t="shared" si="34"/>
        <v>0</v>
      </c>
      <c r="AP442" s="56">
        <f t="shared" si="35"/>
        <v>0</v>
      </c>
      <c r="AQ442" s="56">
        <f t="shared" si="36"/>
        <v>0</v>
      </c>
      <c r="AR442" s="56">
        <f t="shared" si="37"/>
        <v>175</v>
      </c>
      <c r="AS442" s="56">
        <f t="shared" si="38"/>
        <v>1399</v>
      </c>
      <c r="AU442" s="69">
        <v>14.55</v>
      </c>
      <c r="AW442" s="66">
        <f t="shared" si="48"/>
        <v>1574</v>
      </c>
      <c r="AX442" s="66" t="s">
        <v>87</v>
      </c>
      <c r="AY442" s="58">
        <v>7</v>
      </c>
    </row>
    <row r="443" spans="1:51" ht="15.75">
      <c r="A443" s="57">
        <f t="shared" si="27"/>
        <v>441</v>
      </c>
      <c r="B443" s="64" t="s">
        <v>173</v>
      </c>
      <c r="E443" s="17">
        <f t="shared" si="39"/>
        <v>3642.54</v>
      </c>
      <c r="G443" s="17">
        <f t="shared" si="40"/>
        <v>3592.0406633947414</v>
      </c>
      <c r="I443" s="69">
        <v>17.5</v>
      </c>
      <c r="K443" s="66">
        <f t="shared" si="41"/>
        <v>63744</v>
      </c>
      <c r="M443" s="66">
        <f t="shared" si="42"/>
        <v>62861</v>
      </c>
      <c r="O443" s="69">
        <v>19.49</v>
      </c>
      <c r="Q443" s="66">
        <f t="shared" si="43"/>
        <v>70009</v>
      </c>
      <c r="R443" s="69">
        <f t="shared" si="44"/>
        <v>0</v>
      </c>
      <c r="S443" s="69">
        <f t="shared" si="45"/>
        <v>26.25</v>
      </c>
      <c r="T443" s="95"/>
      <c r="V443" s="55">
        <v>2940.4</v>
      </c>
      <c r="W443" s="55">
        <v>366.77</v>
      </c>
      <c r="X443" s="55">
        <v>0</v>
      </c>
      <c r="Y443" s="55">
        <v>36</v>
      </c>
      <c r="Z443" s="55">
        <v>299.37</v>
      </c>
      <c r="AA443" s="55">
        <f t="shared" si="46"/>
        <v>3642.54</v>
      </c>
      <c r="AB443" s="55">
        <v>10</v>
      </c>
      <c r="AC443" s="116"/>
      <c r="AD443" s="59">
        <v>96</v>
      </c>
      <c r="AE443" s="58">
        <f t="shared" si="47"/>
        <v>349683.83999999997</v>
      </c>
      <c r="AF443" s="120">
        <f t="shared" si="28"/>
        <v>278364.95719964814</v>
      </c>
      <c r="AG443" s="120">
        <f t="shared" si="29"/>
        <v>34721.7777690501</v>
      </c>
      <c r="AH443" s="120">
        <f t="shared" si="30"/>
        <v>0</v>
      </c>
      <c r="AI443" s="120">
        <f t="shared" si="31"/>
        <v>3408.086811041808</v>
      </c>
      <c r="AJ443" s="120">
        <f t="shared" si="32"/>
        <v>28341.081906155167</v>
      </c>
      <c r="AK443" s="55">
        <f t="shared" si="33"/>
        <v>344835.9036858952</v>
      </c>
      <c r="AL443" s="121"/>
      <c r="AO443" s="56">
        <f t="shared" si="34"/>
        <v>47782</v>
      </c>
      <c r="AP443" s="56">
        <f t="shared" si="35"/>
        <v>5960</v>
      </c>
      <c r="AQ443" s="56">
        <f t="shared" si="36"/>
        <v>0</v>
      </c>
      <c r="AR443" s="56">
        <f t="shared" si="37"/>
        <v>585</v>
      </c>
      <c r="AS443" s="56">
        <f t="shared" si="38"/>
        <v>4865</v>
      </c>
      <c r="AU443" s="69">
        <v>16.25</v>
      </c>
      <c r="AW443" s="66">
        <f t="shared" si="48"/>
        <v>59191</v>
      </c>
      <c r="AX443" s="66" t="s">
        <v>87</v>
      </c>
      <c r="AY443" s="58">
        <v>7</v>
      </c>
    </row>
    <row r="444" spans="1:51" ht="15.75">
      <c r="A444" s="57">
        <f t="shared" si="27"/>
        <v>442</v>
      </c>
      <c r="B444" s="64" t="s">
        <v>174</v>
      </c>
      <c r="E444" s="17">
        <f t="shared" si="39"/>
        <v>3795.6400000000003</v>
      </c>
      <c r="G444" s="17">
        <f t="shared" si="40"/>
        <v>3743.0181202149097</v>
      </c>
      <c r="I444" s="69">
        <v>15.79</v>
      </c>
      <c r="K444" s="66">
        <f t="shared" si="41"/>
        <v>59933</v>
      </c>
      <c r="M444" s="66">
        <f t="shared" si="42"/>
        <v>59102</v>
      </c>
      <c r="O444" s="69">
        <v>17.59</v>
      </c>
      <c r="Q444" s="66">
        <f t="shared" si="43"/>
        <v>65840</v>
      </c>
      <c r="R444" s="69">
        <f t="shared" si="44"/>
        <v>0</v>
      </c>
      <c r="S444" s="69">
        <f t="shared" si="45"/>
        <v>25.66</v>
      </c>
      <c r="T444" s="95"/>
      <c r="V444" s="55">
        <v>2940.27</v>
      </c>
      <c r="W444" s="55">
        <v>282.3</v>
      </c>
      <c r="X444" s="55">
        <v>0</v>
      </c>
      <c r="Y444" s="55">
        <v>72</v>
      </c>
      <c r="Z444" s="55">
        <v>501.07</v>
      </c>
      <c r="AA444" s="55">
        <f t="shared" si="46"/>
        <v>3795.6400000000003</v>
      </c>
      <c r="AB444" s="55">
        <v>11</v>
      </c>
      <c r="AC444" s="116"/>
      <c r="AD444" s="59">
        <v>96</v>
      </c>
      <c r="AE444" s="58">
        <f t="shared" si="47"/>
        <v>364381.44000000006</v>
      </c>
      <c r="AF444" s="120">
        <f t="shared" si="28"/>
        <v>278352.6502194971</v>
      </c>
      <c r="AG444" s="120">
        <f t="shared" si="29"/>
        <v>26725.080743252845</v>
      </c>
      <c r="AH444" s="120">
        <f t="shared" si="30"/>
        <v>0</v>
      </c>
      <c r="AI444" s="120">
        <f t="shared" si="31"/>
        <v>6816.173622083616</v>
      </c>
      <c r="AJ444" s="120">
        <f t="shared" si="32"/>
        <v>47435.83495579774</v>
      </c>
      <c r="AK444" s="55">
        <f t="shared" si="33"/>
        <v>359329.7395406313</v>
      </c>
      <c r="AL444" s="121"/>
      <c r="AO444" s="56">
        <f t="shared" si="34"/>
        <v>43104</v>
      </c>
      <c r="AP444" s="56">
        <f t="shared" si="35"/>
        <v>4139</v>
      </c>
      <c r="AQ444" s="56">
        <f t="shared" si="36"/>
        <v>0</v>
      </c>
      <c r="AR444" s="56">
        <f t="shared" si="37"/>
        <v>1056</v>
      </c>
      <c r="AS444" s="56">
        <f t="shared" si="38"/>
        <v>7346</v>
      </c>
      <c r="AU444" s="69">
        <v>14.66</v>
      </c>
      <c r="AW444" s="66">
        <f t="shared" si="48"/>
        <v>55644</v>
      </c>
      <c r="AX444" s="66" t="s">
        <v>87</v>
      </c>
      <c r="AY444" s="58">
        <v>7</v>
      </c>
    </row>
    <row r="445" spans="1:51" ht="15.75">
      <c r="A445" s="57">
        <f t="shared" si="27"/>
        <v>443</v>
      </c>
      <c r="B445" s="64" t="s">
        <v>175</v>
      </c>
      <c r="E445" s="17">
        <f t="shared" si="39"/>
        <v>1557.93</v>
      </c>
      <c r="G445" s="17">
        <f t="shared" si="40"/>
        <v>1536.3312168768414</v>
      </c>
      <c r="I445" s="69">
        <v>21.06</v>
      </c>
      <c r="K445" s="66">
        <f t="shared" si="41"/>
        <v>32810</v>
      </c>
      <c r="M445" s="66">
        <f t="shared" si="42"/>
        <v>32355</v>
      </c>
      <c r="O445" s="69">
        <v>23.46</v>
      </c>
      <c r="Q445" s="66">
        <f t="shared" si="43"/>
        <v>36042</v>
      </c>
      <c r="R445" s="69">
        <f t="shared" si="44"/>
        <v>0</v>
      </c>
      <c r="S445" s="69">
        <f t="shared" si="45"/>
        <v>31.55</v>
      </c>
      <c r="T445" s="95"/>
      <c r="V445" s="55">
        <v>1041.93</v>
      </c>
      <c r="W445" s="55">
        <v>348</v>
      </c>
      <c r="X445" s="55">
        <v>0</v>
      </c>
      <c r="Y445" s="55">
        <v>48</v>
      </c>
      <c r="Z445" s="55">
        <v>120</v>
      </c>
      <c r="AA445" s="55">
        <f t="shared" si="46"/>
        <v>1557.93</v>
      </c>
      <c r="AB445" s="55">
        <v>12</v>
      </c>
      <c r="AC445" s="116"/>
      <c r="AD445" s="59">
        <v>148</v>
      </c>
      <c r="AE445" s="58">
        <f t="shared" si="47"/>
        <v>230573.64</v>
      </c>
      <c r="AF445" s="120">
        <f t="shared" si="28"/>
        <v>152067.76848155702</v>
      </c>
      <c r="AG445" s="120">
        <f t="shared" si="29"/>
        <v>50789.960392331384</v>
      </c>
      <c r="AH445" s="120">
        <f t="shared" si="30"/>
        <v>0</v>
      </c>
      <c r="AI445" s="120">
        <f t="shared" si="31"/>
        <v>7005.511778252605</v>
      </c>
      <c r="AJ445" s="120">
        <f t="shared" si="32"/>
        <v>17513.779445631513</v>
      </c>
      <c r="AK445" s="55">
        <f t="shared" si="33"/>
        <v>227377.02009777253</v>
      </c>
      <c r="AL445" s="121"/>
      <c r="AO445" s="56">
        <f t="shared" si="34"/>
        <v>20370</v>
      </c>
      <c r="AP445" s="56">
        <f t="shared" si="35"/>
        <v>6803</v>
      </c>
      <c r="AQ445" s="56">
        <f t="shared" si="36"/>
        <v>0</v>
      </c>
      <c r="AR445" s="56">
        <f t="shared" si="37"/>
        <v>938</v>
      </c>
      <c r="AS445" s="56">
        <f t="shared" si="38"/>
        <v>2346</v>
      </c>
      <c r="AU445" s="69">
        <v>19.55</v>
      </c>
      <c r="AW445" s="66">
        <f t="shared" si="48"/>
        <v>30458</v>
      </c>
      <c r="AX445" s="66" t="s">
        <v>87</v>
      </c>
      <c r="AY445" s="58">
        <v>7</v>
      </c>
    </row>
    <row r="446" spans="1:51" ht="15.75">
      <c r="A446" s="57">
        <f t="shared" si="27"/>
        <v>444</v>
      </c>
      <c r="B446" s="64" t="s">
        <v>176</v>
      </c>
      <c r="E446" s="17">
        <f t="shared" si="39"/>
        <v>2020.4699999999998</v>
      </c>
      <c r="G446" s="17">
        <f t="shared" si="40"/>
        <v>1992.458668722697</v>
      </c>
      <c r="I446" s="69">
        <v>19.35</v>
      </c>
      <c r="K446" s="66">
        <f t="shared" si="41"/>
        <v>39096</v>
      </c>
      <c r="M446" s="66">
        <f t="shared" si="42"/>
        <v>38554</v>
      </c>
      <c r="O446" s="69">
        <v>21.55</v>
      </c>
      <c r="Q446" s="66">
        <f t="shared" si="43"/>
        <v>42937</v>
      </c>
      <c r="R446" s="69">
        <f t="shared" si="44"/>
        <v>0</v>
      </c>
      <c r="S446" s="69">
        <f t="shared" si="45"/>
        <v>30.97</v>
      </c>
      <c r="T446" s="95"/>
      <c r="V446" s="55">
        <v>1506.07</v>
      </c>
      <c r="W446" s="55">
        <v>156</v>
      </c>
      <c r="X446" s="55">
        <v>0</v>
      </c>
      <c r="Y446" s="55">
        <v>24</v>
      </c>
      <c r="Z446" s="55">
        <v>334.4</v>
      </c>
      <c r="AA446" s="55">
        <f t="shared" si="46"/>
        <v>2020.4699999999998</v>
      </c>
      <c r="AB446" s="55">
        <v>13</v>
      </c>
      <c r="AC446" s="116"/>
      <c r="AD446" s="59">
        <v>148</v>
      </c>
      <c r="AE446" s="58">
        <f t="shared" si="47"/>
        <v>299029.56</v>
      </c>
      <c r="AF446" s="120">
        <f t="shared" si="28"/>
        <v>219808.14841401874</v>
      </c>
      <c r="AG446" s="120">
        <f t="shared" si="29"/>
        <v>22767.913279320965</v>
      </c>
      <c r="AH446" s="120">
        <f t="shared" si="30"/>
        <v>0</v>
      </c>
      <c r="AI446" s="120">
        <f t="shared" si="31"/>
        <v>3502.7558891263025</v>
      </c>
      <c r="AJ446" s="120">
        <f t="shared" si="32"/>
        <v>48805.065388493145</v>
      </c>
      <c r="AK446" s="55">
        <f t="shared" si="33"/>
        <v>294883.8829709591</v>
      </c>
      <c r="AL446" s="121"/>
      <c r="AO446" s="56">
        <f t="shared" si="34"/>
        <v>27064</v>
      </c>
      <c r="AP446" s="56">
        <f t="shared" si="35"/>
        <v>2803</v>
      </c>
      <c r="AQ446" s="56">
        <f t="shared" si="36"/>
        <v>0</v>
      </c>
      <c r="AR446" s="56">
        <f t="shared" si="37"/>
        <v>431</v>
      </c>
      <c r="AS446" s="56">
        <f t="shared" si="38"/>
        <v>6009</v>
      </c>
      <c r="AU446" s="69">
        <v>17.97</v>
      </c>
      <c r="AW446" s="66">
        <f t="shared" si="48"/>
        <v>36308</v>
      </c>
      <c r="AX446" s="66" t="s">
        <v>87</v>
      </c>
      <c r="AY446" s="58">
        <v>7</v>
      </c>
    </row>
    <row r="447" spans="1:51" ht="15.75">
      <c r="A447" s="57">
        <f t="shared" si="27"/>
        <v>445</v>
      </c>
      <c r="B447" s="64" t="s">
        <v>177</v>
      </c>
      <c r="E447" s="17">
        <f t="shared" si="39"/>
        <v>0</v>
      </c>
      <c r="G447" s="17">
        <f t="shared" si="40"/>
        <v>0</v>
      </c>
      <c r="I447" s="76"/>
      <c r="K447" s="66"/>
      <c r="M447" s="66"/>
      <c r="Q447" s="66"/>
      <c r="S447" s="58"/>
      <c r="T447" s="95"/>
      <c r="AA447" s="55">
        <f t="shared" si="46"/>
        <v>0</v>
      </c>
      <c r="AC447" s="116"/>
      <c r="AD447" s="59"/>
      <c r="AE447" s="58"/>
      <c r="AF447" s="120">
        <f t="shared" si="28"/>
        <v>0</v>
      </c>
      <c r="AG447" s="120">
        <f t="shared" si="29"/>
        <v>0</v>
      </c>
      <c r="AH447" s="120">
        <f t="shared" si="30"/>
        <v>0</v>
      </c>
      <c r="AI447" s="120">
        <f t="shared" si="31"/>
        <v>0</v>
      </c>
      <c r="AJ447" s="120">
        <f t="shared" si="32"/>
        <v>0</v>
      </c>
      <c r="AK447" s="55">
        <f t="shared" si="33"/>
        <v>0</v>
      </c>
      <c r="AL447" s="121"/>
      <c r="AO447" s="56">
        <f t="shared" si="34"/>
        <v>0</v>
      </c>
      <c r="AP447" s="56">
        <f t="shared" si="35"/>
        <v>0</v>
      </c>
      <c r="AQ447" s="56">
        <f t="shared" si="36"/>
        <v>0</v>
      </c>
      <c r="AR447" s="56">
        <f t="shared" si="37"/>
        <v>0</v>
      </c>
      <c r="AS447" s="56">
        <f t="shared" si="38"/>
        <v>0</v>
      </c>
      <c r="AU447" s="76"/>
      <c r="AW447" s="66"/>
      <c r="AX447" s="66" t="s">
        <v>87</v>
      </c>
      <c r="AY447" s="58">
        <v>7</v>
      </c>
    </row>
    <row r="448" spans="1:51" ht="15.75">
      <c r="A448" s="57">
        <f t="shared" si="27"/>
        <v>446</v>
      </c>
      <c r="B448" s="64" t="s">
        <v>170</v>
      </c>
      <c r="E448" s="17">
        <f t="shared" si="39"/>
        <v>5136.67</v>
      </c>
      <c r="G448" s="17">
        <f t="shared" si="40"/>
        <v>5065.456388794596</v>
      </c>
      <c r="I448" s="69">
        <v>14.48</v>
      </c>
      <c r="K448" s="66">
        <f aca="true" t="shared" si="49" ref="K448:K453">ROUND(I448*$E448,0)</f>
        <v>74379</v>
      </c>
      <c r="M448" s="66">
        <f aca="true" t="shared" si="50" ref="M448:M453">ROUND(I448*$G448,0)</f>
        <v>73348</v>
      </c>
      <c r="O448" s="69">
        <v>16.13</v>
      </c>
      <c r="Q448" s="66">
        <f aca="true" t="shared" si="51" ref="Q448:Q453">ROUND(O448*$G448,0)</f>
        <v>81706</v>
      </c>
      <c r="R448" s="69">
        <f aca="true" t="shared" si="52" ref="R448:R453">ROUND(L448*(1+$R$427),2)</f>
        <v>0</v>
      </c>
      <c r="S448" s="69">
        <f aca="true" t="shared" si="53" ref="S448:S453">AU448+AB448</f>
        <v>27.439999999999998</v>
      </c>
      <c r="T448" s="95"/>
      <c r="V448" s="55">
        <v>3377.7</v>
      </c>
      <c r="W448" s="55">
        <v>398.37</v>
      </c>
      <c r="X448" s="55">
        <v>0</v>
      </c>
      <c r="Y448" s="55">
        <v>133.5</v>
      </c>
      <c r="Z448" s="55">
        <v>1227.1</v>
      </c>
      <c r="AA448" s="55">
        <f t="shared" si="46"/>
        <v>5136.67</v>
      </c>
      <c r="AB448" s="55">
        <v>14</v>
      </c>
      <c r="AC448" s="116"/>
      <c r="AD448" s="59">
        <v>59</v>
      </c>
      <c r="AE448" s="58">
        <f aca="true" t="shared" si="54" ref="AE448:AE453">AD448*E448</f>
        <v>303063.53</v>
      </c>
      <c r="AF448" s="120">
        <f t="shared" si="28"/>
        <v>196521.46830951935</v>
      </c>
      <c r="AG448" s="120">
        <f t="shared" si="29"/>
        <v>23177.978307861336</v>
      </c>
      <c r="AH448" s="120">
        <f t="shared" si="30"/>
        <v>0</v>
      </c>
      <c r="AI448" s="120">
        <f t="shared" si="31"/>
        <v>7767.302015963773</v>
      </c>
      <c r="AJ448" s="120">
        <f t="shared" si="32"/>
        <v>71395.17830553667</v>
      </c>
      <c r="AK448" s="55">
        <f t="shared" si="33"/>
        <v>298861.9269388811</v>
      </c>
      <c r="AL448" s="121"/>
      <c r="AO448" s="56">
        <f t="shared" si="34"/>
        <v>45396</v>
      </c>
      <c r="AP448" s="56">
        <f t="shared" si="35"/>
        <v>5354</v>
      </c>
      <c r="AQ448" s="56">
        <f t="shared" si="36"/>
        <v>0</v>
      </c>
      <c r="AR448" s="56">
        <f t="shared" si="37"/>
        <v>1794</v>
      </c>
      <c r="AS448" s="56">
        <f t="shared" si="38"/>
        <v>16492</v>
      </c>
      <c r="AU448" s="69">
        <v>13.44</v>
      </c>
      <c r="AW448" s="66">
        <f aca="true" t="shared" si="55" ref="AW448:AW453">ROUND(AU448*$E448,0)</f>
        <v>69037</v>
      </c>
      <c r="AX448" s="66" t="s">
        <v>87</v>
      </c>
      <c r="AY448" s="58">
        <v>7</v>
      </c>
    </row>
    <row r="449" spans="1:51" ht="15.75">
      <c r="A449" s="57">
        <f t="shared" si="27"/>
        <v>447</v>
      </c>
      <c r="B449" s="64" t="s">
        <v>171</v>
      </c>
      <c r="E449" s="17">
        <f t="shared" si="39"/>
        <v>5920.91</v>
      </c>
      <c r="G449" s="17">
        <f t="shared" si="40"/>
        <v>5838.8238658465125</v>
      </c>
      <c r="I449" s="69">
        <v>12.75</v>
      </c>
      <c r="K449" s="66">
        <f t="shared" si="49"/>
        <v>75492</v>
      </c>
      <c r="M449" s="66">
        <f t="shared" si="50"/>
        <v>74445</v>
      </c>
      <c r="O449" s="69">
        <v>14.2</v>
      </c>
      <c r="Q449" s="66">
        <f t="shared" si="51"/>
        <v>82911</v>
      </c>
      <c r="R449" s="69">
        <f t="shared" si="52"/>
        <v>0</v>
      </c>
      <c r="S449" s="69">
        <f t="shared" si="53"/>
        <v>26.84</v>
      </c>
      <c r="T449" s="95"/>
      <c r="V449" s="55">
        <v>4206.84</v>
      </c>
      <c r="W449" s="55">
        <v>167.8</v>
      </c>
      <c r="X449" s="55">
        <v>96</v>
      </c>
      <c r="Y449" s="55">
        <v>179.73</v>
      </c>
      <c r="Z449" s="55">
        <v>1270.54</v>
      </c>
      <c r="AA449" s="55">
        <f t="shared" si="46"/>
        <v>5920.91</v>
      </c>
      <c r="AB449" s="55">
        <v>15</v>
      </c>
      <c r="AC449" s="116"/>
      <c r="AD449" s="59">
        <v>59</v>
      </c>
      <c r="AE449" s="58">
        <f t="shared" si="54"/>
        <v>349333.69</v>
      </c>
      <c r="AF449" s="120">
        <f t="shared" si="28"/>
        <v>244762.52294259955</v>
      </c>
      <c r="AG449" s="120">
        <f t="shared" si="29"/>
        <v>9762.945904709522</v>
      </c>
      <c r="AH449" s="120">
        <f t="shared" si="30"/>
        <v>5585.475606985185</v>
      </c>
      <c r="AI449" s="120">
        <f t="shared" si="31"/>
        <v>10457.057612952576</v>
      </c>
      <c r="AJ449" s="120">
        <f t="shared" si="32"/>
        <v>73922.60601769747</v>
      </c>
      <c r="AK449" s="55">
        <f t="shared" si="33"/>
        <v>344490.6080849443</v>
      </c>
      <c r="AL449" s="121"/>
      <c r="AO449" s="56">
        <f t="shared" si="34"/>
        <v>49809</v>
      </c>
      <c r="AP449" s="56">
        <f t="shared" si="35"/>
        <v>1987</v>
      </c>
      <c r="AQ449" s="56">
        <f t="shared" si="36"/>
        <v>1137</v>
      </c>
      <c r="AR449" s="56">
        <f t="shared" si="37"/>
        <v>2128</v>
      </c>
      <c r="AS449" s="56">
        <f t="shared" si="38"/>
        <v>15043</v>
      </c>
      <c r="AU449" s="69">
        <v>11.84</v>
      </c>
      <c r="AW449" s="66">
        <f t="shared" si="55"/>
        <v>70104</v>
      </c>
      <c r="AX449" s="66" t="s">
        <v>87</v>
      </c>
      <c r="AY449" s="58">
        <v>7</v>
      </c>
    </row>
    <row r="450" spans="1:51" ht="15.75">
      <c r="A450" s="57">
        <f t="shared" si="27"/>
        <v>448</v>
      </c>
      <c r="B450" s="64" t="s">
        <v>173</v>
      </c>
      <c r="E450" s="17">
        <f t="shared" si="39"/>
        <v>1102.63</v>
      </c>
      <c r="G450" s="17">
        <f t="shared" si="40"/>
        <v>1087.3433913365245</v>
      </c>
      <c r="I450" s="69">
        <v>17.5</v>
      </c>
      <c r="K450" s="66">
        <f t="shared" si="49"/>
        <v>19296</v>
      </c>
      <c r="M450" s="66">
        <f t="shared" si="50"/>
        <v>19029</v>
      </c>
      <c r="O450" s="69">
        <v>19.49</v>
      </c>
      <c r="Q450" s="66">
        <f t="shared" si="51"/>
        <v>21192</v>
      </c>
      <c r="R450" s="69">
        <f t="shared" si="52"/>
        <v>0</v>
      </c>
      <c r="S450" s="69">
        <f t="shared" si="53"/>
        <v>32.25</v>
      </c>
      <c r="T450" s="95"/>
      <c r="V450" s="55">
        <v>821</v>
      </c>
      <c r="W450" s="55">
        <v>138.93</v>
      </c>
      <c r="X450" s="55">
        <v>0</v>
      </c>
      <c r="Y450" s="55">
        <v>60</v>
      </c>
      <c r="Z450" s="55">
        <v>82.7</v>
      </c>
      <c r="AA450" s="55">
        <f t="shared" si="46"/>
        <v>1102.63</v>
      </c>
      <c r="AB450" s="55">
        <v>16</v>
      </c>
      <c r="AC450" s="116"/>
      <c r="AD450" s="59">
        <v>96</v>
      </c>
      <c r="AE450" s="58">
        <f t="shared" si="54"/>
        <v>105852.48000000001</v>
      </c>
      <c r="AF450" s="120">
        <f t="shared" si="28"/>
        <v>77723.31310737012</v>
      </c>
      <c r="AG450" s="120">
        <f t="shared" si="29"/>
        <v>13152.375018278844</v>
      </c>
      <c r="AH450" s="120">
        <f t="shared" si="30"/>
        <v>0</v>
      </c>
      <c r="AI450" s="120">
        <f t="shared" si="31"/>
        <v>5680.144685069679</v>
      </c>
      <c r="AJ450" s="120">
        <f t="shared" si="32"/>
        <v>7829.132757587709</v>
      </c>
      <c r="AK450" s="55">
        <f t="shared" si="33"/>
        <v>104384.96556830636</v>
      </c>
      <c r="AL450" s="121"/>
      <c r="AO450" s="56">
        <f t="shared" si="34"/>
        <v>13341</v>
      </c>
      <c r="AP450" s="56">
        <f t="shared" si="35"/>
        <v>2258</v>
      </c>
      <c r="AQ450" s="56">
        <f t="shared" si="36"/>
        <v>0</v>
      </c>
      <c r="AR450" s="56">
        <f t="shared" si="37"/>
        <v>975</v>
      </c>
      <c r="AS450" s="56">
        <f t="shared" si="38"/>
        <v>1344</v>
      </c>
      <c r="AU450" s="69">
        <v>16.25</v>
      </c>
      <c r="AW450" s="66">
        <f t="shared" si="55"/>
        <v>17918</v>
      </c>
      <c r="AX450" s="66" t="s">
        <v>87</v>
      </c>
      <c r="AY450" s="58">
        <v>7</v>
      </c>
    </row>
    <row r="451" spans="1:51" ht="15.75">
      <c r="A451" s="57">
        <f t="shared" si="27"/>
        <v>449</v>
      </c>
      <c r="B451" s="64" t="s">
        <v>174</v>
      </c>
      <c r="E451" s="17">
        <f t="shared" si="39"/>
        <v>1858.47</v>
      </c>
      <c r="G451" s="17">
        <f t="shared" si="40"/>
        <v>1832.7045994551124</v>
      </c>
      <c r="I451" s="69">
        <v>15.79</v>
      </c>
      <c r="K451" s="66">
        <f t="shared" si="49"/>
        <v>29345</v>
      </c>
      <c r="M451" s="66">
        <f t="shared" si="50"/>
        <v>28938</v>
      </c>
      <c r="O451" s="69">
        <v>17.59</v>
      </c>
      <c r="Q451" s="66">
        <f t="shared" si="51"/>
        <v>32237</v>
      </c>
      <c r="R451" s="69">
        <f t="shared" si="52"/>
        <v>0</v>
      </c>
      <c r="S451" s="69">
        <f t="shared" si="53"/>
        <v>31.66</v>
      </c>
      <c r="T451" s="95"/>
      <c r="V451" s="55">
        <v>1547.57</v>
      </c>
      <c r="W451" s="55">
        <v>42</v>
      </c>
      <c r="X451" s="55">
        <v>0</v>
      </c>
      <c r="Y451" s="55">
        <v>137.87</v>
      </c>
      <c r="Z451" s="55">
        <v>131.03</v>
      </c>
      <c r="AA451" s="55">
        <f t="shared" si="46"/>
        <v>1858.47</v>
      </c>
      <c r="AB451" s="55">
        <v>17</v>
      </c>
      <c r="AC451" s="116"/>
      <c r="AD451" s="59">
        <v>96</v>
      </c>
      <c r="AE451" s="58">
        <f t="shared" si="54"/>
        <v>178413.12</v>
      </c>
      <c r="AF451" s="120">
        <f t="shared" si="28"/>
        <v>146507.0251712214</v>
      </c>
      <c r="AG451" s="120">
        <f t="shared" si="29"/>
        <v>3976.101279548776</v>
      </c>
      <c r="AH451" s="120">
        <f t="shared" si="30"/>
        <v>0</v>
      </c>
      <c r="AI451" s="120">
        <f t="shared" si="31"/>
        <v>13052.02579550928</v>
      </c>
      <c r="AJ451" s="120">
        <f t="shared" si="32"/>
        <v>12404.489301411337</v>
      </c>
      <c r="AK451" s="55">
        <f t="shared" si="33"/>
        <v>175939.64154769082</v>
      </c>
      <c r="AL451" s="121"/>
      <c r="AO451" s="56">
        <f t="shared" si="34"/>
        <v>22687</v>
      </c>
      <c r="AP451" s="56">
        <f t="shared" si="35"/>
        <v>616</v>
      </c>
      <c r="AQ451" s="56">
        <f t="shared" si="36"/>
        <v>0</v>
      </c>
      <c r="AR451" s="56">
        <f t="shared" si="37"/>
        <v>2021</v>
      </c>
      <c r="AS451" s="56">
        <f t="shared" si="38"/>
        <v>1921</v>
      </c>
      <c r="AU451" s="69">
        <v>14.66</v>
      </c>
      <c r="AW451" s="66">
        <f t="shared" si="55"/>
        <v>27245</v>
      </c>
      <c r="AX451" s="66" t="s">
        <v>87</v>
      </c>
      <c r="AY451" s="58">
        <v>7</v>
      </c>
    </row>
    <row r="452" spans="1:51" ht="15.75">
      <c r="A452" s="57">
        <f t="shared" si="27"/>
        <v>450</v>
      </c>
      <c r="B452" s="64" t="s">
        <v>175</v>
      </c>
      <c r="E452" s="17">
        <f t="shared" si="39"/>
        <v>10931.230000000001</v>
      </c>
      <c r="G452" s="17">
        <f t="shared" si="40"/>
        <v>10779.681941974695</v>
      </c>
      <c r="I452" s="69">
        <v>21.06</v>
      </c>
      <c r="K452" s="66">
        <f t="shared" si="49"/>
        <v>230212</v>
      </c>
      <c r="M452" s="66">
        <f t="shared" si="50"/>
        <v>227020</v>
      </c>
      <c r="O452" s="69">
        <v>23.46</v>
      </c>
      <c r="Q452" s="66">
        <f t="shared" si="51"/>
        <v>252891</v>
      </c>
      <c r="R452" s="69">
        <f t="shared" si="52"/>
        <v>0</v>
      </c>
      <c r="S452" s="69">
        <f t="shared" si="53"/>
        <v>37.55</v>
      </c>
      <c r="T452" s="95"/>
      <c r="V452" s="55">
        <v>8010.94</v>
      </c>
      <c r="W452" s="55">
        <v>2221.23</v>
      </c>
      <c r="X452" s="55">
        <v>0</v>
      </c>
      <c r="Y452" s="55">
        <v>243.03</v>
      </c>
      <c r="Z452" s="55">
        <v>456.03</v>
      </c>
      <c r="AA452" s="55">
        <f t="shared" si="46"/>
        <v>10931.230000000001</v>
      </c>
      <c r="AB452" s="55">
        <v>18</v>
      </c>
      <c r="AC452" s="116"/>
      <c r="AD452" s="59">
        <v>148</v>
      </c>
      <c r="AE452" s="58">
        <f t="shared" si="54"/>
        <v>1617822.0400000003</v>
      </c>
      <c r="AF452" s="120">
        <f t="shared" si="28"/>
        <v>1169181.9692682275</v>
      </c>
      <c r="AG452" s="120">
        <f t="shared" si="29"/>
        <v>324184.4359835007</v>
      </c>
      <c r="AH452" s="120">
        <f t="shared" si="30"/>
        <v>0</v>
      </c>
      <c r="AI452" s="120">
        <f t="shared" si="31"/>
        <v>35469.78182226522</v>
      </c>
      <c r="AJ452" s="120">
        <f t="shared" si="32"/>
        <v>66556.74033826115</v>
      </c>
      <c r="AK452" s="55">
        <f t="shared" si="33"/>
        <v>1595392.9274122545</v>
      </c>
      <c r="AL452" s="121"/>
      <c r="AO452" s="56">
        <f t="shared" si="34"/>
        <v>156614</v>
      </c>
      <c r="AP452" s="56">
        <f t="shared" si="35"/>
        <v>43425</v>
      </c>
      <c r="AQ452" s="56">
        <f t="shared" si="36"/>
        <v>0</v>
      </c>
      <c r="AR452" s="56">
        <f t="shared" si="37"/>
        <v>4751</v>
      </c>
      <c r="AS452" s="56">
        <f t="shared" si="38"/>
        <v>8915</v>
      </c>
      <c r="AU452" s="69">
        <v>19.55</v>
      </c>
      <c r="AW452" s="66">
        <f t="shared" si="55"/>
        <v>213706</v>
      </c>
      <c r="AX452" s="66" t="s">
        <v>87</v>
      </c>
      <c r="AY452" s="58">
        <v>7</v>
      </c>
    </row>
    <row r="453" spans="1:51" ht="15.75">
      <c r="A453" s="57">
        <f t="shared" si="27"/>
        <v>451</v>
      </c>
      <c r="B453" s="64" t="s">
        <v>176</v>
      </c>
      <c r="E453" s="17">
        <f t="shared" si="39"/>
        <v>13346.17</v>
      </c>
      <c r="G453" s="17">
        <f t="shared" si="40"/>
        <v>13161.14176936396</v>
      </c>
      <c r="I453" s="69">
        <v>19.35</v>
      </c>
      <c r="K453" s="66">
        <f t="shared" si="49"/>
        <v>258248</v>
      </c>
      <c r="M453" s="66">
        <f t="shared" si="50"/>
        <v>254668</v>
      </c>
      <c r="O453" s="69">
        <v>21.55</v>
      </c>
      <c r="Q453" s="66">
        <f t="shared" si="51"/>
        <v>283623</v>
      </c>
      <c r="R453" s="69">
        <f t="shared" si="52"/>
        <v>0</v>
      </c>
      <c r="S453" s="69">
        <f t="shared" si="53"/>
        <v>36.97</v>
      </c>
      <c r="T453" s="95"/>
      <c r="V453" s="55">
        <v>10289.37</v>
      </c>
      <c r="W453" s="55">
        <v>1726.3</v>
      </c>
      <c r="X453" s="55">
        <v>0</v>
      </c>
      <c r="Y453" s="55">
        <v>408</v>
      </c>
      <c r="Z453" s="55">
        <v>922.5</v>
      </c>
      <c r="AA453" s="55">
        <f t="shared" si="46"/>
        <v>13346.17</v>
      </c>
      <c r="AB453" s="55">
        <v>19</v>
      </c>
      <c r="AC453" s="116"/>
      <c r="AD453" s="59">
        <v>148</v>
      </c>
      <c r="AE453" s="58">
        <f t="shared" si="54"/>
        <v>1975233.16</v>
      </c>
      <c r="AF453" s="120">
        <f t="shared" si="28"/>
        <v>1501714.6401208127</v>
      </c>
      <c r="AG453" s="120">
        <f t="shared" si="29"/>
        <v>251950.31214161398</v>
      </c>
      <c r="AH453" s="120">
        <f t="shared" si="30"/>
        <v>0</v>
      </c>
      <c r="AI453" s="120">
        <f t="shared" si="31"/>
        <v>59546.85011514714</v>
      </c>
      <c r="AJ453" s="120">
        <f t="shared" si="32"/>
        <v>134637.17948829225</v>
      </c>
      <c r="AK453" s="55">
        <f t="shared" si="33"/>
        <v>1947848.981865866</v>
      </c>
      <c r="AL453" s="121"/>
      <c r="AO453" s="56">
        <f t="shared" si="34"/>
        <v>184900</v>
      </c>
      <c r="AP453" s="56">
        <f t="shared" si="35"/>
        <v>31022</v>
      </c>
      <c r="AQ453" s="56">
        <f t="shared" si="36"/>
        <v>0</v>
      </c>
      <c r="AR453" s="56">
        <f t="shared" si="37"/>
        <v>7332</v>
      </c>
      <c r="AS453" s="56">
        <f t="shared" si="38"/>
        <v>16577</v>
      </c>
      <c r="AU453" s="69">
        <v>17.97</v>
      </c>
      <c r="AW453" s="66">
        <f t="shared" si="55"/>
        <v>239831</v>
      </c>
      <c r="AX453" s="66" t="s">
        <v>87</v>
      </c>
      <c r="AY453" s="58">
        <v>7</v>
      </c>
    </row>
    <row r="454" spans="1:51" ht="15.75">
      <c r="A454" s="57">
        <f t="shared" si="27"/>
        <v>452</v>
      </c>
      <c r="B454" s="64" t="s">
        <v>178</v>
      </c>
      <c r="E454" s="17">
        <f t="shared" si="39"/>
        <v>0</v>
      </c>
      <c r="G454" s="17">
        <f t="shared" si="40"/>
        <v>0</v>
      </c>
      <c r="I454" s="76"/>
      <c r="S454" s="58"/>
      <c r="T454" s="95"/>
      <c r="AA454" s="55">
        <f t="shared" si="46"/>
        <v>0</v>
      </c>
      <c r="AC454" s="116"/>
      <c r="AD454" s="59"/>
      <c r="AE454" s="58"/>
      <c r="AF454" s="120">
        <f t="shared" si="28"/>
        <v>0</v>
      </c>
      <c r="AG454" s="120">
        <f t="shared" si="29"/>
        <v>0</v>
      </c>
      <c r="AH454" s="120">
        <f t="shared" si="30"/>
        <v>0</v>
      </c>
      <c r="AI454" s="120">
        <f t="shared" si="31"/>
        <v>0</v>
      </c>
      <c r="AJ454" s="120">
        <f t="shared" si="32"/>
        <v>0</v>
      </c>
      <c r="AK454" s="55">
        <f t="shared" si="33"/>
        <v>0</v>
      </c>
      <c r="AL454" s="121"/>
      <c r="AO454" s="56">
        <f t="shared" si="34"/>
        <v>0</v>
      </c>
      <c r="AP454" s="56">
        <f t="shared" si="35"/>
        <v>0</v>
      </c>
      <c r="AQ454" s="56">
        <f t="shared" si="36"/>
        <v>0</v>
      </c>
      <c r="AR454" s="56">
        <f t="shared" si="37"/>
        <v>0</v>
      </c>
      <c r="AS454" s="56">
        <f t="shared" si="38"/>
        <v>0</v>
      </c>
      <c r="AU454" s="76"/>
      <c r="AX454" s="66" t="s">
        <v>87</v>
      </c>
      <c r="AY454" s="58">
        <v>7</v>
      </c>
    </row>
    <row r="455" spans="1:51" ht="15.75">
      <c r="A455" s="57">
        <f t="shared" si="27"/>
        <v>453</v>
      </c>
      <c r="B455" s="64" t="s">
        <v>179</v>
      </c>
      <c r="E455" s="17">
        <f t="shared" si="39"/>
        <v>36</v>
      </c>
      <c r="G455" s="17">
        <f t="shared" si="40"/>
        <v>35.5009042816855</v>
      </c>
      <c r="I455" s="69">
        <v>21.89</v>
      </c>
      <c r="K455" s="66">
        <f aca="true" t="shared" si="56" ref="K455:K462">ROUND(I455*$E455,0)</f>
        <v>788</v>
      </c>
      <c r="M455" s="66">
        <f aca="true" t="shared" si="57" ref="M455:M462">ROUND(I455*$G455,0)</f>
        <v>777</v>
      </c>
      <c r="O455" s="69">
        <v>24.38</v>
      </c>
      <c r="Q455" s="66">
        <f aca="true" t="shared" si="58" ref="Q455:Q462">ROUND(O455*$G455,0)</f>
        <v>866</v>
      </c>
      <c r="R455" s="69">
        <f aca="true" t="shared" si="59" ref="R455:R462">ROUND(L455*(1+$R$427),2)</f>
        <v>0</v>
      </c>
      <c r="S455" s="69">
        <f aca="true" t="shared" si="60" ref="S455:S462">AU455+AB455</f>
        <v>40.32</v>
      </c>
      <c r="T455" s="95"/>
      <c r="V455" s="55">
        <v>36</v>
      </c>
      <c r="W455" s="55">
        <v>0</v>
      </c>
      <c r="X455" s="55">
        <v>0</v>
      </c>
      <c r="Y455" s="55">
        <v>0</v>
      </c>
      <c r="Z455" s="55">
        <v>0</v>
      </c>
      <c r="AA455" s="55">
        <f t="shared" si="46"/>
        <v>36</v>
      </c>
      <c r="AB455" s="55">
        <v>20</v>
      </c>
      <c r="AC455" s="116"/>
      <c r="AD455" s="59">
        <v>69</v>
      </c>
      <c r="AE455" s="58">
        <f aca="true" t="shared" si="61" ref="AE455:AE462">AD455*E455</f>
        <v>2484</v>
      </c>
      <c r="AF455" s="120">
        <f t="shared" si="28"/>
        <v>2449.5623954362995</v>
      </c>
      <c r="AG455" s="120">
        <f t="shared" si="29"/>
        <v>0</v>
      </c>
      <c r="AH455" s="120">
        <f t="shared" si="30"/>
        <v>0</v>
      </c>
      <c r="AI455" s="120">
        <f t="shared" si="31"/>
        <v>0</v>
      </c>
      <c r="AJ455" s="120">
        <f t="shared" si="32"/>
        <v>0</v>
      </c>
      <c r="AK455" s="55">
        <f t="shared" si="33"/>
        <v>2449.5623954362995</v>
      </c>
      <c r="AL455" s="121"/>
      <c r="AO455" s="56">
        <f t="shared" si="34"/>
        <v>732</v>
      </c>
      <c r="AP455" s="56">
        <f t="shared" si="35"/>
        <v>0</v>
      </c>
      <c r="AQ455" s="56">
        <f t="shared" si="36"/>
        <v>0</v>
      </c>
      <c r="AR455" s="56">
        <f t="shared" si="37"/>
        <v>0</v>
      </c>
      <c r="AS455" s="56">
        <f t="shared" si="38"/>
        <v>0</v>
      </c>
      <c r="AU455" s="69">
        <v>20.32</v>
      </c>
      <c r="AW455" s="66">
        <f aca="true" t="shared" si="62" ref="AW455:AW462">ROUND(AU455*$E455,0)</f>
        <v>732</v>
      </c>
      <c r="AX455" s="66" t="s">
        <v>87</v>
      </c>
      <c r="AY455" s="58">
        <v>7</v>
      </c>
    </row>
    <row r="456" spans="1:51" ht="15.75">
      <c r="A456" s="57">
        <f t="shared" si="27"/>
        <v>454</v>
      </c>
      <c r="B456" s="64" t="s">
        <v>180</v>
      </c>
      <c r="E456" s="17">
        <f t="shared" si="39"/>
        <v>250</v>
      </c>
      <c r="G456" s="17">
        <f t="shared" si="40"/>
        <v>246.53405751170484</v>
      </c>
      <c r="I456" s="69">
        <v>16.22</v>
      </c>
      <c r="K456" s="66">
        <f t="shared" si="56"/>
        <v>4055</v>
      </c>
      <c r="M456" s="66">
        <f t="shared" si="57"/>
        <v>3999</v>
      </c>
      <c r="O456" s="69">
        <v>18.07</v>
      </c>
      <c r="Q456" s="66">
        <f t="shared" si="58"/>
        <v>4455</v>
      </c>
      <c r="R456" s="69">
        <f t="shared" si="59"/>
        <v>0</v>
      </c>
      <c r="S456" s="69">
        <f t="shared" si="60"/>
        <v>36.06</v>
      </c>
      <c r="T456" s="95"/>
      <c r="V456" s="55">
        <v>12</v>
      </c>
      <c r="W456" s="55">
        <v>0</v>
      </c>
      <c r="X456" s="55">
        <v>0</v>
      </c>
      <c r="Y456" s="55">
        <v>238</v>
      </c>
      <c r="Z456" s="55">
        <v>0</v>
      </c>
      <c r="AA456" s="55">
        <f t="shared" si="46"/>
        <v>250</v>
      </c>
      <c r="AB456" s="55">
        <v>21</v>
      </c>
      <c r="AC456" s="116"/>
      <c r="AD456" s="59">
        <v>69</v>
      </c>
      <c r="AE456" s="58">
        <f t="shared" si="61"/>
        <v>17250</v>
      </c>
      <c r="AF456" s="120">
        <f t="shared" si="28"/>
        <v>816.5207984787664</v>
      </c>
      <c r="AG456" s="120">
        <f t="shared" si="29"/>
        <v>0</v>
      </c>
      <c r="AH456" s="120">
        <f t="shared" si="30"/>
        <v>0</v>
      </c>
      <c r="AI456" s="120">
        <f t="shared" si="31"/>
        <v>16194.329169828869</v>
      </c>
      <c r="AJ456" s="120">
        <f t="shared" si="32"/>
        <v>0</v>
      </c>
      <c r="AK456" s="55">
        <f t="shared" si="33"/>
        <v>17010.849968307633</v>
      </c>
      <c r="AL456" s="121"/>
      <c r="AO456" s="56">
        <f t="shared" si="34"/>
        <v>181</v>
      </c>
      <c r="AP456" s="56">
        <f t="shared" si="35"/>
        <v>0</v>
      </c>
      <c r="AQ456" s="56">
        <f t="shared" si="36"/>
        <v>0</v>
      </c>
      <c r="AR456" s="56">
        <f t="shared" si="37"/>
        <v>3584</v>
      </c>
      <c r="AS456" s="56">
        <f t="shared" si="38"/>
        <v>0</v>
      </c>
      <c r="AU456" s="69">
        <v>15.06</v>
      </c>
      <c r="AW456" s="66">
        <f t="shared" si="62"/>
        <v>3765</v>
      </c>
      <c r="AX456" s="66" t="s">
        <v>87</v>
      </c>
      <c r="AY456" s="58">
        <v>7</v>
      </c>
    </row>
    <row r="457" spans="1:51" ht="15.75">
      <c r="A457" s="57">
        <f t="shared" si="27"/>
        <v>455</v>
      </c>
      <c r="B457" s="64" t="s">
        <v>181</v>
      </c>
      <c r="E457" s="17">
        <f t="shared" si="39"/>
        <v>120.67</v>
      </c>
      <c r="G457" s="17">
        <f t="shared" si="40"/>
        <v>118.9970588797497</v>
      </c>
      <c r="I457" s="69">
        <v>25.56</v>
      </c>
      <c r="K457" s="66">
        <f t="shared" si="56"/>
        <v>3084</v>
      </c>
      <c r="M457" s="66">
        <f t="shared" si="57"/>
        <v>3042</v>
      </c>
      <c r="O457" s="69">
        <v>28.47</v>
      </c>
      <c r="Q457" s="66">
        <f t="shared" si="58"/>
        <v>3388</v>
      </c>
      <c r="R457" s="69">
        <f t="shared" si="59"/>
        <v>0</v>
      </c>
      <c r="S457" s="69">
        <f t="shared" si="60"/>
        <v>45.730000000000004</v>
      </c>
      <c r="T457" s="95"/>
      <c r="V457" s="55">
        <v>72.67</v>
      </c>
      <c r="W457" s="55">
        <v>36</v>
      </c>
      <c r="X457" s="55">
        <v>0</v>
      </c>
      <c r="Y457" s="55">
        <v>0</v>
      </c>
      <c r="Z457" s="55">
        <v>12</v>
      </c>
      <c r="AA457" s="55">
        <f t="shared" si="46"/>
        <v>120.67</v>
      </c>
      <c r="AB457" s="55">
        <v>22</v>
      </c>
      <c r="AC457" s="116"/>
      <c r="AD457" s="59">
        <v>93</v>
      </c>
      <c r="AE457" s="58">
        <f t="shared" si="61"/>
        <v>11222.31</v>
      </c>
      <c r="AF457" s="120">
        <f t="shared" si="28"/>
        <v>6664.61434488772</v>
      </c>
      <c r="AG457" s="120">
        <f t="shared" si="29"/>
        <v>3301.5840981967513</v>
      </c>
      <c r="AH457" s="120">
        <f t="shared" si="30"/>
        <v>0</v>
      </c>
      <c r="AI457" s="120">
        <f t="shared" si="31"/>
        <v>0</v>
      </c>
      <c r="AJ457" s="120">
        <f t="shared" si="32"/>
        <v>1100.5280327322505</v>
      </c>
      <c r="AK457" s="55">
        <f t="shared" si="33"/>
        <v>11066.726475816722</v>
      </c>
      <c r="AL457" s="121"/>
      <c r="AO457" s="56">
        <f t="shared" si="34"/>
        <v>1724</v>
      </c>
      <c r="AP457" s="56">
        <f t="shared" si="35"/>
        <v>854</v>
      </c>
      <c r="AQ457" s="56">
        <f t="shared" si="36"/>
        <v>0</v>
      </c>
      <c r="AR457" s="56">
        <f t="shared" si="37"/>
        <v>0</v>
      </c>
      <c r="AS457" s="56">
        <f t="shared" si="38"/>
        <v>285</v>
      </c>
      <c r="AU457" s="69">
        <v>23.73</v>
      </c>
      <c r="AW457" s="66">
        <f t="shared" si="62"/>
        <v>2863</v>
      </c>
      <c r="AX457" s="66" t="s">
        <v>87</v>
      </c>
      <c r="AY457" s="58">
        <v>7</v>
      </c>
    </row>
    <row r="458" spans="1:51" ht="15.75">
      <c r="A458" s="57">
        <f t="shared" si="27"/>
        <v>456</v>
      </c>
      <c r="B458" s="64" t="s">
        <v>182</v>
      </c>
      <c r="E458" s="17">
        <f t="shared" si="39"/>
        <v>96</v>
      </c>
      <c r="G458" s="17">
        <f t="shared" si="40"/>
        <v>94.66907808449466</v>
      </c>
      <c r="I458" s="69">
        <v>20.41</v>
      </c>
      <c r="K458" s="66">
        <f t="shared" si="56"/>
        <v>1959</v>
      </c>
      <c r="M458" s="66">
        <f t="shared" si="57"/>
        <v>1932</v>
      </c>
      <c r="O458" s="69">
        <v>22.74</v>
      </c>
      <c r="Q458" s="66">
        <f t="shared" si="58"/>
        <v>2153</v>
      </c>
      <c r="R458" s="69">
        <f t="shared" si="59"/>
        <v>0</v>
      </c>
      <c r="S458" s="69">
        <f t="shared" si="60"/>
        <v>41.95</v>
      </c>
      <c r="T458" s="95"/>
      <c r="V458" s="55">
        <v>84</v>
      </c>
      <c r="W458" s="55">
        <v>12</v>
      </c>
      <c r="X458" s="55">
        <v>0</v>
      </c>
      <c r="Y458" s="55">
        <v>0</v>
      </c>
      <c r="Z458" s="55">
        <v>0</v>
      </c>
      <c r="AA458" s="55">
        <f t="shared" si="46"/>
        <v>96</v>
      </c>
      <c r="AB458" s="55">
        <v>23</v>
      </c>
      <c r="AC458" s="116"/>
      <c r="AD458" s="59">
        <v>93</v>
      </c>
      <c r="AE458" s="58">
        <f t="shared" si="61"/>
        <v>8928</v>
      </c>
      <c r="AF458" s="120">
        <f t="shared" si="28"/>
        <v>7703.696229125753</v>
      </c>
      <c r="AG458" s="120">
        <f t="shared" si="29"/>
        <v>1100.5280327322505</v>
      </c>
      <c r="AH458" s="120">
        <f t="shared" si="30"/>
        <v>0</v>
      </c>
      <c r="AI458" s="120">
        <f t="shared" si="31"/>
        <v>0</v>
      </c>
      <c r="AJ458" s="120">
        <f t="shared" si="32"/>
        <v>0</v>
      </c>
      <c r="AK458" s="55">
        <f t="shared" si="33"/>
        <v>8804.224261858004</v>
      </c>
      <c r="AL458" s="121"/>
      <c r="AO458" s="56">
        <f t="shared" si="34"/>
        <v>1592</v>
      </c>
      <c r="AP458" s="56">
        <f t="shared" si="35"/>
        <v>227</v>
      </c>
      <c r="AQ458" s="56">
        <f t="shared" si="36"/>
        <v>0</v>
      </c>
      <c r="AR458" s="56">
        <f t="shared" si="37"/>
        <v>0</v>
      </c>
      <c r="AS458" s="56">
        <f t="shared" si="38"/>
        <v>0</v>
      </c>
      <c r="AU458" s="69">
        <v>18.95</v>
      </c>
      <c r="AW458" s="66">
        <f t="shared" si="62"/>
        <v>1819</v>
      </c>
      <c r="AX458" s="66" t="s">
        <v>87</v>
      </c>
      <c r="AY458" s="58">
        <v>7</v>
      </c>
    </row>
    <row r="459" spans="1:51" ht="15.75">
      <c r="A459" s="57">
        <f t="shared" si="27"/>
        <v>457</v>
      </c>
      <c r="B459" s="64" t="s">
        <v>183</v>
      </c>
      <c r="E459" s="17">
        <f t="shared" si="39"/>
        <v>480.16999999999996</v>
      </c>
      <c r="G459" s="17">
        <f t="shared" si="40"/>
        <v>473.5130335815812</v>
      </c>
      <c r="I459" s="69">
        <v>27.31</v>
      </c>
      <c r="K459" s="66">
        <f t="shared" si="56"/>
        <v>13113</v>
      </c>
      <c r="M459" s="66">
        <f t="shared" si="57"/>
        <v>12932</v>
      </c>
      <c r="O459" s="69">
        <v>30.42</v>
      </c>
      <c r="Q459" s="66">
        <f t="shared" si="58"/>
        <v>14404</v>
      </c>
      <c r="R459" s="69">
        <f t="shared" si="59"/>
        <v>0</v>
      </c>
      <c r="S459" s="69">
        <f t="shared" si="60"/>
        <v>49.36</v>
      </c>
      <c r="T459" s="95"/>
      <c r="V459" s="55">
        <v>216.17</v>
      </c>
      <c r="W459" s="55">
        <v>168</v>
      </c>
      <c r="X459" s="55">
        <v>0</v>
      </c>
      <c r="Y459" s="55">
        <v>96</v>
      </c>
      <c r="Z459" s="55">
        <v>0</v>
      </c>
      <c r="AA459" s="55">
        <f t="shared" si="46"/>
        <v>480.16999999999996</v>
      </c>
      <c r="AB459" s="55">
        <v>24</v>
      </c>
      <c r="AC459" s="116"/>
      <c r="AD459" s="59">
        <v>145</v>
      </c>
      <c r="AE459" s="58">
        <f t="shared" si="61"/>
        <v>69624.65</v>
      </c>
      <c r="AF459" s="120">
        <f t="shared" si="28"/>
        <v>30910.094983137034</v>
      </c>
      <c r="AG459" s="120">
        <f t="shared" si="29"/>
        <v>24022.27856394052</v>
      </c>
      <c r="AH459" s="120">
        <f t="shared" si="30"/>
        <v>0</v>
      </c>
      <c r="AI459" s="120">
        <f t="shared" si="31"/>
        <v>13727.016322251726</v>
      </c>
      <c r="AJ459" s="120">
        <f t="shared" si="32"/>
        <v>0</v>
      </c>
      <c r="AK459" s="55">
        <f t="shared" si="33"/>
        <v>68659.38986932929</v>
      </c>
      <c r="AL459" s="121"/>
      <c r="AO459" s="56">
        <f t="shared" si="34"/>
        <v>5482</v>
      </c>
      <c r="AP459" s="56">
        <f t="shared" si="35"/>
        <v>4260</v>
      </c>
      <c r="AQ459" s="56">
        <f t="shared" si="36"/>
        <v>0</v>
      </c>
      <c r="AR459" s="56">
        <f t="shared" si="37"/>
        <v>2435</v>
      </c>
      <c r="AS459" s="56">
        <f t="shared" si="38"/>
        <v>0</v>
      </c>
      <c r="AU459" s="69">
        <v>25.36</v>
      </c>
      <c r="AW459" s="66">
        <f t="shared" si="62"/>
        <v>12177</v>
      </c>
      <c r="AX459" s="66" t="s">
        <v>87</v>
      </c>
      <c r="AY459" s="58">
        <v>7</v>
      </c>
    </row>
    <row r="460" spans="1:51" ht="15.75">
      <c r="A460" s="57">
        <f t="shared" si="27"/>
        <v>458</v>
      </c>
      <c r="B460" s="64" t="s">
        <v>184</v>
      </c>
      <c r="E460" s="17">
        <f t="shared" si="39"/>
        <v>828.17</v>
      </c>
      <c r="G460" s="17">
        <f t="shared" si="40"/>
        <v>816.6884416378743</v>
      </c>
      <c r="I460" s="69">
        <v>22.12</v>
      </c>
      <c r="K460" s="66">
        <f t="shared" si="56"/>
        <v>18319</v>
      </c>
      <c r="M460" s="66">
        <f t="shared" si="57"/>
        <v>18065</v>
      </c>
      <c r="O460" s="69">
        <v>24.64</v>
      </c>
      <c r="Q460" s="66">
        <f t="shared" si="58"/>
        <v>20123</v>
      </c>
      <c r="R460" s="69">
        <f t="shared" si="59"/>
        <v>0</v>
      </c>
      <c r="S460" s="69">
        <f t="shared" si="60"/>
        <v>45.54</v>
      </c>
      <c r="T460" s="95"/>
      <c r="V460" s="55">
        <v>792.17</v>
      </c>
      <c r="W460" s="55">
        <v>36</v>
      </c>
      <c r="X460" s="55">
        <v>0</v>
      </c>
      <c r="Y460" s="55">
        <v>0</v>
      </c>
      <c r="Z460" s="55">
        <v>0</v>
      </c>
      <c r="AA460" s="55">
        <f t="shared" si="46"/>
        <v>828.17</v>
      </c>
      <c r="AB460" s="55">
        <v>25</v>
      </c>
      <c r="AC460" s="116"/>
      <c r="AD460" s="59">
        <v>145</v>
      </c>
      <c r="AE460" s="58">
        <f t="shared" si="61"/>
        <v>120084.65</v>
      </c>
      <c r="AF460" s="120">
        <f t="shared" si="28"/>
        <v>113272.19291664739</v>
      </c>
      <c r="AG460" s="120">
        <f t="shared" si="29"/>
        <v>5147.631120844398</v>
      </c>
      <c r="AH460" s="120">
        <f t="shared" si="30"/>
        <v>0</v>
      </c>
      <c r="AI460" s="120">
        <f t="shared" si="31"/>
        <v>0</v>
      </c>
      <c r="AJ460" s="120">
        <f t="shared" si="32"/>
        <v>0</v>
      </c>
      <c r="AK460" s="55">
        <f t="shared" si="33"/>
        <v>118419.82403749178</v>
      </c>
      <c r="AL460" s="121"/>
      <c r="AO460" s="56">
        <f t="shared" si="34"/>
        <v>16271</v>
      </c>
      <c r="AP460" s="56">
        <f t="shared" si="35"/>
        <v>739</v>
      </c>
      <c r="AQ460" s="56">
        <f t="shared" si="36"/>
        <v>0</v>
      </c>
      <c r="AR460" s="56">
        <f t="shared" si="37"/>
        <v>0</v>
      </c>
      <c r="AS460" s="56">
        <f t="shared" si="38"/>
        <v>0</v>
      </c>
      <c r="AU460" s="69">
        <v>20.54</v>
      </c>
      <c r="AW460" s="66">
        <f t="shared" si="62"/>
        <v>17011</v>
      </c>
      <c r="AX460" s="66" t="s">
        <v>87</v>
      </c>
      <c r="AY460" s="58">
        <v>7</v>
      </c>
    </row>
    <row r="461" spans="1:51" ht="15.75">
      <c r="A461" s="57">
        <f t="shared" si="27"/>
        <v>459</v>
      </c>
      <c r="B461" s="64" t="s">
        <v>185</v>
      </c>
      <c r="E461" s="17">
        <f t="shared" si="39"/>
        <v>24</v>
      </c>
      <c r="G461" s="17">
        <f t="shared" si="40"/>
        <v>23.667269521123664</v>
      </c>
      <c r="I461" s="69">
        <v>42.86</v>
      </c>
      <c r="K461" s="66">
        <f t="shared" si="56"/>
        <v>1029</v>
      </c>
      <c r="M461" s="66">
        <f t="shared" si="57"/>
        <v>1014</v>
      </c>
      <c r="O461" s="69">
        <v>47.74</v>
      </c>
      <c r="Q461" s="66">
        <f t="shared" si="58"/>
        <v>1130</v>
      </c>
      <c r="R461" s="69">
        <f t="shared" si="59"/>
        <v>0</v>
      </c>
      <c r="S461" s="69">
        <f t="shared" si="60"/>
        <v>65.78999999999999</v>
      </c>
      <c r="T461" s="95"/>
      <c r="V461" s="55">
        <v>24</v>
      </c>
      <c r="W461" s="55">
        <v>0</v>
      </c>
      <c r="X461" s="55">
        <v>0</v>
      </c>
      <c r="Y461" s="55">
        <v>0</v>
      </c>
      <c r="Z461" s="55">
        <v>0</v>
      </c>
      <c r="AA461" s="55">
        <f t="shared" si="46"/>
        <v>24</v>
      </c>
      <c r="AB461" s="55">
        <v>26</v>
      </c>
      <c r="AC461" s="116"/>
      <c r="AD461" s="59">
        <v>352</v>
      </c>
      <c r="AE461" s="58">
        <f t="shared" si="61"/>
        <v>8448</v>
      </c>
      <c r="AF461" s="120">
        <f t="shared" si="28"/>
        <v>8330.87887143553</v>
      </c>
      <c r="AG461" s="120">
        <f t="shared" si="29"/>
        <v>0</v>
      </c>
      <c r="AH461" s="120">
        <f t="shared" si="30"/>
        <v>0</v>
      </c>
      <c r="AI461" s="120">
        <f t="shared" si="31"/>
        <v>0</v>
      </c>
      <c r="AJ461" s="120">
        <f t="shared" si="32"/>
        <v>0</v>
      </c>
      <c r="AK461" s="55">
        <f t="shared" si="33"/>
        <v>8330.87887143553</v>
      </c>
      <c r="AL461" s="121"/>
      <c r="AO461" s="56">
        <f t="shared" si="34"/>
        <v>955</v>
      </c>
      <c r="AP461" s="56">
        <f t="shared" si="35"/>
        <v>0</v>
      </c>
      <c r="AQ461" s="56">
        <f t="shared" si="36"/>
        <v>0</v>
      </c>
      <c r="AR461" s="56">
        <f t="shared" si="37"/>
        <v>0</v>
      </c>
      <c r="AS461" s="56">
        <f t="shared" si="38"/>
        <v>0</v>
      </c>
      <c r="AU461" s="69">
        <v>39.79</v>
      </c>
      <c r="AW461" s="66">
        <f t="shared" si="62"/>
        <v>955</v>
      </c>
      <c r="AX461" s="66" t="s">
        <v>87</v>
      </c>
      <c r="AY461" s="58">
        <v>7</v>
      </c>
    </row>
    <row r="462" spans="1:51" ht="15.75">
      <c r="A462" s="57">
        <f t="shared" si="27"/>
        <v>460</v>
      </c>
      <c r="B462" s="64" t="s">
        <v>186</v>
      </c>
      <c r="E462" s="17">
        <f t="shared" si="39"/>
        <v>108</v>
      </c>
      <c r="G462" s="17">
        <f t="shared" si="40"/>
        <v>106.5027128450565</v>
      </c>
      <c r="I462" s="69">
        <v>37.53</v>
      </c>
      <c r="K462" s="66">
        <f t="shared" si="56"/>
        <v>4053</v>
      </c>
      <c r="M462" s="66">
        <f t="shared" si="57"/>
        <v>3997</v>
      </c>
      <c r="O462" s="69">
        <v>41.81</v>
      </c>
      <c r="Q462" s="66">
        <f t="shared" si="58"/>
        <v>4453</v>
      </c>
      <c r="R462" s="69">
        <f t="shared" si="59"/>
        <v>0</v>
      </c>
      <c r="S462" s="69">
        <f t="shared" si="60"/>
        <v>61.84</v>
      </c>
      <c r="T462" s="95"/>
      <c r="V462" s="55">
        <v>108</v>
      </c>
      <c r="W462" s="55">
        <v>0</v>
      </c>
      <c r="X462" s="55">
        <v>0</v>
      </c>
      <c r="Y462" s="55">
        <v>0</v>
      </c>
      <c r="Z462" s="55">
        <v>0</v>
      </c>
      <c r="AA462" s="55">
        <f t="shared" si="46"/>
        <v>108</v>
      </c>
      <c r="AB462" s="55">
        <v>27</v>
      </c>
      <c r="AC462" s="116"/>
      <c r="AD462" s="59">
        <v>352</v>
      </c>
      <c r="AE462" s="58">
        <f t="shared" si="61"/>
        <v>38016</v>
      </c>
      <c r="AF462" s="120">
        <f t="shared" si="28"/>
        <v>37488.95492145989</v>
      </c>
      <c r="AG462" s="120">
        <f t="shared" si="29"/>
        <v>0</v>
      </c>
      <c r="AH462" s="120">
        <f t="shared" si="30"/>
        <v>0</v>
      </c>
      <c r="AI462" s="120">
        <f t="shared" si="31"/>
        <v>0</v>
      </c>
      <c r="AJ462" s="120">
        <f t="shared" si="32"/>
        <v>0</v>
      </c>
      <c r="AK462" s="55">
        <f t="shared" si="33"/>
        <v>37488.95492145989</v>
      </c>
      <c r="AL462" s="121"/>
      <c r="AO462" s="56">
        <f t="shared" si="34"/>
        <v>3763</v>
      </c>
      <c r="AP462" s="56">
        <f t="shared" si="35"/>
        <v>0</v>
      </c>
      <c r="AQ462" s="56">
        <f t="shared" si="36"/>
        <v>0</v>
      </c>
      <c r="AR462" s="56">
        <f t="shared" si="37"/>
        <v>0</v>
      </c>
      <c r="AS462" s="56">
        <f t="shared" si="38"/>
        <v>0</v>
      </c>
      <c r="AU462" s="69">
        <v>34.84</v>
      </c>
      <c r="AW462" s="66">
        <f t="shared" si="62"/>
        <v>3763</v>
      </c>
      <c r="AX462" s="66" t="s">
        <v>87</v>
      </c>
      <c r="AY462" s="58">
        <v>7</v>
      </c>
    </row>
    <row r="463" spans="1:51" s="33" customFormat="1" ht="15.75">
      <c r="A463" s="57">
        <f t="shared" si="27"/>
        <v>461</v>
      </c>
      <c r="B463" s="31" t="s">
        <v>187</v>
      </c>
      <c r="C463" s="16"/>
      <c r="D463" s="16"/>
      <c r="E463" s="17">
        <f>SUM(E431:E462)</f>
        <v>189188.8800000001</v>
      </c>
      <c r="F463" s="16"/>
      <c r="G463" s="17">
        <f>SUM(G431:G462)</f>
        <v>186566.0088899801</v>
      </c>
      <c r="H463" s="16"/>
      <c r="I463" s="24"/>
      <c r="J463" s="16"/>
      <c r="K463" s="32">
        <f>SUM(K431:K462)</f>
        <v>2645178</v>
      </c>
      <c r="L463" s="16"/>
      <c r="M463" s="32">
        <f>SUM(M431:M462)</f>
        <v>2608509</v>
      </c>
      <c r="N463" s="16"/>
      <c r="O463" s="24"/>
      <c r="P463" s="16"/>
      <c r="Q463" s="32">
        <f>SUM(Q431:Q462)</f>
        <v>2905636</v>
      </c>
      <c r="R463" s="58"/>
      <c r="S463" s="58"/>
      <c r="T463" s="55"/>
      <c r="U463" s="55"/>
      <c r="V463" s="55"/>
      <c r="Z463" s="33">
        <f>SUM(U463:Y463)</f>
        <v>0</v>
      </c>
      <c r="AA463" s="33">
        <f t="shared" si="46"/>
        <v>0</v>
      </c>
      <c r="AE463" s="121">
        <f>SUM(AE431:AE462)</f>
        <v>14816721.619999997</v>
      </c>
      <c r="AF463" s="121"/>
      <c r="AG463" s="121"/>
      <c r="AH463" s="121"/>
      <c r="AI463" s="121"/>
      <c r="AJ463" s="121"/>
      <c r="AK463" s="121">
        <f>SUM(AK431:AK462)</f>
        <v>14611306</v>
      </c>
      <c r="AL463" s="121"/>
      <c r="AO463" s="121">
        <f>SUM(AO431:AO462)</f>
        <v>1517178</v>
      </c>
      <c r="AP463" s="121">
        <f>SUM(AP431:AP462)</f>
        <v>252159</v>
      </c>
      <c r="AQ463" s="121">
        <f>SUM(AQ431:AQ462)</f>
        <v>3967</v>
      </c>
      <c r="AR463" s="121">
        <f>SUM(AR431:AR462)</f>
        <v>45946</v>
      </c>
      <c r="AS463" s="121">
        <f>SUM(AS431:AS462)</f>
        <v>636838</v>
      </c>
      <c r="AT463" s="16"/>
      <c r="AU463" s="24"/>
      <c r="AV463" s="16"/>
      <c r="AW463" s="34">
        <f>SUM(AW431:AW462)</f>
        <v>2456091</v>
      </c>
      <c r="AX463" s="66" t="s">
        <v>87</v>
      </c>
      <c r="AY463" s="58">
        <v>7</v>
      </c>
    </row>
    <row r="464" spans="1:51" ht="15.75">
      <c r="A464" s="57">
        <f t="shared" si="27"/>
        <v>462</v>
      </c>
      <c r="B464" s="64" t="s">
        <v>188</v>
      </c>
      <c r="E464" s="15">
        <f>SUM(AE431:AE462)</f>
        <v>14816721.619999997</v>
      </c>
      <c r="G464" s="15">
        <v>14611306</v>
      </c>
      <c r="K464" s="32"/>
      <c r="M464" s="32"/>
      <c r="Q464" s="32"/>
      <c r="S464" s="58"/>
      <c r="AE464" s="60"/>
      <c r="AF464" s="60"/>
      <c r="AG464" s="60"/>
      <c r="AH464" s="60"/>
      <c r="AW464" s="32"/>
      <c r="AX464" s="66" t="s">
        <v>87</v>
      </c>
      <c r="AY464" s="58">
        <v>7</v>
      </c>
    </row>
    <row r="465" spans="1:51" ht="16.5" thickBot="1">
      <c r="A465" s="57">
        <f t="shared" si="27"/>
        <v>463</v>
      </c>
      <c r="B465" s="64" t="s">
        <v>189</v>
      </c>
      <c r="E465" s="35">
        <v>58190</v>
      </c>
      <c r="G465" s="35">
        <v>0</v>
      </c>
      <c r="I465" s="96"/>
      <c r="J465" s="96"/>
      <c r="K465" s="36">
        <f>AW465</f>
        <v>5959.813144826815</v>
      </c>
      <c r="M465" s="36">
        <v>0</v>
      </c>
      <c r="O465" s="96"/>
      <c r="P465" s="96"/>
      <c r="Q465" s="36">
        <v>0</v>
      </c>
      <c r="S465" s="58"/>
      <c r="U465" s="55" t="s">
        <v>190</v>
      </c>
      <c r="V465" s="118" t="s">
        <v>191</v>
      </c>
      <c r="W465" s="118" t="s">
        <v>192</v>
      </c>
      <c r="X465" s="118" t="s">
        <v>155</v>
      </c>
      <c r="Y465" s="118" t="s">
        <v>156</v>
      </c>
      <c r="Z465" s="118" t="s">
        <v>157</v>
      </c>
      <c r="AA465" s="55" t="s">
        <v>59</v>
      </c>
      <c r="AE465" s="60"/>
      <c r="AF465" s="60"/>
      <c r="AG465" s="60"/>
      <c r="AH465" s="60"/>
      <c r="AU465" s="96"/>
      <c r="AV465" s="96"/>
      <c r="AW465" s="36">
        <v>5959.813144826815</v>
      </c>
      <c r="AX465" s="66" t="s">
        <v>87</v>
      </c>
      <c r="AY465" s="58">
        <v>7</v>
      </c>
    </row>
    <row r="466" spans="1:51" ht="16.5" thickTop="1">
      <c r="A466" s="57">
        <f t="shared" si="27"/>
        <v>464</v>
      </c>
      <c r="B466" s="64" t="s">
        <v>3</v>
      </c>
      <c r="E466" s="17">
        <f>AA466</f>
        <v>9284.67</v>
      </c>
      <c r="G466" s="17">
        <v>9346.25</v>
      </c>
      <c r="S466" s="58"/>
      <c r="U466" s="55" t="s">
        <v>193</v>
      </c>
      <c r="V466" s="55">
        <f>1705.5+475.92+39.67+62+603+605.92+74.42+84.5+104.25+104.92+38.67+72.58+156.33+232.83+29.42+74.92+233.92+50.67+1+1+2+3+6.08+20.75+1+2</f>
        <v>4786.27</v>
      </c>
      <c r="W466" s="55">
        <f>220.83+98.92+1+4.08+54+59.08+7.08+7.08+18.17+15.17+5+7+14.92+11+6.08+2+31.33+37.25+1+1+1+1</f>
        <v>603.99</v>
      </c>
      <c r="X466" s="55">
        <f>2+3.08+1</f>
        <v>6.08</v>
      </c>
      <c r="Y466" s="55">
        <f>2+1+4+1+28.83+31.17+6+1+1+2+3+2.08+2+5.08+8.08+3+8.5+7.5+13+1+3</f>
        <v>134.24</v>
      </c>
      <c r="Z466" s="55">
        <f>1459.08+50.25+63.67+108.42+660.17+1089.83+31.58+34+4+11.75+14+6+9+63.08+87.17+5.25+10.25+14.17+27.42+1+1+3</f>
        <v>3754.09</v>
      </c>
      <c r="AA466" s="55">
        <f>SUM(V466:Z466)</f>
        <v>9284.67</v>
      </c>
      <c r="AE466" s="60"/>
      <c r="AF466" s="60"/>
      <c r="AG466" s="60"/>
      <c r="AH466" s="60"/>
      <c r="AX466" s="66" t="s">
        <v>87</v>
      </c>
      <c r="AY466" s="58">
        <v>7</v>
      </c>
    </row>
    <row r="467" spans="1:51" ht="15.75">
      <c r="A467" s="57">
        <f t="shared" si="27"/>
        <v>465</v>
      </c>
      <c r="B467" s="64" t="s">
        <v>194</v>
      </c>
      <c r="E467" s="15">
        <f>E464+E465</f>
        <v>14874911.619999997</v>
      </c>
      <c r="G467" s="15">
        <f>G464+G465</f>
        <v>14611306</v>
      </c>
      <c r="K467" s="32">
        <f>K465+K463</f>
        <v>2651137.813144827</v>
      </c>
      <c r="M467" s="32">
        <f>M465+M463</f>
        <v>2608509</v>
      </c>
      <c r="Q467" s="32">
        <f>Q465+Q463</f>
        <v>2905636</v>
      </c>
      <c r="R467" s="85" t="s">
        <v>59</v>
      </c>
      <c r="S467" s="86">
        <f>Q467</f>
        <v>2905636</v>
      </c>
      <c r="U467" s="60"/>
      <c r="V467" s="60"/>
      <c r="AE467" s="60"/>
      <c r="AF467" s="60"/>
      <c r="AG467" s="60"/>
      <c r="AH467" s="60"/>
      <c r="AW467" s="32">
        <f>AW465+AW463</f>
        <v>2462050.813144827</v>
      </c>
      <c r="AX467" s="66" t="s">
        <v>87</v>
      </c>
      <c r="AY467" s="58">
        <v>7</v>
      </c>
    </row>
    <row r="468" spans="1:51" ht="15.75">
      <c r="A468" s="57">
        <f t="shared" si="27"/>
        <v>466</v>
      </c>
      <c r="B468" s="64" t="s">
        <v>60</v>
      </c>
      <c r="E468" s="59"/>
      <c r="G468" s="59"/>
      <c r="I468" s="76"/>
      <c r="J468" s="26">
        <v>0</v>
      </c>
      <c r="K468" s="81">
        <f>ROUND(SUM(K463)*J468,0)</f>
        <v>0</v>
      </c>
      <c r="M468" s="81">
        <f>ROUND(SUM(M463)*J468,0)</f>
        <v>0</v>
      </c>
      <c r="O468" s="76"/>
      <c r="P468" s="26">
        <v>0</v>
      </c>
      <c r="Q468" s="81">
        <f>ROUND(SUM(Q463)*P468,0)</f>
        <v>0</v>
      </c>
      <c r="R468" s="88" t="s">
        <v>61</v>
      </c>
      <c r="S468" s="89">
        <v>2905703.691061167</v>
      </c>
      <c r="U468" s="60" t="s">
        <v>4</v>
      </c>
      <c r="V468" s="60"/>
      <c r="AE468" s="60"/>
      <c r="AF468" s="60"/>
      <c r="AG468" s="60"/>
      <c r="AH468" s="60"/>
      <c r="AU468" s="76"/>
      <c r="AV468" s="26">
        <v>0.0352</v>
      </c>
      <c r="AW468" s="81">
        <f>ROUND(SUM(AW463)*AV468,0)</f>
        <v>86454</v>
      </c>
      <c r="AX468" s="66" t="s">
        <v>87</v>
      </c>
      <c r="AY468" s="58">
        <v>7</v>
      </c>
    </row>
    <row r="469" spans="1:51" ht="15.75">
      <c r="A469" s="57">
        <f t="shared" si="27"/>
        <v>467</v>
      </c>
      <c r="B469" s="64" t="s">
        <v>62</v>
      </c>
      <c r="E469" s="59"/>
      <c r="G469" s="59"/>
      <c r="I469" s="76"/>
      <c r="J469" s="26">
        <v>0.0299</v>
      </c>
      <c r="K469" s="81">
        <f>ROUND(SUM(K463,K468)*J469,0)</f>
        <v>79091</v>
      </c>
      <c r="M469" s="81">
        <f>ROUND(SUM(M463,M468)*J469,0)</f>
        <v>77994</v>
      </c>
      <c r="O469" s="76"/>
      <c r="P469" s="26">
        <v>0.0299</v>
      </c>
      <c r="Q469" s="81">
        <f>ROUND(SUM(Q463,Q468)*P469,0)</f>
        <v>86879</v>
      </c>
      <c r="R469" s="90" t="s">
        <v>515</v>
      </c>
      <c r="S469" s="91">
        <f>S468-S467</f>
        <v>67.69106116704643</v>
      </c>
      <c r="U469" s="55" t="s">
        <v>193</v>
      </c>
      <c r="V469" s="60">
        <f>V466*$G$466/$E$466</f>
        <v>4818.014639992591</v>
      </c>
      <c r="W469" s="60">
        <f>W466*$G$466/$E$466</f>
        <v>607.9959263495633</v>
      </c>
      <c r="X469" s="60">
        <f>X466*$G$466/$E$466</f>
        <v>6.120325224267529</v>
      </c>
      <c r="Y469" s="60">
        <f>Y466*$G$466/$E$466</f>
        <v>135.13033850422255</v>
      </c>
      <c r="Z469" s="60">
        <f>Z466*$G$466/$E$466</f>
        <v>3778.9887699293567</v>
      </c>
      <c r="AA469" s="55">
        <f>SUM(V469:Z469)</f>
        <v>9346.25</v>
      </c>
      <c r="AG469" s="60"/>
      <c r="AH469" s="60"/>
      <c r="AU469" s="76"/>
      <c r="AV469" s="26"/>
      <c r="AW469" s="81">
        <f>ROUND(SUM(AW463,AW468)*AV469,0)</f>
        <v>0</v>
      </c>
      <c r="AX469" s="66" t="s">
        <v>87</v>
      </c>
      <c r="AY469" s="58">
        <v>7</v>
      </c>
    </row>
    <row r="470" spans="1:51" ht="15.75">
      <c r="A470" s="57">
        <f t="shared" si="27"/>
        <v>468</v>
      </c>
      <c r="E470" s="59"/>
      <c r="G470" s="59"/>
      <c r="R470" s="55"/>
      <c r="AE470" s="60"/>
      <c r="AF470" s="60"/>
      <c r="AG470" s="60"/>
      <c r="AH470" s="60"/>
      <c r="AX470" s="66" t="s">
        <v>87</v>
      </c>
      <c r="AY470" s="58">
        <v>7</v>
      </c>
    </row>
    <row r="471" spans="1:51" ht="15.75">
      <c r="A471" s="57">
        <f t="shared" si="27"/>
        <v>469</v>
      </c>
      <c r="B471" s="64" t="s">
        <v>195</v>
      </c>
      <c r="E471" s="59"/>
      <c r="G471" s="59"/>
      <c r="T471" s="37"/>
      <c r="U471" s="37"/>
      <c r="W471" s="37"/>
      <c r="X471" s="37"/>
      <c r="Y471" s="37"/>
      <c r="Z471" s="37"/>
      <c r="AA471" s="37"/>
      <c r="AB471" s="37"/>
      <c r="AC471" s="37"/>
      <c r="AD471" s="37"/>
      <c r="AE471" s="37"/>
      <c r="AG471" s="37"/>
      <c r="AH471" s="37"/>
      <c r="AX471" s="66" t="s">
        <v>87</v>
      </c>
      <c r="AY471" s="58">
        <v>8</v>
      </c>
    </row>
    <row r="472" spans="1:51" ht="15.75">
      <c r="A472" s="57">
        <f t="shared" si="27"/>
        <v>470</v>
      </c>
      <c r="B472" s="64" t="s">
        <v>125</v>
      </c>
      <c r="E472" s="59"/>
      <c r="G472" s="59"/>
      <c r="T472" s="37"/>
      <c r="U472" s="37"/>
      <c r="W472" s="37"/>
      <c r="X472" s="37"/>
      <c r="Y472" s="37"/>
      <c r="Z472" s="37"/>
      <c r="AA472" s="37"/>
      <c r="AB472" s="37"/>
      <c r="AC472" s="37"/>
      <c r="AD472" s="37"/>
      <c r="AE472" s="37"/>
      <c r="AG472" s="37"/>
      <c r="AH472" s="37"/>
      <c r="AX472" s="66" t="s">
        <v>87</v>
      </c>
      <c r="AY472" s="58">
        <v>8</v>
      </c>
    </row>
    <row r="473" spans="1:51" ht="15.75">
      <c r="A473" s="57">
        <f t="shared" si="27"/>
        <v>471</v>
      </c>
      <c r="B473" s="103" t="s">
        <v>89</v>
      </c>
      <c r="E473" s="59"/>
      <c r="G473" s="59"/>
      <c r="AG473" s="37"/>
      <c r="AH473" s="37"/>
      <c r="AX473" s="66" t="s">
        <v>87</v>
      </c>
      <c r="AY473" s="58">
        <v>8</v>
      </c>
    </row>
    <row r="474" spans="1:51" ht="15.75">
      <c r="A474" s="57">
        <f t="shared" si="27"/>
        <v>472</v>
      </c>
      <c r="B474" s="98"/>
      <c r="E474" s="59"/>
      <c r="G474" s="59"/>
      <c r="AG474" s="37"/>
      <c r="AH474" s="37"/>
      <c r="AX474" s="66" t="s">
        <v>87</v>
      </c>
      <c r="AY474" s="58">
        <v>8</v>
      </c>
    </row>
    <row r="475" spans="1:51" ht="15.75">
      <c r="A475" s="57">
        <f t="shared" si="27"/>
        <v>473</v>
      </c>
      <c r="B475" s="64" t="s">
        <v>44</v>
      </c>
      <c r="E475" s="59">
        <f aca="true" t="shared" si="63" ref="E475:E486">E494+E513+E533+E553+E573+E593</f>
        <v>2634</v>
      </c>
      <c r="G475" s="59">
        <f aca="true" t="shared" si="64" ref="G475:G486">G494+G513+G533+G553+G573+G593</f>
        <v>2856.7623953142934</v>
      </c>
      <c r="I475" s="76"/>
      <c r="K475" s="66">
        <f aca="true" t="shared" si="65" ref="K475:K488">K494+K513+K533+K553+K573+K593</f>
        <v>38825</v>
      </c>
      <c r="M475" s="66">
        <f aca="true" t="shared" si="66" ref="M475:M488">M494+M513+M533+M553+M573+M593</f>
        <v>42109</v>
      </c>
      <c r="O475" s="69">
        <f>O260</f>
        <v>15</v>
      </c>
      <c r="Q475" s="66">
        <f aca="true" t="shared" si="67" ref="Q475:Q480">ROUND(O475*$G475,0)</f>
        <v>42851</v>
      </c>
      <c r="AG475" s="37"/>
      <c r="AH475" s="37"/>
      <c r="AU475" s="76"/>
      <c r="AW475" s="66">
        <f aca="true" t="shared" si="68" ref="AW475:AW488">AW494+AW513+AW533+AW553+AW573+AW593</f>
        <v>38825</v>
      </c>
      <c r="AX475" s="66" t="s">
        <v>87</v>
      </c>
      <c r="AY475" s="58">
        <v>8</v>
      </c>
    </row>
    <row r="476" spans="1:51" ht="15.75">
      <c r="A476" s="57">
        <f t="shared" si="27"/>
        <v>474</v>
      </c>
      <c r="B476" s="64" t="s">
        <v>196</v>
      </c>
      <c r="E476" s="59">
        <f t="shared" si="63"/>
        <v>1751108.543272859</v>
      </c>
      <c r="G476" s="59">
        <f t="shared" si="64"/>
        <v>1946773.4780580155</v>
      </c>
      <c r="I476" s="76"/>
      <c r="K476" s="66">
        <f t="shared" si="65"/>
        <v>50838</v>
      </c>
      <c r="M476" s="66">
        <f t="shared" si="66"/>
        <v>51695</v>
      </c>
      <c r="O476" s="69">
        <v>10.29</v>
      </c>
      <c r="Q476" s="66">
        <f t="shared" si="67"/>
        <v>20032299</v>
      </c>
      <c r="R476" s="69">
        <f>ROUND(O476*$S$488/$S$486*1,2)</f>
        <v>0</v>
      </c>
      <c r="T476" s="70">
        <f>(M476)/SUM($M$476:$M$477,$M$480:$M$484)</f>
        <v>0.0009498806617674054</v>
      </c>
      <c r="U476" s="66">
        <f>T476*$S$488</f>
        <v>-0.28539767191222337</v>
      </c>
      <c r="V476" s="17">
        <f>G476</f>
        <v>1946773.4780580155</v>
      </c>
      <c r="AG476" s="37"/>
      <c r="AH476" s="37"/>
      <c r="AU476" s="76"/>
      <c r="AW476" s="66">
        <f t="shared" si="68"/>
        <v>38629</v>
      </c>
      <c r="AX476" s="66" t="s">
        <v>87</v>
      </c>
      <c r="AY476" s="58">
        <v>8</v>
      </c>
    </row>
    <row r="477" spans="1:51" ht="15.75">
      <c r="A477" s="57">
        <f t="shared" si="27"/>
        <v>475</v>
      </c>
      <c r="B477" s="64" t="s">
        <v>197</v>
      </c>
      <c r="E477" s="59">
        <f t="shared" si="63"/>
        <v>2323211.570705932</v>
      </c>
      <c r="G477" s="59">
        <f t="shared" si="64"/>
        <v>2584227.4247808265</v>
      </c>
      <c r="I477" s="76"/>
      <c r="K477" s="66">
        <f t="shared" si="65"/>
        <v>96351</v>
      </c>
      <c r="M477" s="66">
        <f t="shared" si="66"/>
        <v>97977</v>
      </c>
      <c r="O477" s="69">
        <v>7.42</v>
      </c>
      <c r="Q477" s="66">
        <f t="shared" si="67"/>
        <v>19174967</v>
      </c>
      <c r="R477" s="69">
        <f>ROUND(O477*$S$488/$S$486*1,2)</f>
        <v>0</v>
      </c>
      <c r="T477" s="70">
        <f>(M477)/SUM($M$476:$M$477,$M$480:$M$484)</f>
        <v>0.0018002990153396861</v>
      </c>
      <c r="U477" s="66">
        <f>T477*$S$488</f>
        <v>-0.5409112622293047</v>
      </c>
      <c r="V477" s="17">
        <f>G477</f>
        <v>2584227.4247808265</v>
      </c>
      <c r="AG477" s="37"/>
      <c r="AH477" s="37"/>
      <c r="AU477" s="76"/>
      <c r="AW477" s="66">
        <f t="shared" si="68"/>
        <v>91174</v>
      </c>
      <c r="AX477" s="66" t="s">
        <v>87</v>
      </c>
      <c r="AY477" s="58">
        <v>8</v>
      </c>
    </row>
    <row r="478" spans="1:51" ht="15.75">
      <c r="A478" s="57">
        <f t="shared" si="27"/>
        <v>476</v>
      </c>
      <c r="B478" s="64" t="s">
        <v>198</v>
      </c>
      <c r="E478" s="59">
        <f t="shared" si="63"/>
        <v>1786400.1136875004</v>
      </c>
      <c r="G478" s="59">
        <f t="shared" si="64"/>
        <v>1986008.4492687834</v>
      </c>
      <c r="I478" s="76"/>
      <c r="K478" s="66">
        <f t="shared" si="65"/>
        <v>18652283</v>
      </c>
      <c r="M478" s="66">
        <f t="shared" si="66"/>
        <v>20728540</v>
      </c>
      <c r="O478" s="69">
        <f>(((((((((((((((((((O1075)+0)+0)+0)+0)+0)+0)+0)+0)+0)+0)+0)+0)+0)+0)+0)+0)+0)+0)+0</f>
        <v>3.15</v>
      </c>
      <c r="Q478" s="66">
        <f t="shared" si="67"/>
        <v>6255927</v>
      </c>
      <c r="R478" s="69"/>
      <c r="AG478" s="37"/>
      <c r="AH478" s="37"/>
      <c r="AU478" s="76"/>
      <c r="AW478" s="66">
        <f t="shared" si="68"/>
        <v>14189957</v>
      </c>
      <c r="AX478" s="66" t="s">
        <v>87</v>
      </c>
      <c r="AY478" s="58">
        <v>8</v>
      </c>
    </row>
    <row r="479" spans="1:51" ht="15.75">
      <c r="A479" s="57">
        <f t="shared" si="27"/>
        <v>477</v>
      </c>
      <c r="B479" s="64" t="s">
        <v>199</v>
      </c>
      <c r="E479" s="59">
        <f t="shared" si="63"/>
        <v>2333733.9812600324</v>
      </c>
      <c r="G479" s="59">
        <f t="shared" si="64"/>
        <v>2595932.04190291</v>
      </c>
      <c r="I479" s="76"/>
      <c r="K479" s="66">
        <f t="shared" si="65"/>
        <v>19287873</v>
      </c>
      <c r="M479" s="66">
        <f t="shared" si="66"/>
        <v>21442081</v>
      </c>
      <c r="O479" s="69">
        <f>(((((((((((((((((((O478)+0)+0)+0)+0)+0)+0)+0)+0)+0)+0)+0)+0)+0)+0)+0)+0)+0)+0)+0</f>
        <v>3.15</v>
      </c>
      <c r="Q479" s="66">
        <f t="shared" si="67"/>
        <v>8177186</v>
      </c>
      <c r="AG479" s="37"/>
      <c r="AH479" s="37"/>
      <c r="AU479" s="76"/>
      <c r="AW479" s="66">
        <f t="shared" si="68"/>
        <v>18273706</v>
      </c>
      <c r="AX479" s="66" t="s">
        <v>87</v>
      </c>
      <c r="AY479" s="58">
        <v>8</v>
      </c>
    </row>
    <row r="480" spans="1:51" ht="15.75">
      <c r="A480" s="57">
        <f t="shared" si="27"/>
        <v>478</v>
      </c>
      <c r="B480" s="64" t="s">
        <v>93</v>
      </c>
      <c r="E480" s="59">
        <f t="shared" si="63"/>
        <v>1639657</v>
      </c>
      <c r="G480" s="59">
        <f t="shared" si="64"/>
        <v>1825919.0694774855</v>
      </c>
      <c r="I480" s="76"/>
      <c r="K480" s="66">
        <f t="shared" si="65"/>
        <v>-865730</v>
      </c>
      <c r="M480" s="66">
        <f t="shared" si="66"/>
        <v>-963367</v>
      </c>
      <c r="O480" s="69">
        <v>-0.75</v>
      </c>
      <c r="Q480" s="66">
        <f t="shared" si="67"/>
        <v>-1369439</v>
      </c>
      <c r="R480" s="69">
        <f>ROUND(O480*$S$488/$S$486*1,2)</f>
        <v>0</v>
      </c>
      <c r="T480" s="70">
        <f>(M480)/SUM($M$476:$M$477,$M$480:$M$484)</f>
        <v>-0.01770158977628165</v>
      </c>
      <c r="U480" s="66">
        <f>T480*$S$488</f>
        <v>5.318554966574386</v>
      </c>
      <c r="V480" s="17">
        <f>G480</f>
        <v>1825919.0694774855</v>
      </c>
      <c r="AG480" s="37"/>
      <c r="AH480" s="37"/>
      <c r="AU480" s="76"/>
      <c r="AW480" s="66">
        <f t="shared" si="68"/>
        <v>-865730</v>
      </c>
      <c r="AX480" s="66" t="s">
        <v>87</v>
      </c>
      <c r="AY480" s="58">
        <v>8</v>
      </c>
    </row>
    <row r="481" spans="1:51" ht="15.75">
      <c r="A481" s="57">
        <f t="shared" si="27"/>
        <v>479</v>
      </c>
      <c r="B481" s="64" t="s">
        <v>69</v>
      </c>
      <c r="E481" s="59">
        <f t="shared" si="63"/>
        <v>209918387.1786923</v>
      </c>
      <c r="G481" s="59">
        <f t="shared" si="64"/>
        <v>233346029.9017085</v>
      </c>
      <c r="I481" s="76"/>
      <c r="J481" s="93"/>
      <c r="K481" s="66">
        <f t="shared" si="65"/>
        <v>6079577</v>
      </c>
      <c r="M481" s="66">
        <f t="shared" si="66"/>
        <v>6767845</v>
      </c>
      <c r="O481" s="76"/>
      <c r="P481" s="93">
        <v>3.2775999999999996</v>
      </c>
      <c r="Q481" s="66">
        <f>ROUND(P481*$G481/100,0)</f>
        <v>7648149</v>
      </c>
      <c r="S481" s="68">
        <f>ROUND(P481*$S$488/$S$486,4)</f>
        <v>0</v>
      </c>
      <c r="T481" s="70">
        <f>(M481)/SUM($M$476:$M$477,$M$480:$M$484)</f>
        <v>0.12435719290722944</v>
      </c>
      <c r="U481" s="66">
        <f>T481*$S$488</f>
        <v>-37.36390766733304</v>
      </c>
      <c r="V481" s="17">
        <f>G481</f>
        <v>233346029.9017085</v>
      </c>
      <c r="AG481" s="37"/>
      <c r="AH481" s="37"/>
      <c r="AU481" s="76"/>
      <c r="AV481" s="93"/>
      <c r="AW481" s="66">
        <f t="shared" si="68"/>
        <v>6015184</v>
      </c>
      <c r="AX481" s="66" t="s">
        <v>87</v>
      </c>
      <c r="AY481" s="58">
        <v>8</v>
      </c>
    </row>
    <row r="482" spans="1:51" ht="15.75">
      <c r="A482" s="57">
        <f t="shared" si="27"/>
        <v>480</v>
      </c>
      <c r="B482" s="64" t="s">
        <v>71</v>
      </c>
      <c r="E482" s="59">
        <f t="shared" si="63"/>
        <v>554851004.8213078</v>
      </c>
      <c r="G482" s="59">
        <f t="shared" si="64"/>
        <v>616323928.6183215</v>
      </c>
      <c r="I482" s="76"/>
      <c r="J482" s="93"/>
      <c r="K482" s="66">
        <f t="shared" si="65"/>
        <v>15385274</v>
      </c>
      <c r="M482" s="66">
        <f t="shared" si="66"/>
        <v>17089656</v>
      </c>
      <c r="O482" s="76"/>
      <c r="P482" s="93">
        <f>P481-1</f>
        <v>2.2775999999999996</v>
      </c>
      <c r="Q482" s="66">
        <f>ROUND(P482*$G482/100,0)</f>
        <v>14037394</v>
      </c>
      <c r="S482" s="68"/>
      <c r="T482" s="70">
        <f>(M482)/SUM($M$476:$M$477,$M$480:$M$484)</f>
        <v>0.3140174823611047</v>
      </c>
      <c r="U482" s="66">
        <f>T482*$S$488</f>
        <v>-94.34854504653755</v>
      </c>
      <c r="V482" s="17">
        <f>G482</f>
        <v>616323928.6183215</v>
      </c>
      <c r="AG482" s="37"/>
      <c r="AH482" s="37"/>
      <c r="AU482" s="76"/>
      <c r="AV482" s="93"/>
      <c r="AW482" s="66">
        <f t="shared" si="68"/>
        <v>15380051</v>
      </c>
      <c r="AX482" s="66" t="s">
        <v>87</v>
      </c>
      <c r="AY482" s="58">
        <v>8</v>
      </c>
    </row>
    <row r="483" spans="1:51" ht="15.75">
      <c r="A483" s="57">
        <f t="shared" si="27"/>
        <v>481</v>
      </c>
      <c r="B483" s="64" t="s">
        <v>139</v>
      </c>
      <c r="E483" s="59">
        <f t="shared" si="63"/>
        <v>539530437.0356113</v>
      </c>
      <c r="G483" s="59">
        <f t="shared" si="64"/>
        <v>599656081.5111313</v>
      </c>
      <c r="I483" s="76"/>
      <c r="J483" s="93"/>
      <c r="K483" s="66">
        <f t="shared" si="65"/>
        <v>15432386</v>
      </c>
      <c r="M483" s="66">
        <f t="shared" si="66"/>
        <v>17170015</v>
      </c>
      <c r="O483" s="76"/>
      <c r="P483" s="93">
        <f>P482+0.3</f>
        <v>2.5775999999999994</v>
      </c>
      <c r="Q483" s="66">
        <f>ROUND(P483*$G483/100,0)</f>
        <v>15456735</v>
      </c>
      <c r="S483" s="68"/>
      <c r="T483" s="70">
        <f>(M483)/SUM($M$476:$M$477,$M$480:$M$484)</f>
        <v>0.3154940557260137</v>
      </c>
      <c r="U483" s="66">
        <f>T483*$S$488</f>
        <v>-94.79219088302455</v>
      </c>
      <c r="V483" s="17">
        <f>G483</f>
        <v>599656081.5111313</v>
      </c>
      <c r="AG483" s="37"/>
      <c r="AH483" s="37"/>
      <c r="AU483" s="76"/>
      <c r="AV483" s="93"/>
      <c r="AW483" s="66">
        <f t="shared" si="68"/>
        <v>15432386</v>
      </c>
      <c r="AX483" s="66" t="s">
        <v>87</v>
      </c>
      <c r="AY483" s="58">
        <v>8</v>
      </c>
    </row>
    <row r="484" spans="1:51" ht="15.75">
      <c r="A484" s="57">
        <f t="shared" si="27"/>
        <v>482</v>
      </c>
      <c r="B484" s="64" t="s">
        <v>74</v>
      </c>
      <c r="E484" s="59">
        <f t="shared" si="63"/>
        <v>463334686.9643886</v>
      </c>
      <c r="G484" s="59">
        <f t="shared" si="64"/>
        <v>514903302.01451534</v>
      </c>
      <c r="I484" s="76"/>
      <c r="J484" s="93"/>
      <c r="K484" s="66">
        <f t="shared" si="65"/>
        <v>12787954</v>
      </c>
      <c r="M484" s="66">
        <f t="shared" si="66"/>
        <v>14208805</v>
      </c>
      <c r="O484" s="76"/>
      <c r="P484" s="93">
        <f>P482</f>
        <v>2.2775999999999996</v>
      </c>
      <c r="Q484" s="66">
        <f>ROUND(P484*$G484/100,0)</f>
        <v>11727438</v>
      </c>
      <c r="S484" s="68"/>
      <c r="T484" s="70">
        <f>(M484)/SUM($M$476:$M$477,$M$480:$M$484)</f>
        <v>0.26108267910482674</v>
      </c>
      <c r="U484" s="66">
        <f>T484*$S$488</f>
        <v>-78.44394753176823</v>
      </c>
      <c r="V484" s="17">
        <f>G484</f>
        <v>514903302.01451534</v>
      </c>
      <c r="AG484" s="37"/>
      <c r="AH484" s="37"/>
      <c r="AU484" s="76"/>
      <c r="AV484" s="93"/>
      <c r="AW484" s="66">
        <f t="shared" si="68"/>
        <v>12787954</v>
      </c>
      <c r="AX484" s="66" t="s">
        <v>87</v>
      </c>
      <c r="AY484" s="58">
        <v>8</v>
      </c>
    </row>
    <row r="485" spans="1:51" ht="15.75">
      <c r="A485" s="57">
        <f t="shared" si="27"/>
        <v>483</v>
      </c>
      <c r="B485" s="64" t="s">
        <v>57</v>
      </c>
      <c r="E485" s="78">
        <f t="shared" si="63"/>
        <v>-411622</v>
      </c>
      <c r="G485" s="78">
        <f t="shared" si="64"/>
        <v>0</v>
      </c>
      <c r="I485" s="76"/>
      <c r="K485" s="81">
        <f t="shared" si="65"/>
        <v>77223.35886957057</v>
      </c>
      <c r="M485" s="81">
        <f t="shared" si="66"/>
        <v>0</v>
      </c>
      <c r="O485" s="76"/>
      <c r="Q485" s="81">
        <v>0</v>
      </c>
      <c r="AG485" s="37"/>
      <c r="AH485" s="37"/>
      <c r="AU485" s="76"/>
      <c r="AW485" s="81">
        <f t="shared" si="68"/>
        <v>77223.35886957057</v>
      </c>
      <c r="AX485" s="66" t="s">
        <v>87</v>
      </c>
      <c r="AY485" s="58">
        <v>8</v>
      </c>
    </row>
    <row r="486" spans="1:51" ht="16.5" thickBot="1">
      <c r="A486" s="57">
        <f t="shared" si="27"/>
        <v>484</v>
      </c>
      <c r="B486" s="64" t="s">
        <v>58</v>
      </c>
      <c r="E486" s="99">
        <f t="shared" si="63"/>
        <v>1767222894.0000002</v>
      </c>
      <c r="G486" s="99">
        <f t="shared" si="64"/>
        <v>1964229342.0456767</v>
      </c>
      <c r="I486" s="96"/>
      <c r="J486" s="96"/>
      <c r="K486" s="97">
        <f t="shared" si="65"/>
        <v>87022854.35886955</v>
      </c>
      <c r="M486" s="97">
        <f t="shared" si="66"/>
        <v>96635356</v>
      </c>
      <c r="O486" s="96"/>
      <c r="P486" s="96"/>
      <c r="Q486" s="97">
        <f>SUM(Q475:Q485)</f>
        <v>101183507</v>
      </c>
      <c r="R486" s="85" t="s">
        <v>59</v>
      </c>
      <c r="S486" s="86">
        <f>Q486+Q1125</f>
        <v>101669900</v>
      </c>
      <c r="AG486" s="37"/>
      <c r="AH486" s="37"/>
      <c r="AU486" s="96"/>
      <c r="AV486" s="96"/>
      <c r="AW486" s="97">
        <f t="shared" si="68"/>
        <v>81459359.35886955</v>
      </c>
      <c r="AX486" s="66" t="s">
        <v>87</v>
      </c>
      <c r="AY486" s="58">
        <v>8</v>
      </c>
    </row>
    <row r="487" spans="1:51" ht="16.5" thickTop="1">
      <c r="A487" s="57">
        <f t="shared" si="27"/>
        <v>485</v>
      </c>
      <c r="B487" s="64" t="s">
        <v>60</v>
      </c>
      <c r="E487" s="59"/>
      <c r="G487" s="59"/>
      <c r="I487" s="76"/>
      <c r="J487" s="26">
        <f>K487/SUM(K476:K484)</f>
        <v>0</v>
      </c>
      <c r="K487" s="81">
        <f t="shared" si="65"/>
        <v>0</v>
      </c>
      <c r="M487" s="81">
        <f t="shared" si="66"/>
        <v>0</v>
      </c>
      <c r="O487" s="76"/>
      <c r="P487" s="26">
        <f>J487</f>
        <v>0</v>
      </c>
      <c r="Q487" s="81">
        <f>ROUND(SUM(Q476:Q484)*P487,0)</f>
        <v>0</v>
      </c>
      <c r="R487" s="88" t="s">
        <v>61</v>
      </c>
      <c r="S487" s="89">
        <v>101669599.5436549</v>
      </c>
      <c r="AG487" s="37"/>
      <c r="AH487" s="37"/>
      <c r="AU487" s="76"/>
      <c r="AV487" s="26">
        <f>AW487/SUM(AW476:AW484)</f>
        <v>0.03531150828124024</v>
      </c>
      <c r="AW487" s="81">
        <f t="shared" si="68"/>
        <v>2872355</v>
      </c>
      <c r="AX487" s="66" t="s">
        <v>87</v>
      </c>
      <c r="AY487" s="58">
        <v>8</v>
      </c>
    </row>
    <row r="488" spans="1:51" ht="15.75">
      <c r="A488" s="57">
        <f t="shared" si="27"/>
        <v>486</v>
      </c>
      <c r="B488" s="64" t="s">
        <v>62</v>
      </c>
      <c r="E488" s="59"/>
      <c r="G488" s="59"/>
      <c r="I488" s="76"/>
      <c r="J488" s="26">
        <f>K488/SUM(K476:K484)</f>
        <v>0.030009111139120682</v>
      </c>
      <c r="K488" s="81">
        <f t="shared" si="65"/>
        <v>2607996</v>
      </c>
      <c r="M488" s="81">
        <f t="shared" si="66"/>
        <v>2898706</v>
      </c>
      <c r="O488" s="76"/>
      <c r="P488" s="26">
        <f>J488</f>
        <v>0.030009111139120682</v>
      </c>
      <c r="Q488" s="81">
        <f>ROUND(SUM(Q476:Q484,Q487)*P488,0)</f>
        <v>3035141</v>
      </c>
      <c r="R488" s="90" t="s">
        <v>515</v>
      </c>
      <c r="S488" s="91">
        <f>S487-S486</f>
        <v>-300.4563450962305</v>
      </c>
      <c r="T488" s="37"/>
      <c r="U488" s="37"/>
      <c r="V488" s="37"/>
      <c r="AG488" s="37"/>
      <c r="AH488" s="37"/>
      <c r="AU488" s="76"/>
      <c r="AV488" s="26">
        <f>AW488/SUM(AW476:AW484)</f>
        <v>0</v>
      </c>
      <c r="AW488" s="81">
        <f t="shared" si="68"/>
        <v>0</v>
      </c>
      <c r="AX488" s="66" t="s">
        <v>87</v>
      </c>
      <c r="AY488" s="58">
        <v>8</v>
      </c>
    </row>
    <row r="489" spans="1:51" ht="15.75">
      <c r="A489" s="57">
        <f t="shared" si="27"/>
        <v>487</v>
      </c>
      <c r="AG489" s="37"/>
      <c r="AH489" s="37"/>
      <c r="AX489" s="66" t="s">
        <v>87</v>
      </c>
      <c r="AY489" s="58">
        <v>8</v>
      </c>
    </row>
    <row r="490" spans="1:51" ht="15.75">
      <c r="A490" s="57">
        <f t="shared" si="27"/>
        <v>488</v>
      </c>
      <c r="AG490" s="37"/>
      <c r="AH490" s="37"/>
      <c r="AX490" s="66" t="s">
        <v>87</v>
      </c>
      <c r="AY490" s="58">
        <v>8</v>
      </c>
    </row>
    <row r="491" spans="1:51" ht="15.75">
      <c r="A491" s="57">
        <f t="shared" si="27"/>
        <v>489</v>
      </c>
      <c r="B491" s="64" t="s">
        <v>195</v>
      </c>
      <c r="AG491" s="37"/>
      <c r="AH491" s="37"/>
      <c r="AX491" s="66" t="s">
        <v>99</v>
      </c>
      <c r="AY491" s="58">
        <v>8</v>
      </c>
    </row>
    <row r="492" spans="1:51" ht="15.75">
      <c r="A492" s="57">
        <f aca="true" t="shared" si="69" ref="A492:A555">A491+1</f>
        <v>490</v>
      </c>
      <c r="B492" s="103" t="s">
        <v>200</v>
      </c>
      <c r="E492" s="59"/>
      <c r="G492" s="59"/>
      <c r="AG492" s="37"/>
      <c r="AH492" s="37"/>
      <c r="AX492" s="66" t="s">
        <v>99</v>
      </c>
      <c r="AY492" s="58">
        <v>8</v>
      </c>
    </row>
    <row r="493" spans="1:51" ht="15.75">
      <c r="A493" s="57">
        <f t="shared" si="69"/>
        <v>491</v>
      </c>
      <c r="B493" s="98" t="s">
        <v>201</v>
      </c>
      <c r="E493" s="59"/>
      <c r="G493" s="59"/>
      <c r="AG493" s="37"/>
      <c r="AH493" s="37"/>
      <c r="AX493" s="66" t="s">
        <v>99</v>
      </c>
      <c r="AY493" s="58">
        <v>8</v>
      </c>
    </row>
    <row r="494" spans="1:51" ht="15.75">
      <c r="A494" s="57">
        <f t="shared" si="69"/>
        <v>492</v>
      </c>
      <c r="B494" s="64" t="s">
        <v>44</v>
      </c>
      <c r="E494" s="59">
        <f>1263+66</f>
        <v>1329</v>
      </c>
      <c r="G494" s="59">
        <v>1441.878174298841</v>
      </c>
      <c r="I494" s="76">
        <f>Blocking!$I279</f>
        <v>14.74</v>
      </c>
      <c r="K494" s="66">
        <f aca="true" t="shared" si="70" ref="K494:K499">ROUND(I494*$E494,0)</f>
        <v>19589</v>
      </c>
      <c r="M494" s="66">
        <f aca="true" t="shared" si="71" ref="M494:M499">ROUND(I494*$G494,0)</f>
        <v>21253</v>
      </c>
      <c r="O494" s="76">
        <f aca="true" t="shared" si="72" ref="O494:O499">O475</f>
        <v>15</v>
      </c>
      <c r="Q494" s="66">
        <f aca="true" t="shared" si="73" ref="Q494:Q499">ROUND(O494*$G494,0)</f>
        <v>21628</v>
      </c>
      <c r="R494" s="27" t="s">
        <v>202</v>
      </c>
      <c r="AG494" s="37"/>
      <c r="AH494" s="37"/>
      <c r="AU494" s="76">
        <f>Blocking!$AU279</f>
        <v>14.74</v>
      </c>
      <c r="AW494" s="66">
        <f aca="true" t="shared" si="74" ref="AW494:AW499">ROUND(AU494*$E494,0)</f>
        <v>19589</v>
      </c>
      <c r="AX494" s="66" t="s">
        <v>99</v>
      </c>
      <c r="AY494" s="58">
        <v>8</v>
      </c>
    </row>
    <row r="495" spans="1:51" ht="15.75">
      <c r="A495" s="57">
        <f t="shared" si="69"/>
        <v>493</v>
      </c>
      <c r="B495" s="64" t="s">
        <v>196</v>
      </c>
      <c r="E495" s="59">
        <v>838347.0827164832</v>
      </c>
      <c r="G495" s="59">
        <f aca="true" t="shared" si="75" ref="G495:G503">E495*($G$505-$G$504)/($E$505-$E$504)</f>
        <v>931279.9658201837</v>
      </c>
      <c r="I495" s="76">
        <v>0</v>
      </c>
      <c r="K495" s="66">
        <f t="shared" si="70"/>
        <v>0</v>
      </c>
      <c r="M495" s="66">
        <f t="shared" si="71"/>
        <v>0</v>
      </c>
      <c r="O495" s="76">
        <f t="shared" si="72"/>
        <v>10.29</v>
      </c>
      <c r="Q495" s="66">
        <f t="shared" si="73"/>
        <v>9582871</v>
      </c>
      <c r="R495" s="69">
        <f>ROUND(((M476+M478+M1105+M1107+M477+M479+M1106+M1108)/2-O478*G478-O1107*G1107)/(G476+G1105),2)</f>
        <v>7.69</v>
      </c>
      <c r="S495" s="69">
        <f>I261-O478</f>
        <v>7.51</v>
      </c>
      <c r="T495" s="70"/>
      <c r="U495" s="66"/>
      <c r="V495" s="17"/>
      <c r="AG495" s="37"/>
      <c r="AH495" s="37"/>
      <c r="AU495" s="76">
        <v>0</v>
      </c>
      <c r="AW495" s="66">
        <f t="shared" si="74"/>
        <v>0</v>
      </c>
      <c r="AX495" s="66" t="s">
        <v>99</v>
      </c>
      <c r="AY495" s="58">
        <v>8</v>
      </c>
    </row>
    <row r="496" spans="1:51" ht="15.75">
      <c r="A496" s="57">
        <f t="shared" si="69"/>
        <v>494</v>
      </c>
      <c r="B496" s="64" t="s">
        <v>197</v>
      </c>
      <c r="E496" s="59">
        <v>1039375.4069037958</v>
      </c>
      <c r="G496" s="59">
        <f t="shared" si="75"/>
        <v>1154592.7854597818</v>
      </c>
      <c r="I496" s="76">
        <v>0</v>
      </c>
      <c r="K496" s="66">
        <f t="shared" si="70"/>
        <v>0</v>
      </c>
      <c r="M496" s="66">
        <f t="shared" si="71"/>
        <v>0</v>
      </c>
      <c r="O496" s="76">
        <f t="shared" si="72"/>
        <v>7.42</v>
      </c>
      <c r="Q496" s="66">
        <f t="shared" si="73"/>
        <v>8567078</v>
      </c>
      <c r="R496" s="69">
        <f>ROUND(((M476+M478+M1105+M1107+M477+M479+M1106+M1108)/2-O479*G479-O1108*G1108)/(G477+G1106),2)</f>
        <v>5</v>
      </c>
      <c r="S496" s="69">
        <f>I262-O479</f>
        <v>5.41</v>
      </c>
      <c r="T496" s="70"/>
      <c r="U496" s="66"/>
      <c r="V496" s="17"/>
      <c r="AG496" s="37"/>
      <c r="AH496" s="37"/>
      <c r="AU496" s="76">
        <v>0</v>
      </c>
      <c r="AW496" s="66">
        <f t="shared" si="74"/>
        <v>0</v>
      </c>
      <c r="AX496" s="66" t="s">
        <v>99</v>
      </c>
      <c r="AY496" s="58">
        <v>8</v>
      </c>
    </row>
    <row r="497" spans="1:51" ht="15.75">
      <c r="A497" s="57">
        <f t="shared" si="69"/>
        <v>495</v>
      </c>
      <c r="B497" s="64" t="s">
        <v>198</v>
      </c>
      <c r="E497" s="59">
        <f>787793+67450</f>
        <v>855243</v>
      </c>
      <c r="G497" s="59">
        <f t="shared" si="75"/>
        <v>950048.8380387271</v>
      </c>
      <c r="I497" s="76">
        <f>Blocking!$I280</f>
        <v>10.66</v>
      </c>
      <c r="K497" s="66">
        <f t="shared" si="70"/>
        <v>9116890</v>
      </c>
      <c r="M497" s="66">
        <f t="shared" si="71"/>
        <v>10127521</v>
      </c>
      <c r="O497" s="76">
        <f t="shared" si="72"/>
        <v>3.15</v>
      </c>
      <c r="Q497" s="66">
        <f t="shared" si="73"/>
        <v>2992654</v>
      </c>
      <c r="AG497" s="37"/>
      <c r="AH497" s="37"/>
      <c r="AU497" s="76">
        <f>Blocking!$AU281</f>
        <v>8.1</v>
      </c>
      <c r="AW497" s="66">
        <f t="shared" si="74"/>
        <v>6927468</v>
      </c>
      <c r="AX497" s="66" t="s">
        <v>99</v>
      </c>
      <c r="AY497" s="58">
        <v>8</v>
      </c>
    </row>
    <row r="498" spans="1:51" ht="15.75">
      <c r="A498" s="57">
        <f t="shared" si="69"/>
        <v>496</v>
      </c>
      <c r="B498" s="64" t="s">
        <v>199</v>
      </c>
      <c r="E498" s="59">
        <f>1748279+151047-E497</f>
        <v>1044083</v>
      </c>
      <c r="G498" s="59">
        <f t="shared" si="75"/>
        <v>1159822.2270933385</v>
      </c>
      <c r="I498" s="76">
        <f>Blocking!$I281</f>
        <v>8.56</v>
      </c>
      <c r="K498" s="66">
        <f t="shared" si="70"/>
        <v>8937350</v>
      </c>
      <c r="M498" s="66">
        <f t="shared" si="71"/>
        <v>9928078</v>
      </c>
      <c r="O498" s="76">
        <f t="shared" si="72"/>
        <v>3.15</v>
      </c>
      <c r="Q498" s="66">
        <f t="shared" si="73"/>
        <v>3653440</v>
      </c>
      <c r="S498" s="69">
        <f>I263</f>
        <v>-0.54</v>
      </c>
      <c r="T498" s="93">
        <f>2.7737*0.95+1</f>
        <v>3.6350149999999997</v>
      </c>
      <c r="AG498" s="37"/>
      <c r="AH498" s="37"/>
      <c r="AU498" s="76">
        <f>Blocking!$AU281</f>
        <v>8.1</v>
      </c>
      <c r="AW498" s="66">
        <f t="shared" si="74"/>
        <v>8457072</v>
      </c>
      <c r="AX498" s="66" t="s">
        <v>99</v>
      </c>
      <c r="AY498" s="58">
        <v>8</v>
      </c>
    </row>
    <row r="499" spans="1:51" ht="15.75">
      <c r="A499" s="57">
        <f t="shared" si="69"/>
        <v>497</v>
      </c>
      <c r="B499" s="64" t="s">
        <v>93</v>
      </c>
      <c r="E499" s="59">
        <v>646403</v>
      </c>
      <c r="G499" s="59">
        <f t="shared" si="75"/>
        <v>718058.398671193</v>
      </c>
      <c r="I499" s="76">
        <f>Blocking!$I282</f>
        <v>-0.54</v>
      </c>
      <c r="K499" s="66">
        <f t="shared" si="70"/>
        <v>-349058</v>
      </c>
      <c r="M499" s="66">
        <f t="shared" si="71"/>
        <v>-387752</v>
      </c>
      <c r="O499" s="76">
        <f t="shared" si="72"/>
        <v>-0.75</v>
      </c>
      <c r="Q499" s="66">
        <f t="shared" si="73"/>
        <v>-538544</v>
      </c>
      <c r="R499" s="69">
        <f>I499</f>
        <v>-0.54</v>
      </c>
      <c r="T499" s="93"/>
      <c r="U499" s="66"/>
      <c r="V499" s="17"/>
      <c r="AG499" s="37"/>
      <c r="AH499" s="37"/>
      <c r="AU499" s="76">
        <f>Blocking!$AU282</f>
        <v>-0.54</v>
      </c>
      <c r="AW499" s="66">
        <f t="shared" si="74"/>
        <v>-349058</v>
      </c>
      <c r="AX499" s="66" t="s">
        <v>99</v>
      </c>
      <c r="AY499" s="58">
        <v>8</v>
      </c>
    </row>
    <row r="500" spans="1:51" ht="15.75">
      <c r="A500" s="57">
        <f t="shared" si="69"/>
        <v>498</v>
      </c>
      <c r="B500" s="64" t="s">
        <v>69</v>
      </c>
      <c r="E500" s="59">
        <v>102479490.92024799</v>
      </c>
      <c r="G500" s="59">
        <f t="shared" si="75"/>
        <v>113839600.29089028</v>
      </c>
      <c r="I500" s="76"/>
      <c r="J500" s="93">
        <f>Blocking!$J283</f>
        <v>2.7737</v>
      </c>
      <c r="K500" s="66">
        <f>ROUND(J500*$E500/100,0)</f>
        <v>2842474</v>
      </c>
      <c r="M500" s="66">
        <f>ROUND(J500*$G500/100,0)</f>
        <v>3157569</v>
      </c>
      <c r="O500" s="76"/>
      <c r="P500" s="93">
        <f>P481</f>
        <v>3.2775999999999996</v>
      </c>
      <c r="Q500" s="66">
        <f>ROUND(P500*$G500/100,0)</f>
        <v>3731207</v>
      </c>
      <c r="S500" s="68">
        <f>ROUND(P264+(SUM(G482+G484+G483*0.7+G1111+G1113+G1112*0.7)/100)*100/SUM(G481:G484,G1110:G1113),4)</f>
        <v>3.3639</v>
      </c>
      <c r="T500" s="70"/>
      <c r="U500" s="66"/>
      <c r="V500" s="17"/>
      <c r="AG500" s="37"/>
      <c r="AH500" s="37"/>
      <c r="AU500" s="76"/>
      <c r="AV500" s="93">
        <f>Blocking!$AV283</f>
        <v>2.7737</v>
      </c>
      <c r="AW500" s="66">
        <f>ROUND(AV500*$E500/100,0)</f>
        <v>2842474</v>
      </c>
      <c r="AX500" s="66" t="s">
        <v>99</v>
      </c>
      <c r="AY500" s="58">
        <v>8</v>
      </c>
    </row>
    <row r="501" spans="1:51" ht="15.75">
      <c r="A501" s="57">
        <f t="shared" si="69"/>
        <v>499</v>
      </c>
      <c r="B501" s="64" t="s">
        <v>71</v>
      </c>
      <c r="E501" s="59">
        <v>276659413.079752</v>
      </c>
      <c r="G501" s="59">
        <f t="shared" si="75"/>
        <v>307327804.99681914</v>
      </c>
      <c r="I501" s="76"/>
      <c r="J501" s="93">
        <f>J500</f>
        <v>2.7737</v>
      </c>
      <c r="K501" s="66">
        <f>ROUND(J501*$E501/100,0)</f>
        <v>7673702</v>
      </c>
      <c r="M501" s="66">
        <f>ROUND(J501*$G501/100,0)</f>
        <v>8524351</v>
      </c>
      <c r="O501" s="76"/>
      <c r="P501" s="93">
        <f>P482</f>
        <v>2.2775999999999996</v>
      </c>
      <c r="Q501" s="66">
        <f>ROUND(P501*$G501/100,0)</f>
        <v>6999698</v>
      </c>
      <c r="S501" s="68"/>
      <c r="T501" s="70"/>
      <c r="U501" s="66"/>
      <c r="V501" s="17"/>
      <c r="AG501" s="37"/>
      <c r="AH501" s="37"/>
      <c r="AU501" s="76"/>
      <c r="AV501" s="93">
        <f>AV500</f>
        <v>2.7737</v>
      </c>
      <c r="AW501" s="66">
        <f>ROUND(AV501*$E501/100,0)</f>
        <v>7673702</v>
      </c>
      <c r="AX501" s="66" t="s">
        <v>99</v>
      </c>
      <c r="AY501" s="58">
        <v>8</v>
      </c>
    </row>
    <row r="502" spans="1:51" ht="15.75">
      <c r="A502" s="57">
        <f t="shared" si="69"/>
        <v>500</v>
      </c>
      <c r="B502" s="64" t="s">
        <v>139</v>
      </c>
      <c r="E502" s="59">
        <v>255252646.3794512</v>
      </c>
      <c r="G502" s="59">
        <f t="shared" si="75"/>
        <v>283548044.3559406</v>
      </c>
      <c r="I502" s="76"/>
      <c r="J502" s="93">
        <f>J501</f>
        <v>2.7737</v>
      </c>
      <c r="K502" s="66">
        <f>ROUND(J502*$E502/100,0)</f>
        <v>7079943</v>
      </c>
      <c r="M502" s="66">
        <f>ROUND(J502*$G502/100,0)</f>
        <v>7864772</v>
      </c>
      <c r="O502" s="76"/>
      <c r="P502" s="93">
        <f>P483</f>
        <v>2.5775999999999994</v>
      </c>
      <c r="Q502" s="66">
        <f>ROUND(P502*$G502/100,0)</f>
        <v>7308734</v>
      </c>
      <c r="S502" s="68"/>
      <c r="T502" s="70"/>
      <c r="U502" s="66"/>
      <c r="V502" s="17"/>
      <c r="AG502" s="37"/>
      <c r="AH502" s="37"/>
      <c r="AU502" s="76"/>
      <c r="AV502" s="93">
        <f>AV501</f>
        <v>2.7737</v>
      </c>
      <c r="AW502" s="66">
        <f>ROUND(AV502*$E502/100,0)</f>
        <v>7079943</v>
      </c>
      <c r="AX502" s="66" t="s">
        <v>99</v>
      </c>
      <c r="AY502" s="58">
        <v>8</v>
      </c>
    </row>
    <row r="503" spans="1:51" ht="15.75">
      <c r="A503" s="57">
        <f t="shared" si="69"/>
        <v>501</v>
      </c>
      <c r="B503" s="64" t="s">
        <v>74</v>
      </c>
      <c r="E503" s="59">
        <v>220019285.62054878</v>
      </c>
      <c r="G503" s="59">
        <f t="shared" si="75"/>
        <v>244408976.92224684</v>
      </c>
      <c r="I503" s="76"/>
      <c r="J503" s="93">
        <f>J502</f>
        <v>2.7737</v>
      </c>
      <c r="K503" s="66">
        <f>ROUND(J503*$E503/100,0)</f>
        <v>6102675</v>
      </c>
      <c r="M503" s="66">
        <f>ROUND(J503*$G503/100,0)</f>
        <v>6779172</v>
      </c>
      <c r="O503" s="76"/>
      <c r="P503" s="93">
        <f>P484</f>
        <v>2.2775999999999996</v>
      </c>
      <c r="Q503" s="66">
        <f>ROUND(P503*$G503/100,0)</f>
        <v>5566659</v>
      </c>
      <c r="S503" s="68"/>
      <c r="T503" s="70"/>
      <c r="U503" s="66"/>
      <c r="V503" s="17"/>
      <c r="AG503" s="37"/>
      <c r="AH503" s="37"/>
      <c r="AU503" s="76"/>
      <c r="AV503" s="93">
        <f>AV502</f>
        <v>2.7737</v>
      </c>
      <c r="AW503" s="66">
        <f>ROUND(AV503*$E503/100,0)</f>
        <v>6102675</v>
      </c>
      <c r="AX503" s="66" t="s">
        <v>99</v>
      </c>
      <c r="AY503" s="58">
        <v>8</v>
      </c>
    </row>
    <row r="504" spans="1:51" ht="15.75">
      <c r="A504" s="57">
        <f t="shared" si="69"/>
        <v>502</v>
      </c>
      <c r="B504" s="64" t="s">
        <v>57</v>
      </c>
      <c r="E504" s="78">
        <v>1792692.0504979205</v>
      </c>
      <c r="G504" s="22">
        <v>0</v>
      </c>
      <c r="I504" s="76"/>
      <c r="K504" s="81">
        <f>AW504</f>
        <v>125680.05731930779</v>
      </c>
      <c r="M504" s="81">
        <v>0</v>
      </c>
      <c r="O504" s="76"/>
      <c r="Q504" s="81">
        <v>0</v>
      </c>
      <c r="AG504" s="37"/>
      <c r="AH504" s="37"/>
      <c r="AU504" s="76"/>
      <c r="AW504" s="81">
        <v>125680.05731930779</v>
      </c>
      <c r="AX504" s="66" t="s">
        <v>99</v>
      </c>
      <c r="AY504" s="58">
        <v>8</v>
      </c>
    </row>
    <row r="505" spans="1:51" ht="16.5" thickBot="1">
      <c r="A505" s="57">
        <f t="shared" si="69"/>
        <v>503</v>
      </c>
      <c r="B505" s="64" t="s">
        <v>58</v>
      </c>
      <c r="E505" s="99">
        <f>SUM(E500:E504)</f>
        <v>856203528.0504979</v>
      </c>
      <c r="G505" s="99">
        <v>949124426.5658969</v>
      </c>
      <c r="I505" s="96"/>
      <c r="J505" s="96"/>
      <c r="K505" s="97">
        <f>SUM(K494:K504)</f>
        <v>41549245.057319306</v>
      </c>
      <c r="M505" s="97">
        <f>SUM(M494:M504)</f>
        <v>46014964</v>
      </c>
      <c r="O505" s="96"/>
      <c r="P505" s="96"/>
      <c r="Q505" s="97">
        <f>SUM(Q494:Q504)</f>
        <v>47885425</v>
      </c>
      <c r="AG505" s="37"/>
      <c r="AH505" s="37"/>
      <c r="AU505" s="96"/>
      <c r="AV505" s="96"/>
      <c r="AW505" s="97">
        <f>SUM(AW494:AW504)</f>
        <v>38879545.057319306</v>
      </c>
      <c r="AX505" s="66" t="s">
        <v>99</v>
      </c>
      <c r="AY505" s="58">
        <v>8</v>
      </c>
    </row>
    <row r="506" spans="1:51" ht="16.5" thickTop="1">
      <c r="A506" s="57">
        <f t="shared" si="69"/>
        <v>504</v>
      </c>
      <c r="B506" s="64" t="s">
        <v>60</v>
      </c>
      <c r="E506" s="59"/>
      <c r="G506" s="59"/>
      <c r="I506" s="76"/>
      <c r="J506" s="26">
        <f>Blocking!$J288</f>
        <v>0</v>
      </c>
      <c r="K506" s="81">
        <f>ROUND(SUM(K495:K503)*J506,0)</f>
        <v>0</v>
      </c>
      <c r="M506" s="81">
        <f>ROUND(SUM(M495:M503)*J506,0)</f>
        <v>0</v>
      </c>
      <c r="O506" s="76"/>
      <c r="P506" s="26">
        <f>P487</f>
        <v>0</v>
      </c>
      <c r="Q506" s="81">
        <f>ROUND(SUM(Q495:Q503)*P506,0)</f>
        <v>0</v>
      </c>
      <c r="AG506" s="37"/>
      <c r="AH506" s="37"/>
      <c r="AU506" s="76"/>
      <c r="AV506" s="26">
        <f>Blocking!$AV288</f>
        <v>0.0353</v>
      </c>
      <c r="AW506" s="81">
        <f>ROUND(SUM(AW495:AW503)*AV506,0)</f>
        <v>1367320</v>
      </c>
      <c r="AX506" s="66" t="s">
        <v>99</v>
      </c>
      <c r="AY506" s="58">
        <v>8</v>
      </c>
    </row>
    <row r="507" spans="1:51" ht="15.75">
      <c r="A507" s="57">
        <f t="shared" si="69"/>
        <v>505</v>
      </c>
      <c r="B507" s="64" t="s">
        <v>62</v>
      </c>
      <c r="E507" s="59"/>
      <c r="G507" s="59"/>
      <c r="I507" s="76"/>
      <c r="J507" s="26">
        <f>Blocking!$J289</f>
        <v>0.03</v>
      </c>
      <c r="K507" s="81">
        <f>ROUND(SUM(K495:K503,K506)*J507,0)</f>
        <v>1242119</v>
      </c>
      <c r="M507" s="81">
        <f>ROUND(SUM(M495:M503,M506)*J507,0)</f>
        <v>1379811</v>
      </c>
      <c r="O507" s="76"/>
      <c r="P507" s="26">
        <f>P488</f>
        <v>0.030009111139120682</v>
      </c>
      <c r="Q507" s="81">
        <f>ROUND(SUM(Q495:Q503,Q506)*P507,0)</f>
        <v>1436350</v>
      </c>
      <c r="S507" s="37"/>
      <c r="T507" s="37"/>
      <c r="U507" s="37"/>
      <c r="V507" s="37"/>
      <c r="AG507" s="37"/>
      <c r="AH507" s="37"/>
      <c r="AU507" s="76"/>
      <c r="AV507" s="26">
        <f>Blocking!$AV289</f>
        <v>0</v>
      </c>
      <c r="AW507" s="81">
        <f>ROUND(SUM(AW495:AW503,AW506)*AV507,0)</f>
        <v>0</v>
      </c>
      <c r="AX507" s="66" t="s">
        <v>99</v>
      </c>
      <c r="AY507" s="58">
        <v>8</v>
      </c>
    </row>
    <row r="508" spans="1:51" ht="15.75">
      <c r="A508" s="57">
        <f t="shared" si="69"/>
        <v>506</v>
      </c>
      <c r="AG508" s="37"/>
      <c r="AH508" s="37"/>
      <c r="AX508" s="66" t="s">
        <v>99</v>
      </c>
      <c r="AY508" s="58">
        <v>8</v>
      </c>
    </row>
    <row r="509" spans="1:51" ht="15.75">
      <c r="A509" s="57">
        <f t="shared" si="69"/>
        <v>507</v>
      </c>
      <c r="AG509" s="37"/>
      <c r="AH509" s="37"/>
      <c r="AX509" s="66" t="s">
        <v>99</v>
      </c>
      <c r="AY509" s="58">
        <v>8</v>
      </c>
    </row>
    <row r="510" spans="1:51" ht="15.75">
      <c r="A510" s="57">
        <f t="shared" si="69"/>
        <v>508</v>
      </c>
      <c r="B510" s="64" t="s">
        <v>195</v>
      </c>
      <c r="AG510" s="37"/>
      <c r="AH510" s="37"/>
      <c r="AX510" s="66" t="s">
        <v>108</v>
      </c>
      <c r="AY510" s="58">
        <v>8</v>
      </c>
    </row>
    <row r="511" spans="1:51" ht="15.75">
      <c r="A511" s="57">
        <f t="shared" si="69"/>
        <v>509</v>
      </c>
      <c r="B511" s="103" t="s">
        <v>203</v>
      </c>
      <c r="E511" s="59"/>
      <c r="G511" s="59"/>
      <c r="AG511" s="37"/>
      <c r="AH511" s="37"/>
      <c r="AX511" s="66" t="s">
        <v>108</v>
      </c>
      <c r="AY511" s="58">
        <v>8</v>
      </c>
    </row>
    <row r="512" spans="1:51" ht="15.75">
      <c r="A512" s="57">
        <f t="shared" si="69"/>
        <v>510</v>
      </c>
      <c r="B512" s="98" t="s">
        <v>201</v>
      </c>
      <c r="E512" s="59"/>
      <c r="G512" s="59"/>
      <c r="AG512" s="37"/>
      <c r="AH512" s="37"/>
      <c r="AX512" s="66" t="s">
        <v>108</v>
      </c>
      <c r="AY512" s="58">
        <v>8</v>
      </c>
    </row>
    <row r="513" spans="1:51" ht="15.75">
      <c r="A513" s="57">
        <f t="shared" si="69"/>
        <v>511</v>
      </c>
      <c r="B513" s="64" t="s">
        <v>44</v>
      </c>
      <c r="E513" s="59">
        <f>1053+48</f>
        <v>1101</v>
      </c>
      <c r="G513" s="59">
        <v>1194.5130699044576</v>
      </c>
      <c r="I513" s="76">
        <f aca="true" t="shared" si="76" ref="I513:I518">I494</f>
        <v>14.74</v>
      </c>
      <c r="K513" s="66">
        <f aca="true" t="shared" si="77" ref="K513:K518">ROUND(I513*$E513,0)</f>
        <v>16229</v>
      </c>
      <c r="M513" s="66">
        <f aca="true" t="shared" si="78" ref="M513:M518">ROUND(I513*$G513,0)</f>
        <v>17607</v>
      </c>
      <c r="O513" s="76">
        <f aca="true" t="shared" si="79" ref="O513:O518">O494</f>
        <v>15</v>
      </c>
      <c r="Q513" s="66">
        <f aca="true" t="shared" si="80" ref="Q513:Q518">ROUND(O513*$G513,0)</f>
        <v>17918</v>
      </c>
      <c r="AG513" s="37"/>
      <c r="AH513" s="37"/>
      <c r="AU513" s="76">
        <f aca="true" t="shared" si="81" ref="AU513:AU518">AU494</f>
        <v>14.74</v>
      </c>
      <c r="AW513" s="66">
        <f aca="true" t="shared" si="82" ref="AW513:AW518">ROUND(AU513*$E513,0)</f>
        <v>16229</v>
      </c>
      <c r="AX513" s="66" t="s">
        <v>108</v>
      </c>
      <c r="AY513" s="58">
        <v>8</v>
      </c>
    </row>
    <row r="514" spans="1:51" ht="15.75">
      <c r="A514" s="57">
        <f t="shared" si="69"/>
        <v>512</v>
      </c>
      <c r="B514" s="64" t="s">
        <v>196</v>
      </c>
      <c r="E514" s="59">
        <v>804265.9486155473</v>
      </c>
      <c r="G514" s="59">
        <f aca="true" t="shared" si="83" ref="G514:G522">E514*($G$524-$G$523)/($E$524-$E$523)</f>
        <v>893420.8522680867</v>
      </c>
      <c r="I514" s="76">
        <f t="shared" si="76"/>
        <v>0</v>
      </c>
      <c r="K514" s="66">
        <f t="shared" si="77"/>
        <v>0</v>
      </c>
      <c r="M514" s="66">
        <f t="shared" si="78"/>
        <v>0</v>
      </c>
      <c r="O514" s="76">
        <f t="shared" si="79"/>
        <v>10.29</v>
      </c>
      <c r="Q514" s="66">
        <f t="shared" si="80"/>
        <v>9193301</v>
      </c>
      <c r="AG514" s="37"/>
      <c r="AH514" s="37"/>
      <c r="AU514" s="76">
        <f t="shared" si="81"/>
        <v>0</v>
      </c>
      <c r="AW514" s="66">
        <f t="shared" si="82"/>
        <v>0</v>
      </c>
      <c r="AX514" s="66" t="s">
        <v>108</v>
      </c>
      <c r="AY514" s="58">
        <v>8</v>
      </c>
    </row>
    <row r="515" spans="1:51" ht="15.75">
      <c r="A515" s="57">
        <f t="shared" si="69"/>
        <v>513</v>
      </c>
      <c r="B515" s="64" t="s">
        <v>197</v>
      </c>
      <c r="E515" s="59">
        <v>1088007.1415245724</v>
      </c>
      <c r="G515" s="59">
        <f t="shared" si="83"/>
        <v>1208615.4702035058</v>
      </c>
      <c r="I515" s="76">
        <f t="shared" si="76"/>
        <v>0</v>
      </c>
      <c r="K515" s="66">
        <f t="shared" si="77"/>
        <v>0</v>
      </c>
      <c r="M515" s="66">
        <f t="shared" si="78"/>
        <v>0</v>
      </c>
      <c r="O515" s="76">
        <f t="shared" si="79"/>
        <v>7.42</v>
      </c>
      <c r="Q515" s="66">
        <f t="shared" si="80"/>
        <v>8967927</v>
      </c>
      <c r="AG515" s="37"/>
      <c r="AH515" s="37"/>
      <c r="AU515" s="76">
        <f t="shared" si="81"/>
        <v>0</v>
      </c>
      <c r="AW515" s="66">
        <f t="shared" si="82"/>
        <v>0</v>
      </c>
      <c r="AX515" s="66" t="s">
        <v>108</v>
      </c>
      <c r="AY515" s="58">
        <v>8</v>
      </c>
    </row>
    <row r="516" spans="1:51" ht="15.75">
      <c r="A516" s="57">
        <f t="shared" si="69"/>
        <v>514</v>
      </c>
      <c r="B516" s="64" t="s">
        <v>198</v>
      </c>
      <c r="E516" s="59">
        <f>782020+38455</f>
        <v>820475</v>
      </c>
      <c r="G516" s="59">
        <f t="shared" si="83"/>
        <v>911426.7177747431</v>
      </c>
      <c r="I516" s="76">
        <f t="shared" si="76"/>
        <v>10.66</v>
      </c>
      <c r="K516" s="66">
        <f t="shared" si="77"/>
        <v>8746264</v>
      </c>
      <c r="M516" s="66">
        <f t="shared" si="78"/>
        <v>9715809</v>
      </c>
      <c r="O516" s="76">
        <f t="shared" si="79"/>
        <v>3.15</v>
      </c>
      <c r="Q516" s="66">
        <f t="shared" si="80"/>
        <v>2870994</v>
      </c>
      <c r="AG516" s="37"/>
      <c r="AH516" s="37"/>
      <c r="AU516" s="76">
        <f t="shared" si="81"/>
        <v>8.1</v>
      </c>
      <c r="AW516" s="66">
        <f t="shared" si="82"/>
        <v>6645848</v>
      </c>
      <c r="AX516" s="66" t="s">
        <v>108</v>
      </c>
      <c r="AY516" s="58">
        <v>8</v>
      </c>
    </row>
    <row r="517" spans="1:51" ht="15.75">
      <c r="A517" s="57">
        <f t="shared" si="69"/>
        <v>515</v>
      </c>
      <c r="B517" s="64" t="s">
        <v>199</v>
      </c>
      <c r="E517" s="59">
        <f>1821513+91897-E516</f>
        <v>1092935</v>
      </c>
      <c r="G517" s="59">
        <f t="shared" si="83"/>
        <v>1214089.5941876825</v>
      </c>
      <c r="I517" s="76">
        <f t="shared" si="76"/>
        <v>8.56</v>
      </c>
      <c r="K517" s="66">
        <f t="shared" si="77"/>
        <v>9355524</v>
      </c>
      <c r="M517" s="66">
        <f t="shared" si="78"/>
        <v>10392607</v>
      </c>
      <c r="O517" s="76">
        <f t="shared" si="79"/>
        <v>3.15</v>
      </c>
      <c r="Q517" s="66">
        <f t="shared" si="80"/>
        <v>3824382</v>
      </c>
      <c r="AG517" s="37"/>
      <c r="AH517" s="37"/>
      <c r="AU517" s="76">
        <f t="shared" si="81"/>
        <v>8.1</v>
      </c>
      <c r="AW517" s="66">
        <f t="shared" si="82"/>
        <v>8852774</v>
      </c>
      <c r="AX517" s="66" t="s">
        <v>108</v>
      </c>
      <c r="AY517" s="58">
        <v>8</v>
      </c>
    </row>
    <row r="518" spans="1:51" ht="15.75">
      <c r="A518" s="57">
        <f t="shared" si="69"/>
        <v>516</v>
      </c>
      <c r="B518" s="64" t="s">
        <v>93</v>
      </c>
      <c r="E518" s="59">
        <v>734931</v>
      </c>
      <c r="G518" s="59">
        <f t="shared" si="83"/>
        <v>816399.9501763121</v>
      </c>
      <c r="I518" s="76">
        <f t="shared" si="76"/>
        <v>-0.54</v>
      </c>
      <c r="K518" s="66">
        <f t="shared" si="77"/>
        <v>-396863</v>
      </c>
      <c r="M518" s="66">
        <f t="shared" si="78"/>
        <v>-440856</v>
      </c>
      <c r="O518" s="76">
        <f t="shared" si="79"/>
        <v>-0.75</v>
      </c>
      <c r="Q518" s="66">
        <f t="shared" si="80"/>
        <v>-612300</v>
      </c>
      <c r="AG518" s="37"/>
      <c r="AH518" s="37"/>
      <c r="AU518" s="76">
        <f t="shared" si="81"/>
        <v>-0.54</v>
      </c>
      <c r="AW518" s="66">
        <f t="shared" si="82"/>
        <v>-396863</v>
      </c>
      <c r="AX518" s="66" t="s">
        <v>108</v>
      </c>
      <c r="AY518" s="58">
        <v>8</v>
      </c>
    </row>
    <row r="519" spans="1:51" ht="15.75">
      <c r="A519" s="57">
        <f t="shared" si="69"/>
        <v>517</v>
      </c>
      <c r="B519" s="64" t="s">
        <v>69</v>
      </c>
      <c r="E519" s="59">
        <v>95246955.47941932</v>
      </c>
      <c r="G519" s="59">
        <f t="shared" si="83"/>
        <v>105805320.10194612</v>
      </c>
      <c r="I519" s="76"/>
      <c r="J519" s="93">
        <f>J500</f>
        <v>2.7737</v>
      </c>
      <c r="K519" s="66">
        <f>ROUND(J519*$E519/100,0)</f>
        <v>2641865</v>
      </c>
      <c r="M519" s="66">
        <f>ROUND(J519*$G519/100,0)</f>
        <v>2934722</v>
      </c>
      <c r="O519" s="76"/>
      <c r="P519" s="93">
        <f>P500</f>
        <v>3.2775999999999996</v>
      </c>
      <c r="Q519" s="66">
        <f>ROUND(P519*$G519/100,0)</f>
        <v>3467875</v>
      </c>
      <c r="AG519" s="37"/>
      <c r="AH519" s="37"/>
      <c r="AU519" s="76"/>
      <c r="AV519" s="93">
        <f>AV500</f>
        <v>2.7737</v>
      </c>
      <c r="AW519" s="66">
        <f>ROUND(AV519*$E519/100,0)</f>
        <v>2641865</v>
      </c>
      <c r="AX519" s="66" t="s">
        <v>108</v>
      </c>
      <c r="AY519" s="58">
        <v>8</v>
      </c>
    </row>
    <row r="520" spans="1:51" ht="15.75">
      <c r="A520" s="57">
        <f t="shared" si="69"/>
        <v>518</v>
      </c>
      <c r="B520" s="64" t="s">
        <v>71</v>
      </c>
      <c r="E520" s="59">
        <v>257134052.52058068</v>
      </c>
      <c r="G520" s="59">
        <f t="shared" si="83"/>
        <v>285638009.1007663</v>
      </c>
      <c r="I520" s="76"/>
      <c r="J520" s="93">
        <f>J501</f>
        <v>2.7737</v>
      </c>
      <c r="K520" s="66">
        <f>ROUND(J520*$E520/100,0)</f>
        <v>7132127</v>
      </c>
      <c r="M520" s="66">
        <f>ROUND(J520*$G520/100,0)</f>
        <v>7922741</v>
      </c>
      <c r="O520" s="76"/>
      <c r="P520" s="93">
        <f>P501</f>
        <v>2.2775999999999996</v>
      </c>
      <c r="Q520" s="66">
        <f>ROUND(P520*$G520/100,0)</f>
        <v>6505691</v>
      </c>
      <c r="AG520" s="37"/>
      <c r="AH520" s="37"/>
      <c r="AU520" s="76"/>
      <c r="AV520" s="93">
        <f>AV501</f>
        <v>2.7737</v>
      </c>
      <c r="AW520" s="66">
        <f>ROUND(AV520*$E520/100,0)</f>
        <v>7132127</v>
      </c>
      <c r="AX520" s="66" t="s">
        <v>108</v>
      </c>
      <c r="AY520" s="58">
        <v>8</v>
      </c>
    </row>
    <row r="521" spans="1:51" ht="15.75">
      <c r="A521" s="57">
        <f t="shared" si="69"/>
        <v>519</v>
      </c>
      <c r="B521" s="64" t="s">
        <v>139</v>
      </c>
      <c r="E521" s="59">
        <v>252613941.8553671</v>
      </c>
      <c r="G521" s="59">
        <f t="shared" si="83"/>
        <v>280616832.797315</v>
      </c>
      <c r="I521" s="76"/>
      <c r="J521" s="93">
        <f>J502</f>
        <v>2.7737</v>
      </c>
      <c r="K521" s="66">
        <f>ROUND(J521*$E521/100,0)</f>
        <v>7006753</v>
      </c>
      <c r="M521" s="66">
        <f>ROUND(J521*$G521/100,0)</f>
        <v>7783469</v>
      </c>
      <c r="O521" s="76"/>
      <c r="P521" s="93">
        <f>P502</f>
        <v>2.5775999999999994</v>
      </c>
      <c r="Q521" s="66">
        <f>ROUND(P521*$G521/100,0)</f>
        <v>7233179</v>
      </c>
      <c r="AG521" s="37"/>
      <c r="AH521" s="37"/>
      <c r="AU521" s="76"/>
      <c r="AV521" s="93">
        <f>AV502</f>
        <v>2.7737</v>
      </c>
      <c r="AW521" s="66">
        <f>ROUND(AV521*$E521/100,0)</f>
        <v>7006753</v>
      </c>
      <c r="AX521" s="66" t="s">
        <v>108</v>
      </c>
      <c r="AY521" s="58">
        <v>8</v>
      </c>
    </row>
    <row r="522" spans="1:51" ht="15.75">
      <c r="A522" s="57">
        <f t="shared" si="69"/>
        <v>520</v>
      </c>
      <c r="B522" s="64" t="s">
        <v>74</v>
      </c>
      <c r="E522" s="59">
        <v>217744810.1446329</v>
      </c>
      <c r="G522" s="59">
        <f t="shared" si="83"/>
        <v>241882370.11805034</v>
      </c>
      <c r="I522" s="76"/>
      <c r="J522" s="93">
        <f>J503</f>
        <v>2.7737</v>
      </c>
      <c r="K522" s="66">
        <f>ROUND(J522*$E522/100,0)</f>
        <v>6039588</v>
      </c>
      <c r="M522" s="66">
        <f>ROUND(J522*$G522/100,0)</f>
        <v>6709091</v>
      </c>
      <c r="O522" s="76"/>
      <c r="P522" s="93">
        <f>P503</f>
        <v>2.2775999999999996</v>
      </c>
      <c r="Q522" s="66">
        <f>ROUND(P522*$G522/100,0)</f>
        <v>5509113</v>
      </c>
      <c r="AG522" s="37"/>
      <c r="AH522" s="37"/>
      <c r="AU522" s="76"/>
      <c r="AV522" s="93">
        <f>AV503</f>
        <v>2.7737</v>
      </c>
      <c r="AW522" s="66">
        <f>ROUND(AV522*$E522/100,0)</f>
        <v>6039588</v>
      </c>
      <c r="AX522" s="66" t="s">
        <v>108</v>
      </c>
      <c r="AY522" s="58">
        <v>8</v>
      </c>
    </row>
    <row r="523" spans="1:51" ht="15.75">
      <c r="A523" s="57">
        <f t="shared" si="69"/>
        <v>521</v>
      </c>
      <c r="B523" s="64" t="s">
        <v>57</v>
      </c>
      <c r="E523" s="78">
        <v>-3121445.5521736667</v>
      </c>
      <c r="G523" s="22">
        <v>0</v>
      </c>
      <c r="I523" s="76"/>
      <c r="K523" s="81">
        <f>AW523</f>
        <v>-77081.1215978467</v>
      </c>
      <c r="M523" s="81">
        <v>0</v>
      </c>
      <c r="O523" s="76"/>
      <c r="Q523" s="81">
        <v>0</v>
      </c>
      <c r="AG523" s="37"/>
      <c r="AH523" s="37"/>
      <c r="AU523" s="76"/>
      <c r="AW523" s="81">
        <v>-77081.1215978467</v>
      </c>
      <c r="AX523" s="66" t="s">
        <v>108</v>
      </c>
      <c r="AY523" s="58">
        <v>8</v>
      </c>
    </row>
    <row r="524" spans="1:51" ht="16.5" thickBot="1">
      <c r="A524" s="57">
        <f t="shared" si="69"/>
        <v>522</v>
      </c>
      <c r="B524" s="64" t="s">
        <v>58</v>
      </c>
      <c r="E524" s="99">
        <f>SUM(E519:E523)</f>
        <v>819618314.4478264</v>
      </c>
      <c r="G524" s="99">
        <v>913942532.1180778</v>
      </c>
      <c r="I524" s="96"/>
      <c r="J524" s="96"/>
      <c r="K524" s="97">
        <f>SUM(K513:K523)</f>
        <v>40464405.87840215</v>
      </c>
      <c r="M524" s="97">
        <f>SUM(M513:M523)</f>
        <v>45035190</v>
      </c>
      <c r="O524" s="96"/>
      <c r="P524" s="96"/>
      <c r="Q524" s="97">
        <f>SUM(Q513:Q523)</f>
        <v>46978080</v>
      </c>
      <c r="AG524" s="37"/>
      <c r="AH524" s="37"/>
      <c r="AU524" s="96"/>
      <c r="AV524" s="96"/>
      <c r="AW524" s="97">
        <f>SUM(AW513:AW523)</f>
        <v>37861239.87840215</v>
      </c>
      <c r="AX524" s="66" t="s">
        <v>108</v>
      </c>
      <c r="AY524" s="58">
        <v>8</v>
      </c>
    </row>
    <row r="525" spans="1:51" ht="16.5" thickTop="1">
      <c r="A525" s="57">
        <f t="shared" si="69"/>
        <v>523</v>
      </c>
      <c r="B525" s="64" t="s">
        <v>60</v>
      </c>
      <c r="E525" s="59"/>
      <c r="G525" s="59"/>
      <c r="I525" s="76"/>
      <c r="J525" s="26">
        <f>J506</f>
        <v>0</v>
      </c>
      <c r="K525" s="81">
        <f>ROUND(SUM(K514:K522)*J525,0)</f>
        <v>0</v>
      </c>
      <c r="M525" s="81">
        <f>ROUND(SUM(M514:M522)*J525,0)</f>
        <v>0</v>
      </c>
      <c r="O525" s="76"/>
      <c r="P525" s="26">
        <f>P506</f>
        <v>0</v>
      </c>
      <c r="Q525" s="81">
        <f>ROUND(SUM(Q514:Q522)*P525,0)</f>
        <v>0</v>
      </c>
      <c r="AG525" s="37"/>
      <c r="AH525" s="37"/>
      <c r="AU525" s="76"/>
      <c r="AV525" s="26">
        <f>AV506</f>
        <v>0.0353</v>
      </c>
      <c r="AW525" s="81">
        <f>ROUND(SUM(AW514:AW522)*AV525,0)</f>
        <v>1338650</v>
      </c>
      <c r="AX525" s="66" t="s">
        <v>108</v>
      </c>
      <c r="AY525" s="58">
        <v>8</v>
      </c>
    </row>
    <row r="526" spans="1:51" ht="15.75">
      <c r="A526" s="57">
        <f t="shared" si="69"/>
        <v>524</v>
      </c>
      <c r="B526" s="64" t="s">
        <v>62</v>
      </c>
      <c r="E526" s="59"/>
      <c r="G526" s="59"/>
      <c r="I526" s="76"/>
      <c r="J526" s="26">
        <f>J507</f>
        <v>0.03</v>
      </c>
      <c r="K526" s="81">
        <f>ROUND(SUM(K514:K522,K525)*J526,0)</f>
        <v>1215758</v>
      </c>
      <c r="M526" s="81">
        <f>ROUND(SUM(M514:M522,M525)*J526,0)</f>
        <v>1350527</v>
      </c>
      <c r="O526" s="76"/>
      <c r="P526" s="26">
        <f>P507</f>
        <v>0.030009111139120682</v>
      </c>
      <c r="Q526" s="81">
        <f>ROUND(SUM(Q514:Q522,Q525)*P526,0)</f>
        <v>1409233</v>
      </c>
      <c r="S526" s="37"/>
      <c r="T526" s="37"/>
      <c r="U526" s="37"/>
      <c r="V526" s="37"/>
      <c r="AG526" s="37"/>
      <c r="AH526" s="37"/>
      <c r="AU526" s="76"/>
      <c r="AV526" s="26">
        <f>AV507</f>
        <v>0</v>
      </c>
      <c r="AW526" s="81">
        <f>ROUND(SUM(AW514:AW522,AW525)*AV526,0)</f>
        <v>0</v>
      </c>
      <c r="AX526" s="66" t="s">
        <v>108</v>
      </c>
      <c r="AY526" s="58">
        <v>8</v>
      </c>
    </row>
    <row r="527" spans="1:51" s="37" customFormat="1" ht="15.75">
      <c r="A527" s="57">
        <f t="shared" si="69"/>
        <v>525</v>
      </c>
      <c r="AX527" s="37" t="s">
        <v>108</v>
      </c>
      <c r="AY527" s="58">
        <v>8</v>
      </c>
    </row>
    <row r="528" spans="1:51" s="37" customFormat="1" ht="15.75">
      <c r="A528" s="57">
        <f t="shared" si="69"/>
        <v>526</v>
      </c>
      <c r="AX528" s="37" t="s">
        <v>108</v>
      </c>
      <c r="AY528" s="58">
        <v>8</v>
      </c>
    </row>
    <row r="529" spans="1:51" s="37" customFormat="1" ht="15.75">
      <c r="A529" s="57">
        <f t="shared" si="69"/>
        <v>527</v>
      </c>
      <c r="B529" s="64" t="s">
        <v>195</v>
      </c>
      <c r="AX529" s="37" t="s">
        <v>111</v>
      </c>
      <c r="AY529" s="58">
        <v>8</v>
      </c>
    </row>
    <row r="530" spans="1:51" ht="15.75">
      <c r="A530" s="57">
        <f t="shared" si="69"/>
        <v>528</v>
      </c>
      <c r="B530" s="64" t="s">
        <v>125</v>
      </c>
      <c r="E530" s="59"/>
      <c r="G530" s="59"/>
      <c r="T530" s="37"/>
      <c r="U530" s="37"/>
      <c r="W530" s="37"/>
      <c r="X530" s="37"/>
      <c r="Y530" s="37"/>
      <c r="Z530" s="37"/>
      <c r="AA530" s="37"/>
      <c r="AB530" s="37"/>
      <c r="AC530" s="37"/>
      <c r="AD530" s="37"/>
      <c r="AE530" s="37"/>
      <c r="AG530" s="37"/>
      <c r="AH530" s="37"/>
      <c r="AX530" s="66" t="s">
        <v>111</v>
      </c>
      <c r="AY530" s="58">
        <v>8</v>
      </c>
    </row>
    <row r="531" spans="1:51" ht="15.75">
      <c r="A531" s="57">
        <f t="shared" si="69"/>
        <v>529</v>
      </c>
      <c r="B531" s="103" t="s">
        <v>204</v>
      </c>
      <c r="E531" s="59"/>
      <c r="G531" s="59"/>
      <c r="AG531" s="37"/>
      <c r="AH531" s="37"/>
      <c r="AX531" s="66" t="s">
        <v>111</v>
      </c>
      <c r="AY531" s="58">
        <v>8</v>
      </c>
    </row>
    <row r="532" spans="1:51" ht="15.75">
      <c r="A532" s="57">
        <f t="shared" si="69"/>
        <v>530</v>
      </c>
      <c r="B532" s="98" t="s">
        <v>134</v>
      </c>
      <c r="E532" s="59"/>
      <c r="G532" s="59"/>
      <c r="AG532" s="37"/>
      <c r="AH532" s="37"/>
      <c r="AX532" s="66" t="s">
        <v>111</v>
      </c>
      <c r="AY532" s="58">
        <v>8</v>
      </c>
    </row>
    <row r="533" spans="1:51" ht="15.75">
      <c r="A533" s="57">
        <f t="shared" si="69"/>
        <v>531</v>
      </c>
      <c r="B533" s="64" t="s">
        <v>44</v>
      </c>
      <c r="E533" s="59">
        <v>60</v>
      </c>
      <c r="G533" s="59">
        <v>65.09608010378514</v>
      </c>
      <c r="I533" s="76">
        <f aca="true" t="shared" si="84" ref="I533:I538">I513</f>
        <v>14.74</v>
      </c>
      <c r="K533" s="66">
        <f aca="true" t="shared" si="85" ref="K533:K538">ROUND(I533*$E533,0)</f>
        <v>884</v>
      </c>
      <c r="M533" s="66">
        <f aca="true" t="shared" si="86" ref="M533:M538">ROUND(I533*$G533,0)</f>
        <v>960</v>
      </c>
      <c r="O533" s="76">
        <f aca="true" t="shared" si="87" ref="O533:O538">O513</f>
        <v>15</v>
      </c>
      <c r="Q533" s="66">
        <f aca="true" t="shared" si="88" ref="Q533:Q538">ROUND(O533*$G533,0)</f>
        <v>976</v>
      </c>
      <c r="AG533" s="37"/>
      <c r="AH533" s="37"/>
      <c r="AU533" s="76">
        <f aca="true" t="shared" si="89" ref="AU533:AU538">AU513</f>
        <v>14.74</v>
      </c>
      <c r="AW533" s="66">
        <f aca="true" t="shared" si="90" ref="AW533:AW538">ROUND(AU533*$E533,0)</f>
        <v>884</v>
      </c>
      <c r="AX533" s="66" t="s">
        <v>111</v>
      </c>
      <c r="AY533" s="58">
        <v>8</v>
      </c>
    </row>
    <row r="534" spans="1:51" ht="15.75">
      <c r="A534" s="57">
        <f t="shared" si="69"/>
        <v>532</v>
      </c>
      <c r="B534" s="64" t="s">
        <v>196</v>
      </c>
      <c r="E534" s="59">
        <v>52145.07620896755</v>
      </c>
      <c r="G534" s="59">
        <f aca="true" t="shared" si="91" ref="G534:G542">E534*($G$544-$G$543)/($E$544-$E$543)</f>
        <v>57925.48908528978</v>
      </c>
      <c r="I534" s="76">
        <f t="shared" si="84"/>
        <v>0</v>
      </c>
      <c r="K534" s="66">
        <f t="shared" si="85"/>
        <v>0</v>
      </c>
      <c r="M534" s="66">
        <f t="shared" si="86"/>
        <v>0</v>
      </c>
      <c r="O534" s="76">
        <f t="shared" si="87"/>
        <v>10.29</v>
      </c>
      <c r="Q534" s="66">
        <f t="shared" si="88"/>
        <v>596053</v>
      </c>
      <c r="AG534" s="37"/>
      <c r="AH534" s="37"/>
      <c r="AU534" s="76">
        <f t="shared" si="89"/>
        <v>0</v>
      </c>
      <c r="AW534" s="66">
        <f t="shared" si="90"/>
        <v>0</v>
      </c>
      <c r="AX534" s="66" t="s">
        <v>111</v>
      </c>
      <c r="AY534" s="58">
        <v>8</v>
      </c>
    </row>
    <row r="535" spans="1:51" ht="15.75">
      <c r="A535" s="57">
        <f t="shared" si="69"/>
        <v>533</v>
      </c>
      <c r="B535" s="64" t="s">
        <v>197</v>
      </c>
      <c r="E535" s="59">
        <v>67389.77473089061</v>
      </c>
      <c r="G535" s="59">
        <f t="shared" si="91"/>
        <v>74860.10078863456</v>
      </c>
      <c r="I535" s="76">
        <f t="shared" si="84"/>
        <v>0</v>
      </c>
      <c r="K535" s="66">
        <f t="shared" si="85"/>
        <v>0</v>
      </c>
      <c r="M535" s="66">
        <f t="shared" si="86"/>
        <v>0</v>
      </c>
      <c r="O535" s="76">
        <f t="shared" si="87"/>
        <v>7.42</v>
      </c>
      <c r="Q535" s="66">
        <f t="shared" si="88"/>
        <v>555462</v>
      </c>
      <c r="AG535" s="37"/>
      <c r="AH535" s="37"/>
      <c r="AU535" s="76">
        <f t="shared" si="89"/>
        <v>0</v>
      </c>
      <c r="AW535" s="66">
        <f t="shared" si="90"/>
        <v>0</v>
      </c>
      <c r="AX535" s="66" t="s">
        <v>111</v>
      </c>
      <c r="AY535" s="58">
        <v>8</v>
      </c>
    </row>
    <row r="536" spans="1:51" ht="15.75">
      <c r="A536" s="57">
        <f t="shared" si="69"/>
        <v>534</v>
      </c>
      <c r="B536" s="64" t="s">
        <v>198</v>
      </c>
      <c r="E536" s="59">
        <v>53196</v>
      </c>
      <c r="G536" s="59">
        <f t="shared" si="91"/>
        <v>59092.91042231053</v>
      </c>
      <c r="I536" s="76">
        <f t="shared" si="84"/>
        <v>10.66</v>
      </c>
      <c r="K536" s="66">
        <f t="shared" si="85"/>
        <v>567069</v>
      </c>
      <c r="M536" s="66">
        <f t="shared" si="86"/>
        <v>629930</v>
      </c>
      <c r="O536" s="76">
        <f t="shared" si="87"/>
        <v>3.15</v>
      </c>
      <c r="Q536" s="66">
        <f t="shared" si="88"/>
        <v>186143</v>
      </c>
      <c r="AG536" s="37"/>
      <c r="AH536" s="37"/>
      <c r="AU536" s="76">
        <f t="shared" si="89"/>
        <v>8.1</v>
      </c>
      <c r="AW536" s="66">
        <f t="shared" si="90"/>
        <v>430888</v>
      </c>
      <c r="AX536" s="66" t="s">
        <v>111</v>
      </c>
      <c r="AY536" s="58">
        <v>8</v>
      </c>
    </row>
    <row r="537" spans="1:51" ht="15.75">
      <c r="A537" s="57">
        <f t="shared" si="69"/>
        <v>535</v>
      </c>
      <c r="B537" s="64" t="s">
        <v>199</v>
      </c>
      <c r="E537" s="59">
        <f>120891-E536</f>
        <v>67695</v>
      </c>
      <c r="G537" s="59">
        <f t="shared" si="91"/>
        <v>75199.1610466635</v>
      </c>
      <c r="I537" s="76">
        <f t="shared" si="84"/>
        <v>8.56</v>
      </c>
      <c r="K537" s="66">
        <f t="shared" si="85"/>
        <v>579469</v>
      </c>
      <c r="M537" s="66">
        <f t="shared" si="86"/>
        <v>643705</v>
      </c>
      <c r="O537" s="76">
        <f t="shared" si="87"/>
        <v>3.15</v>
      </c>
      <c r="Q537" s="66">
        <f t="shared" si="88"/>
        <v>236877</v>
      </c>
      <c r="AG537" s="37"/>
      <c r="AH537" s="37"/>
      <c r="AU537" s="76">
        <f t="shared" si="89"/>
        <v>8.1</v>
      </c>
      <c r="AW537" s="66">
        <f t="shared" si="90"/>
        <v>548330</v>
      </c>
      <c r="AX537" s="66" t="s">
        <v>111</v>
      </c>
      <c r="AY537" s="58">
        <v>8</v>
      </c>
    </row>
    <row r="538" spans="1:51" ht="15.75">
      <c r="A538" s="57">
        <f t="shared" si="69"/>
        <v>536</v>
      </c>
      <c r="B538" s="64" t="s">
        <v>93</v>
      </c>
      <c r="E538" s="59">
        <v>120891</v>
      </c>
      <c r="G538" s="59">
        <f t="shared" si="91"/>
        <v>134292.07146897403</v>
      </c>
      <c r="I538" s="76">
        <f t="shared" si="84"/>
        <v>-0.54</v>
      </c>
      <c r="K538" s="66">
        <f t="shared" si="85"/>
        <v>-65281</v>
      </c>
      <c r="M538" s="66">
        <f t="shared" si="86"/>
        <v>-72518</v>
      </c>
      <c r="O538" s="76">
        <f t="shared" si="87"/>
        <v>-0.75</v>
      </c>
      <c r="Q538" s="66">
        <f t="shared" si="88"/>
        <v>-100719</v>
      </c>
      <c r="AG538" s="37"/>
      <c r="AH538" s="37"/>
      <c r="AU538" s="76">
        <f t="shared" si="89"/>
        <v>-0.54</v>
      </c>
      <c r="AW538" s="66">
        <f t="shared" si="90"/>
        <v>-65281</v>
      </c>
      <c r="AX538" s="66" t="s">
        <v>111</v>
      </c>
      <c r="AY538" s="58">
        <v>8</v>
      </c>
    </row>
    <row r="539" spans="1:51" ht="15.75">
      <c r="A539" s="57">
        <f t="shared" si="69"/>
        <v>537</v>
      </c>
      <c r="B539" s="64" t="s">
        <v>69</v>
      </c>
      <c r="E539" s="59">
        <v>6979783.3200873</v>
      </c>
      <c r="G539" s="59">
        <f t="shared" si="91"/>
        <v>7753509.859783743</v>
      </c>
      <c r="I539" s="76"/>
      <c r="J539" s="93">
        <f>J519</f>
        <v>2.7737</v>
      </c>
      <c r="K539" s="66">
        <f>ROUND(J539*$E539/100,0)</f>
        <v>193598</v>
      </c>
      <c r="M539" s="66">
        <f>ROUND(J539*$G539/100,0)</f>
        <v>215059</v>
      </c>
      <c r="O539" s="76"/>
      <c r="P539" s="93">
        <f>P519</f>
        <v>3.2775999999999996</v>
      </c>
      <c r="Q539" s="66">
        <f>ROUND(P539*$G539/100,0)</f>
        <v>254129</v>
      </c>
      <c r="AG539" s="37"/>
      <c r="AH539" s="37"/>
      <c r="AU539" s="76"/>
      <c r="AV539" s="93">
        <f>AV519</f>
        <v>2.7737</v>
      </c>
      <c r="AW539" s="66">
        <f>ROUND(AV539*$E539/100,0)</f>
        <v>193598</v>
      </c>
      <c r="AX539" s="66" t="s">
        <v>111</v>
      </c>
      <c r="AY539" s="58">
        <v>8</v>
      </c>
    </row>
    <row r="540" spans="1:51" ht="15.75">
      <c r="A540" s="57">
        <f t="shared" si="69"/>
        <v>538</v>
      </c>
      <c r="B540" s="64" t="s">
        <v>71</v>
      </c>
      <c r="E540" s="59">
        <v>18843016.6799127</v>
      </c>
      <c r="G540" s="59">
        <f t="shared" si="91"/>
        <v>20931812.481242657</v>
      </c>
      <c r="I540" s="76"/>
      <c r="J540" s="93">
        <f>J520</f>
        <v>2.7737</v>
      </c>
      <c r="K540" s="66">
        <f>ROUND(J540*$E540/100,0)</f>
        <v>522649</v>
      </c>
      <c r="M540" s="66">
        <f>ROUND(J540*$G540/100,0)</f>
        <v>580586</v>
      </c>
      <c r="O540" s="76"/>
      <c r="P540" s="93">
        <f>P520</f>
        <v>2.2775999999999996</v>
      </c>
      <c r="Q540" s="66">
        <f>ROUND(P540*$G540/100,0)</f>
        <v>476743</v>
      </c>
      <c r="AG540" s="37"/>
      <c r="AH540" s="37"/>
      <c r="AU540" s="76"/>
      <c r="AV540" s="93">
        <f>AV520</f>
        <v>2.7737</v>
      </c>
      <c r="AW540" s="66">
        <f>ROUND(AV540*$E540/100,0)</f>
        <v>522649</v>
      </c>
      <c r="AX540" s="66" t="s">
        <v>111</v>
      </c>
      <c r="AY540" s="58">
        <v>8</v>
      </c>
    </row>
    <row r="541" spans="1:51" ht="15.75">
      <c r="A541" s="57">
        <f t="shared" si="69"/>
        <v>539</v>
      </c>
      <c r="B541" s="64" t="s">
        <v>139</v>
      </c>
      <c r="E541" s="59">
        <v>18326106.308645766</v>
      </c>
      <c r="G541" s="59">
        <f t="shared" si="91"/>
        <v>20357601.29495722</v>
      </c>
      <c r="I541" s="76"/>
      <c r="J541" s="93">
        <f>J521</f>
        <v>2.7737</v>
      </c>
      <c r="K541" s="66">
        <f>ROUND(J541*$E541/100,0)</f>
        <v>508311</v>
      </c>
      <c r="M541" s="66">
        <f>ROUND(J541*$G541/100,0)</f>
        <v>564659</v>
      </c>
      <c r="O541" s="76"/>
      <c r="P541" s="93">
        <f>P521</f>
        <v>2.5775999999999994</v>
      </c>
      <c r="Q541" s="66">
        <f>ROUND(P541*$G541/100,0)</f>
        <v>524738</v>
      </c>
      <c r="AG541" s="37"/>
      <c r="AH541" s="37"/>
      <c r="AU541" s="76"/>
      <c r="AV541" s="93">
        <f>AV521</f>
        <v>2.7737</v>
      </c>
      <c r="AW541" s="66">
        <f>ROUND(AV541*$E541/100,0)</f>
        <v>508311</v>
      </c>
      <c r="AX541" s="66" t="s">
        <v>111</v>
      </c>
      <c r="AY541" s="58">
        <v>8</v>
      </c>
    </row>
    <row r="542" spans="1:51" ht="15.75">
      <c r="A542" s="57">
        <f t="shared" si="69"/>
        <v>540</v>
      </c>
      <c r="B542" s="64" t="s">
        <v>74</v>
      </c>
      <c r="E542" s="59">
        <v>15796493.691354234</v>
      </c>
      <c r="G542" s="59">
        <f t="shared" si="91"/>
        <v>17547574.755428776</v>
      </c>
      <c r="I542" s="76"/>
      <c r="J542" s="93">
        <f>J522</f>
        <v>2.7737</v>
      </c>
      <c r="K542" s="66">
        <f>ROUND(J542*$E542/100,0)</f>
        <v>438147</v>
      </c>
      <c r="M542" s="66">
        <f>ROUND(J542*$G542/100,0)</f>
        <v>486717</v>
      </c>
      <c r="O542" s="76"/>
      <c r="P542" s="93">
        <f>P522</f>
        <v>2.2775999999999996</v>
      </c>
      <c r="Q542" s="66">
        <f>ROUND(P542*$G542/100,0)</f>
        <v>399664</v>
      </c>
      <c r="AG542" s="37"/>
      <c r="AH542" s="37"/>
      <c r="AU542" s="76"/>
      <c r="AV542" s="93">
        <f>AV522</f>
        <v>2.7737</v>
      </c>
      <c r="AW542" s="66">
        <f>ROUND(AV542*$E542/100,0)</f>
        <v>438147</v>
      </c>
      <c r="AX542" s="66" t="s">
        <v>111</v>
      </c>
      <c r="AY542" s="58">
        <v>8</v>
      </c>
    </row>
    <row r="543" spans="1:51" ht="15.75">
      <c r="A543" s="57">
        <f t="shared" si="69"/>
        <v>541</v>
      </c>
      <c r="B543" s="64" t="s">
        <v>57</v>
      </c>
      <c r="E543" s="78">
        <v>926191</v>
      </c>
      <c r="G543" s="22">
        <v>0</v>
      </c>
      <c r="I543" s="76"/>
      <c r="K543" s="81">
        <f>AW543</f>
        <v>27121</v>
      </c>
      <c r="M543" s="81">
        <v>0</v>
      </c>
      <c r="O543" s="76"/>
      <c r="Q543" s="81">
        <v>0</v>
      </c>
      <c r="AG543" s="37"/>
      <c r="AH543" s="37"/>
      <c r="AU543" s="76"/>
      <c r="AW543" s="81">
        <v>27121</v>
      </c>
      <c r="AX543" s="66" t="s">
        <v>111</v>
      </c>
      <c r="AY543" s="58">
        <v>8</v>
      </c>
    </row>
    <row r="544" spans="1:51" ht="16.5" thickBot="1">
      <c r="A544" s="57">
        <f t="shared" si="69"/>
        <v>542</v>
      </c>
      <c r="B544" s="64" t="s">
        <v>58</v>
      </c>
      <c r="E544" s="99">
        <f>SUM(E539:E543)</f>
        <v>60871591</v>
      </c>
      <c r="G544" s="99">
        <v>66590498.39141239</v>
      </c>
      <c r="I544" s="96"/>
      <c r="J544" s="96"/>
      <c r="K544" s="97">
        <f>SUM(K533:K543)</f>
        <v>2771967</v>
      </c>
      <c r="M544" s="97">
        <f>SUM(M533:M543)</f>
        <v>3049098</v>
      </c>
      <c r="O544" s="96"/>
      <c r="P544" s="96"/>
      <c r="Q544" s="97">
        <f>SUM(Q533:Q543)</f>
        <v>3130066</v>
      </c>
      <c r="AG544" s="37"/>
      <c r="AH544" s="37"/>
      <c r="AU544" s="96"/>
      <c r="AV544" s="96"/>
      <c r="AW544" s="97">
        <f>SUM(AW533:AW543)</f>
        <v>2604647</v>
      </c>
      <c r="AX544" s="66" t="s">
        <v>111</v>
      </c>
      <c r="AY544" s="58">
        <v>8</v>
      </c>
    </row>
    <row r="545" spans="1:51" ht="16.5" thickTop="1">
      <c r="A545" s="57">
        <f t="shared" si="69"/>
        <v>543</v>
      </c>
      <c r="B545" s="64" t="s">
        <v>60</v>
      </c>
      <c r="E545" s="59"/>
      <c r="G545" s="59"/>
      <c r="I545" s="76"/>
      <c r="J545" s="26">
        <f>J525</f>
        <v>0</v>
      </c>
      <c r="K545" s="81">
        <f>ROUND(SUM(K534:K542)*J545,0)</f>
        <v>0</v>
      </c>
      <c r="M545" s="81">
        <f>ROUND(SUM(M534:M542)*J545,0)</f>
        <v>0</v>
      </c>
      <c r="O545" s="76"/>
      <c r="P545" s="26">
        <f>P525</f>
        <v>0</v>
      </c>
      <c r="Q545" s="81">
        <f>ROUND(SUM(Q534:Q542)*P545,0)</f>
        <v>0</v>
      </c>
      <c r="AG545" s="37"/>
      <c r="AH545" s="37"/>
      <c r="AU545" s="76"/>
      <c r="AV545" s="26">
        <f>AV525</f>
        <v>0.0353</v>
      </c>
      <c r="AW545" s="81">
        <f>ROUND(SUM(AW534:AW542)*AV545,0)</f>
        <v>90955</v>
      </c>
      <c r="AX545" s="66" t="s">
        <v>111</v>
      </c>
      <c r="AY545" s="58">
        <v>8</v>
      </c>
    </row>
    <row r="546" spans="1:51" ht="15.75">
      <c r="A546" s="57">
        <f t="shared" si="69"/>
        <v>544</v>
      </c>
      <c r="B546" s="64" t="s">
        <v>62</v>
      </c>
      <c r="E546" s="59"/>
      <c r="G546" s="59"/>
      <c r="I546" s="76"/>
      <c r="J546" s="26">
        <f>J526</f>
        <v>0.03</v>
      </c>
      <c r="K546" s="81">
        <f>ROUND(SUM(K534:K542,K545)*J546,0)</f>
        <v>82319</v>
      </c>
      <c r="M546" s="81">
        <f>ROUND(SUM(M534:M542,M545)*J546,0)</f>
        <v>91444</v>
      </c>
      <c r="O546" s="76"/>
      <c r="P546" s="26">
        <f>P526</f>
        <v>0.030009111139120682</v>
      </c>
      <c r="Q546" s="81">
        <f>ROUND(SUM(Q534:Q542,Q545)*P546,0)</f>
        <v>93901</v>
      </c>
      <c r="S546" s="37"/>
      <c r="T546" s="37"/>
      <c r="U546" s="37"/>
      <c r="V546" s="37"/>
      <c r="AG546" s="37"/>
      <c r="AH546" s="37"/>
      <c r="AU546" s="76"/>
      <c r="AV546" s="26">
        <f>AV526</f>
        <v>0</v>
      </c>
      <c r="AW546" s="81">
        <f>ROUND(SUM(AW534:AW542,AW545)*AV546,0)</f>
        <v>0</v>
      </c>
      <c r="AX546" s="66" t="s">
        <v>111</v>
      </c>
      <c r="AY546" s="58">
        <v>8</v>
      </c>
    </row>
    <row r="547" spans="1:51" ht="15.75">
      <c r="A547" s="57">
        <f t="shared" si="69"/>
        <v>545</v>
      </c>
      <c r="AG547" s="37"/>
      <c r="AH547" s="37"/>
      <c r="AX547" s="66" t="s">
        <v>111</v>
      </c>
      <c r="AY547" s="58">
        <v>8</v>
      </c>
    </row>
    <row r="548" spans="1:51" ht="15.75">
      <c r="A548" s="57">
        <f t="shared" si="69"/>
        <v>546</v>
      </c>
      <c r="AG548" s="37"/>
      <c r="AH548" s="37"/>
      <c r="AX548" s="66" t="s">
        <v>111</v>
      </c>
      <c r="AY548" s="58">
        <v>8</v>
      </c>
    </row>
    <row r="549" spans="1:51" ht="15.75">
      <c r="A549" s="57">
        <f t="shared" si="69"/>
        <v>547</v>
      </c>
      <c r="B549" s="64" t="s">
        <v>195</v>
      </c>
      <c r="AG549" s="37"/>
      <c r="AH549" s="37"/>
      <c r="AX549" s="66" t="s">
        <v>99</v>
      </c>
      <c r="AY549" s="58">
        <v>8</v>
      </c>
    </row>
    <row r="550" spans="1:51" ht="15.75">
      <c r="A550" s="57">
        <f t="shared" si="69"/>
        <v>548</v>
      </c>
      <c r="B550" s="64" t="s">
        <v>136</v>
      </c>
      <c r="E550" s="59"/>
      <c r="G550" s="59"/>
      <c r="J550" s="65"/>
      <c r="P550" s="65"/>
      <c r="T550" s="37"/>
      <c r="U550" s="37"/>
      <c r="AG550" s="37"/>
      <c r="AH550" s="37"/>
      <c r="AV550" s="65"/>
      <c r="AX550" s="66" t="s">
        <v>99</v>
      </c>
      <c r="AY550" s="107">
        <v>8</v>
      </c>
    </row>
    <row r="551" spans="1:51" ht="15.75">
      <c r="A551" s="57">
        <f t="shared" si="69"/>
        <v>549</v>
      </c>
      <c r="B551" s="103" t="s">
        <v>205</v>
      </c>
      <c r="E551" s="59"/>
      <c r="G551" s="59"/>
      <c r="AG551" s="37"/>
      <c r="AH551" s="37"/>
      <c r="AX551" s="66" t="s">
        <v>99</v>
      </c>
      <c r="AY551" s="107">
        <v>8</v>
      </c>
    </row>
    <row r="552" spans="1:51" ht="15.75">
      <c r="A552" s="57">
        <f t="shared" si="69"/>
        <v>550</v>
      </c>
      <c r="B552" s="98" t="s">
        <v>140</v>
      </c>
      <c r="E552" s="59"/>
      <c r="G552" s="59"/>
      <c r="AG552" s="37"/>
      <c r="AH552" s="37"/>
      <c r="AX552" s="66" t="s">
        <v>99</v>
      </c>
      <c r="AY552" s="107">
        <v>8</v>
      </c>
    </row>
    <row r="553" spans="1:51" ht="15.75">
      <c r="A553" s="57">
        <f t="shared" si="69"/>
        <v>551</v>
      </c>
      <c r="B553" s="64" t="s">
        <v>44</v>
      </c>
      <c r="E553" s="59">
        <f>30+44+5+7</f>
        <v>86</v>
      </c>
      <c r="G553" s="59">
        <v>93.94800087393489</v>
      </c>
      <c r="I553" s="76">
        <f>I362</f>
        <v>14.74</v>
      </c>
      <c r="K553" s="66">
        <f aca="true" t="shared" si="92" ref="K553:K558">ROUND(I553*$E553,0)</f>
        <v>1268</v>
      </c>
      <c r="M553" s="66">
        <f aca="true" t="shared" si="93" ref="M553:M558">ROUND(I553*$G553,0)</f>
        <v>1385</v>
      </c>
      <c r="O553" s="76">
        <f aca="true" t="shared" si="94" ref="O553:O558">O533</f>
        <v>15</v>
      </c>
      <c r="Q553" s="66">
        <f aca="true" t="shared" si="95" ref="Q553:Q558">ROUND(O553*$G553,0)</f>
        <v>1409</v>
      </c>
      <c r="AG553" s="37"/>
      <c r="AH553" s="37"/>
      <c r="AU553" s="76">
        <f>Blocking!AU345</f>
        <v>14.74</v>
      </c>
      <c r="AW553" s="66">
        <f aca="true" t="shared" si="96" ref="AW553:AW558">ROUND(AU553*$E553,0)</f>
        <v>1268</v>
      </c>
      <c r="AX553" s="66" t="s">
        <v>99</v>
      </c>
      <c r="AY553" s="107">
        <v>8</v>
      </c>
    </row>
    <row r="554" spans="1:51" ht="15.75">
      <c r="A554" s="57">
        <f t="shared" si="69"/>
        <v>552</v>
      </c>
      <c r="B554" s="64" t="s">
        <v>196</v>
      </c>
      <c r="E554" s="59">
        <v>4885.5376311281725</v>
      </c>
      <c r="G554" s="59">
        <f aca="true" t="shared" si="97" ref="G554:G562">E554*($G$564-$G$563)/($E$564-$E$563)</f>
        <v>5616.384214266144</v>
      </c>
      <c r="I554" s="76">
        <v>0</v>
      </c>
      <c r="K554" s="66">
        <f t="shared" si="92"/>
        <v>0</v>
      </c>
      <c r="M554" s="66">
        <f t="shared" si="93"/>
        <v>0</v>
      </c>
      <c r="O554" s="76">
        <f t="shared" si="94"/>
        <v>10.29</v>
      </c>
      <c r="Q554" s="66">
        <f t="shared" si="95"/>
        <v>57793</v>
      </c>
      <c r="AG554" s="37"/>
      <c r="AH554" s="37"/>
      <c r="AU554" s="76">
        <v>0</v>
      </c>
      <c r="AW554" s="66">
        <f t="shared" si="96"/>
        <v>0</v>
      </c>
      <c r="AX554" s="66" t="s">
        <v>99</v>
      </c>
      <c r="AY554" s="107">
        <v>8</v>
      </c>
    </row>
    <row r="555" spans="1:51" ht="15.75">
      <c r="A555" s="57">
        <f t="shared" si="69"/>
        <v>553</v>
      </c>
      <c r="B555" s="64" t="s">
        <v>197</v>
      </c>
      <c r="E555" s="59">
        <v>52063.192682633104</v>
      </c>
      <c r="G555" s="59">
        <f t="shared" si="97"/>
        <v>59851.528246137845</v>
      </c>
      <c r="I555" s="76">
        <v>0</v>
      </c>
      <c r="K555" s="66">
        <f t="shared" si="92"/>
        <v>0</v>
      </c>
      <c r="M555" s="66">
        <f t="shared" si="93"/>
        <v>0</v>
      </c>
      <c r="O555" s="76">
        <f t="shared" si="94"/>
        <v>7.42</v>
      </c>
      <c r="Q555" s="66">
        <f t="shared" si="95"/>
        <v>444098</v>
      </c>
      <c r="AG555" s="37"/>
      <c r="AH555" s="37"/>
      <c r="AU555" s="76">
        <v>0</v>
      </c>
      <c r="AW555" s="66">
        <f t="shared" si="96"/>
        <v>0</v>
      </c>
      <c r="AX555" s="66" t="s">
        <v>99</v>
      </c>
      <c r="AY555" s="107">
        <v>8</v>
      </c>
    </row>
    <row r="556" spans="1:51" ht="15.75">
      <c r="A556" s="57">
        <f aca="true" t="shared" si="98" ref="A556:A619">A555+1</f>
        <v>554</v>
      </c>
      <c r="B556" s="64" t="s">
        <v>198</v>
      </c>
      <c r="E556" s="59">
        <f>4835+149</f>
        <v>4984</v>
      </c>
      <c r="G556" s="59">
        <f t="shared" si="97"/>
        <v>5729.575951999886</v>
      </c>
      <c r="I556" s="76">
        <f>I363</f>
        <v>4.22</v>
      </c>
      <c r="K556" s="66">
        <f t="shared" si="92"/>
        <v>21032</v>
      </c>
      <c r="M556" s="66">
        <f t="shared" si="93"/>
        <v>24179</v>
      </c>
      <c r="O556" s="76">
        <f t="shared" si="94"/>
        <v>3.15</v>
      </c>
      <c r="Q556" s="66">
        <f t="shared" si="95"/>
        <v>18048</v>
      </c>
      <c r="AG556" s="37"/>
      <c r="AH556" s="37"/>
      <c r="AU556" s="76">
        <f>Blocking!AU346</f>
        <v>3.53</v>
      </c>
      <c r="AW556" s="66">
        <f t="shared" si="96"/>
        <v>17594</v>
      </c>
      <c r="AX556" s="66" t="s">
        <v>99</v>
      </c>
      <c r="AY556" s="107">
        <v>8</v>
      </c>
    </row>
    <row r="557" spans="1:51" ht="15.75">
      <c r="A557" s="57">
        <f t="shared" si="98"/>
        <v>555</v>
      </c>
      <c r="B557" s="64" t="s">
        <v>199</v>
      </c>
      <c r="E557" s="59">
        <f>38256+14043</f>
        <v>52299</v>
      </c>
      <c r="G557" s="59">
        <f t="shared" si="97"/>
        <v>60122.61089760072</v>
      </c>
      <c r="I557" s="76">
        <f>I364</f>
        <v>3.53</v>
      </c>
      <c r="K557" s="66">
        <f t="shared" si="92"/>
        <v>184615</v>
      </c>
      <c r="M557" s="66">
        <f t="shared" si="93"/>
        <v>212233</v>
      </c>
      <c r="O557" s="76">
        <f t="shared" si="94"/>
        <v>3.15</v>
      </c>
      <c r="Q557" s="66">
        <f t="shared" si="95"/>
        <v>189386</v>
      </c>
      <c r="AG557" s="37"/>
      <c r="AH557" s="37"/>
      <c r="AU557" s="76">
        <f>Blocking!AU347</f>
        <v>3.53</v>
      </c>
      <c r="AW557" s="66">
        <f t="shared" si="96"/>
        <v>184615</v>
      </c>
      <c r="AX557" s="66" t="s">
        <v>99</v>
      </c>
      <c r="AY557" s="107">
        <v>8</v>
      </c>
    </row>
    <row r="558" spans="1:51" ht="15.75">
      <c r="A558" s="57">
        <f t="shared" si="98"/>
        <v>556</v>
      </c>
      <c r="B558" s="64" t="s">
        <v>93</v>
      </c>
      <c r="E558" s="59">
        <f>4021+14163</f>
        <v>18184</v>
      </c>
      <c r="G558" s="59">
        <f t="shared" si="97"/>
        <v>20904.215311229116</v>
      </c>
      <c r="I558" s="76">
        <f>I365</f>
        <v>-0.39</v>
      </c>
      <c r="K558" s="66">
        <f t="shared" si="92"/>
        <v>-7092</v>
      </c>
      <c r="M558" s="66">
        <f t="shared" si="93"/>
        <v>-8153</v>
      </c>
      <c r="O558" s="76">
        <f t="shared" si="94"/>
        <v>-0.75</v>
      </c>
      <c r="Q558" s="66">
        <f t="shared" si="95"/>
        <v>-15678</v>
      </c>
      <c r="AG558" s="37"/>
      <c r="AH558" s="37"/>
      <c r="AU558" s="76">
        <f>Blocking!AU348</f>
        <v>-0.39</v>
      </c>
      <c r="AW558" s="66">
        <f t="shared" si="96"/>
        <v>-7092</v>
      </c>
      <c r="AX558" s="66" t="s">
        <v>99</v>
      </c>
      <c r="AY558" s="107">
        <v>8</v>
      </c>
    </row>
    <row r="559" spans="1:51" ht="15.75">
      <c r="A559" s="57">
        <f t="shared" si="98"/>
        <v>557</v>
      </c>
      <c r="B559" s="64" t="s">
        <v>69</v>
      </c>
      <c r="E559" s="59">
        <f>381240+12400</f>
        <v>393640</v>
      </c>
      <c r="G559" s="59">
        <f t="shared" si="97"/>
        <v>452526.13919446926</v>
      </c>
      <c r="I559" s="76"/>
      <c r="J559" s="93">
        <f>J366</f>
        <v>8.043</v>
      </c>
      <c r="K559" s="66">
        <f>ROUND(J559*$E559/100,0)</f>
        <v>31660</v>
      </c>
      <c r="M559" s="66">
        <f>ROUND(J559*$G559/100,0)</f>
        <v>36397</v>
      </c>
      <c r="O559" s="76"/>
      <c r="P559" s="93">
        <f>P539</f>
        <v>3.2775999999999996</v>
      </c>
      <c r="Q559" s="66">
        <f>ROUND(P559*$G559/100,0)</f>
        <v>14832</v>
      </c>
      <c r="AG559" s="37"/>
      <c r="AH559" s="37"/>
      <c r="AU559" s="76"/>
      <c r="AV559" s="93">
        <f>Blocking!AV349</f>
        <v>6.7231</v>
      </c>
      <c r="AW559" s="66">
        <f>ROUND(AV559*$E559/100,0)</f>
        <v>26465</v>
      </c>
      <c r="AX559" s="66" t="s">
        <v>99</v>
      </c>
      <c r="AY559" s="107">
        <v>8</v>
      </c>
    </row>
    <row r="560" spans="1:51" ht="15.75">
      <c r="A560" s="57">
        <f t="shared" si="98"/>
        <v>558</v>
      </c>
      <c r="B560" s="64" t="s">
        <v>71</v>
      </c>
      <c r="E560" s="59">
        <f>394900+14640</f>
        <v>409540</v>
      </c>
      <c r="G560" s="59">
        <f t="shared" si="97"/>
        <v>470804.68205899536</v>
      </c>
      <c r="I560" s="76"/>
      <c r="J560" s="93">
        <f>J367</f>
        <v>2.4215</v>
      </c>
      <c r="K560" s="66">
        <f>ROUND(J560*$E560/100,0)</f>
        <v>9917</v>
      </c>
      <c r="M560" s="66">
        <f>ROUND(J560*$G560/100,0)</f>
        <v>11401</v>
      </c>
      <c r="O560" s="76"/>
      <c r="P560" s="93">
        <f>P540</f>
        <v>2.2775999999999996</v>
      </c>
      <c r="Q560" s="66">
        <f>ROUND(P560*$G560/100,0)</f>
        <v>10723</v>
      </c>
      <c r="AG560" s="37"/>
      <c r="AH560" s="37"/>
      <c r="AU560" s="76"/>
      <c r="AV560" s="93">
        <f>Blocking!AV350</f>
        <v>2.0241</v>
      </c>
      <c r="AW560" s="66">
        <f>ROUND(AV560*$E560/100,0)</f>
        <v>8289</v>
      </c>
      <c r="AX560" s="66" t="s">
        <v>99</v>
      </c>
      <c r="AY560" s="107">
        <v>8</v>
      </c>
    </row>
    <row r="561" spans="1:51" ht="15.75">
      <c r="A561" s="57">
        <f t="shared" si="98"/>
        <v>559</v>
      </c>
      <c r="B561" s="64" t="s">
        <v>139</v>
      </c>
      <c r="E561" s="59">
        <f>4389360+1657100</f>
        <v>6046460</v>
      </c>
      <c r="G561" s="59">
        <f t="shared" si="97"/>
        <v>6950973.47727312</v>
      </c>
      <c r="I561" s="76"/>
      <c r="J561" s="93">
        <f>J368</f>
        <v>6.7231</v>
      </c>
      <c r="K561" s="66">
        <f>ROUND(J561*$E561/100,0)</f>
        <v>406510</v>
      </c>
      <c r="M561" s="66">
        <f>ROUND(J561*$G561/100,0)</f>
        <v>467321</v>
      </c>
      <c r="O561" s="76"/>
      <c r="P561" s="93">
        <f>P541</f>
        <v>2.5775999999999994</v>
      </c>
      <c r="Q561" s="66">
        <f>ROUND(P561*$G561/100,0)</f>
        <v>179168</v>
      </c>
      <c r="AG561" s="37"/>
      <c r="AH561" s="37"/>
      <c r="AU561" s="76"/>
      <c r="AV561" s="93">
        <f>Blocking!AV351</f>
        <v>6.7231</v>
      </c>
      <c r="AW561" s="66">
        <f>ROUND(AV561*$E561/100,0)</f>
        <v>406510</v>
      </c>
      <c r="AX561" s="66" t="s">
        <v>99</v>
      </c>
      <c r="AY561" s="107">
        <v>8</v>
      </c>
    </row>
    <row r="562" spans="1:51" ht="15.75">
      <c r="A562" s="57">
        <f t="shared" si="98"/>
        <v>560</v>
      </c>
      <c r="B562" s="64" t="s">
        <v>74</v>
      </c>
      <c r="E562" s="59">
        <f>5117060+2128520</f>
        <v>7245580</v>
      </c>
      <c r="G562" s="59">
        <f t="shared" si="97"/>
        <v>8329474.50367001</v>
      </c>
      <c r="I562" s="76"/>
      <c r="J562" s="93">
        <f>J369</f>
        <v>2.0241</v>
      </c>
      <c r="K562" s="66">
        <f>ROUND(J562*$E562/100,0)</f>
        <v>146658</v>
      </c>
      <c r="M562" s="66">
        <f>ROUND(J562*$G562/100,0)</f>
        <v>168597</v>
      </c>
      <c r="O562" s="76"/>
      <c r="P562" s="93">
        <f>P542</f>
        <v>2.2775999999999996</v>
      </c>
      <c r="Q562" s="66">
        <f>ROUND(P562*$G562/100,0)</f>
        <v>189712</v>
      </c>
      <c r="AG562" s="37"/>
      <c r="AH562" s="37"/>
      <c r="AU562" s="76"/>
      <c r="AV562" s="93">
        <f>Blocking!AV352</f>
        <v>2.0241</v>
      </c>
      <c r="AW562" s="66">
        <f>ROUND(AV562*$E562/100,0)</f>
        <v>146658</v>
      </c>
      <c r="AX562" s="66" t="s">
        <v>99</v>
      </c>
      <c r="AY562" s="107">
        <v>8</v>
      </c>
    </row>
    <row r="563" spans="1:51" ht="15.75">
      <c r="A563" s="57">
        <f t="shared" si="98"/>
        <v>561</v>
      </c>
      <c r="B563" s="64" t="s">
        <v>57</v>
      </c>
      <c r="E563" s="78">
        <v>29574.05006977147</v>
      </c>
      <c r="G563" s="22">
        <v>0</v>
      </c>
      <c r="I563" s="76"/>
      <c r="K563" s="81">
        <f>AW563</f>
        <v>2073.344558481528</v>
      </c>
      <c r="M563" s="81">
        <v>0</v>
      </c>
      <c r="O563" s="76"/>
      <c r="Q563" s="81">
        <v>0</v>
      </c>
      <c r="AG563" s="37"/>
      <c r="AH563" s="37"/>
      <c r="AU563" s="76"/>
      <c r="AW563" s="81">
        <v>2073.344558481528</v>
      </c>
      <c r="AX563" s="66" t="s">
        <v>99</v>
      </c>
      <c r="AY563" s="107">
        <v>8</v>
      </c>
    </row>
    <row r="564" spans="1:51" ht="16.5" thickBot="1">
      <c r="A564" s="57">
        <f t="shared" si="98"/>
        <v>562</v>
      </c>
      <c r="B564" s="64" t="s">
        <v>58</v>
      </c>
      <c r="E564" s="99">
        <f>SUM(E559:E563)</f>
        <v>14124794.050069772</v>
      </c>
      <c r="G564" s="99">
        <v>16203778.802196594</v>
      </c>
      <c r="I564" s="96"/>
      <c r="J564" s="96"/>
      <c r="K564" s="97">
        <f>SUM(K553:K563)</f>
        <v>796641.3445584815</v>
      </c>
      <c r="M564" s="97">
        <f>SUM(M553:M563)</f>
        <v>913360</v>
      </c>
      <c r="O564" s="96"/>
      <c r="P564" s="96"/>
      <c r="Q564" s="97">
        <f>SUM(Q553:Q563)</f>
        <v>1089491</v>
      </c>
      <c r="AG564" s="37"/>
      <c r="AH564" s="37"/>
      <c r="AU564" s="96"/>
      <c r="AV564" s="96"/>
      <c r="AW564" s="97">
        <f>SUM(AW553:AW563)</f>
        <v>786380.3445584815</v>
      </c>
      <c r="AX564" s="66" t="s">
        <v>99</v>
      </c>
      <c r="AY564" s="107">
        <v>8</v>
      </c>
    </row>
    <row r="565" spans="1:51" ht="16.5" thickTop="1">
      <c r="A565" s="57">
        <f t="shared" si="98"/>
        <v>563</v>
      </c>
      <c r="B565" s="64" t="s">
        <v>60</v>
      </c>
      <c r="E565" s="59"/>
      <c r="G565" s="59"/>
      <c r="I565" s="76"/>
      <c r="J565" s="26">
        <f>J372</f>
        <v>0</v>
      </c>
      <c r="K565" s="81">
        <f>ROUND(SUM(K554:K562)*J565,0)</f>
        <v>0</v>
      </c>
      <c r="M565" s="81">
        <f>ROUND(SUM(M554:M562)*J565,0)</f>
        <v>0</v>
      </c>
      <c r="O565" s="76"/>
      <c r="P565" s="26">
        <f>P545</f>
        <v>0</v>
      </c>
      <c r="Q565" s="81">
        <f>ROUND(SUM(Q554:Q562)*P565,0)</f>
        <v>0</v>
      </c>
      <c r="AG565" s="37"/>
      <c r="AH565" s="37"/>
      <c r="AU565" s="76"/>
      <c r="AV565" s="26">
        <f>Blocking!AV355</f>
        <v>0.0358</v>
      </c>
      <c r="AW565" s="81">
        <f>ROUND(SUM(AW554:AW562)*AV565,0)</f>
        <v>28033</v>
      </c>
      <c r="AX565" s="66" t="s">
        <v>99</v>
      </c>
      <c r="AY565" s="107">
        <v>8</v>
      </c>
    </row>
    <row r="566" spans="1:51" ht="15.75">
      <c r="A566" s="57">
        <f t="shared" si="98"/>
        <v>564</v>
      </c>
      <c r="B566" s="64" t="s">
        <v>62</v>
      </c>
      <c r="E566" s="59"/>
      <c r="G566" s="59"/>
      <c r="I566" s="76"/>
      <c r="J566" s="26">
        <f>J373</f>
        <v>0.0304</v>
      </c>
      <c r="K566" s="81">
        <f>ROUND(SUM(K554:K562,K565)*J566,0)</f>
        <v>24116</v>
      </c>
      <c r="M566" s="81">
        <f>ROUND(SUM(M554:M562,M565)*J566,0)</f>
        <v>27724</v>
      </c>
      <c r="O566" s="76"/>
      <c r="P566" s="26">
        <f>P546</f>
        <v>0.030009111139120682</v>
      </c>
      <c r="Q566" s="81">
        <f>ROUND(SUM(Q554:Q562,Q565)*P566,0)</f>
        <v>32652</v>
      </c>
      <c r="S566" s="37"/>
      <c r="T566" s="37"/>
      <c r="U566" s="37"/>
      <c r="V566" s="37"/>
      <c r="AG566" s="37"/>
      <c r="AH566" s="37"/>
      <c r="AU566" s="76"/>
      <c r="AV566" s="26">
        <f>Blocking!AV356</f>
        <v>0</v>
      </c>
      <c r="AW566" s="81">
        <f>ROUND(SUM(AW554:AW562,AW565)*AV566,0)</f>
        <v>0</v>
      </c>
      <c r="AX566" s="66" t="s">
        <v>99</v>
      </c>
      <c r="AY566" s="107">
        <v>8</v>
      </c>
    </row>
    <row r="567" spans="1:51" ht="15.75">
      <c r="A567" s="57">
        <f t="shared" si="98"/>
        <v>565</v>
      </c>
      <c r="E567" s="59"/>
      <c r="G567" s="59"/>
      <c r="AG567" s="37"/>
      <c r="AH567" s="37"/>
      <c r="AX567" s="66" t="s">
        <v>99</v>
      </c>
      <c r="AY567" s="107">
        <v>8</v>
      </c>
    </row>
    <row r="568" spans="1:51" ht="15.75">
      <c r="A568" s="57">
        <f t="shared" si="98"/>
        <v>566</v>
      </c>
      <c r="E568" s="59"/>
      <c r="G568" s="59"/>
      <c r="AG568" s="37"/>
      <c r="AH568" s="37"/>
      <c r="AX568" s="66" t="s">
        <v>99</v>
      </c>
      <c r="AY568" s="107">
        <v>8</v>
      </c>
    </row>
    <row r="569" spans="1:51" ht="15.75">
      <c r="A569" s="57">
        <f t="shared" si="98"/>
        <v>567</v>
      </c>
      <c r="B569" s="64" t="s">
        <v>195</v>
      </c>
      <c r="E569" s="59"/>
      <c r="G569" s="59"/>
      <c r="AG569" s="37"/>
      <c r="AH569" s="37"/>
      <c r="AX569" s="66" t="s">
        <v>108</v>
      </c>
      <c r="AY569" s="107">
        <v>8</v>
      </c>
    </row>
    <row r="570" spans="1:51" ht="15.75">
      <c r="A570" s="57">
        <f t="shared" si="98"/>
        <v>568</v>
      </c>
      <c r="B570" s="64" t="s">
        <v>136</v>
      </c>
      <c r="E570" s="59"/>
      <c r="G570" s="59"/>
      <c r="J570" s="65"/>
      <c r="P570" s="65"/>
      <c r="T570" s="37"/>
      <c r="U570" s="37"/>
      <c r="AG570" s="37"/>
      <c r="AH570" s="37"/>
      <c r="AV570" s="65"/>
      <c r="AX570" s="66" t="s">
        <v>108</v>
      </c>
      <c r="AY570" s="107">
        <v>8</v>
      </c>
    </row>
    <row r="571" spans="1:51" ht="15.75">
      <c r="A571" s="57">
        <f t="shared" si="98"/>
        <v>569</v>
      </c>
      <c r="B571" s="103" t="s">
        <v>206</v>
      </c>
      <c r="E571" s="59"/>
      <c r="G571" s="59"/>
      <c r="AG571" s="37"/>
      <c r="AH571" s="37"/>
      <c r="AX571" s="66" t="s">
        <v>108</v>
      </c>
      <c r="AY571" s="107">
        <v>8</v>
      </c>
    </row>
    <row r="572" spans="1:51" ht="15.75">
      <c r="A572" s="57">
        <f t="shared" si="98"/>
        <v>570</v>
      </c>
      <c r="B572" s="98" t="s">
        <v>207</v>
      </c>
      <c r="E572" s="59"/>
      <c r="G572" s="59"/>
      <c r="AG572" s="37"/>
      <c r="AH572" s="37"/>
      <c r="AX572" s="66" t="s">
        <v>108</v>
      </c>
      <c r="AY572" s="107">
        <v>8</v>
      </c>
    </row>
    <row r="573" spans="1:51" ht="15.75">
      <c r="A573" s="57">
        <f t="shared" si="98"/>
        <v>571</v>
      </c>
      <c r="B573" s="64" t="s">
        <v>44</v>
      </c>
      <c r="E573" s="59">
        <f>15+21</f>
        <v>36</v>
      </c>
      <c r="G573" s="59">
        <v>39.32707013327507</v>
      </c>
      <c r="I573" s="76">
        <f aca="true" t="shared" si="99" ref="I573:I578">I553</f>
        <v>14.74</v>
      </c>
      <c r="K573" s="66">
        <f aca="true" t="shared" si="100" ref="K573:K578">ROUND(I573*$E573,0)</f>
        <v>531</v>
      </c>
      <c r="M573" s="66">
        <f aca="true" t="shared" si="101" ref="M573:M578">ROUND(I573*$G573,0)</f>
        <v>580</v>
      </c>
      <c r="O573" s="76">
        <f aca="true" t="shared" si="102" ref="O573:O578">O553</f>
        <v>15</v>
      </c>
      <c r="Q573" s="66">
        <f aca="true" t="shared" si="103" ref="Q573:Q578">ROUND(O573*$G573,0)</f>
        <v>590</v>
      </c>
      <c r="AG573" s="37"/>
      <c r="AH573" s="37"/>
      <c r="AU573" s="76">
        <f aca="true" t="shared" si="104" ref="AU573:AU578">AU553</f>
        <v>14.74</v>
      </c>
      <c r="AW573" s="66">
        <f aca="true" t="shared" si="105" ref="AW573:AW578">ROUND(AU573*$E573,0)</f>
        <v>531</v>
      </c>
      <c r="AX573" s="66" t="s">
        <v>108</v>
      </c>
      <c r="AY573" s="107">
        <v>8</v>
      </c>
    </row>
    <row r="574" spans="1:51" ht="15.75">
      <c r="A574" s="57">
        <f t="shared" si="98"/>
        <v>572</v>
      </c>
      <c r="B574" s="64" t="s">
        <v>196</v>
      </c>
      <c r="E574" s="59">
        <v>46695.8981007329</v>
      </c>
      <c r="G574" s="59">
        <f aca="true" t="shared" si="106" ref="G574:G582">E574*($G$584-$G$583)/($E$584-$E$583)</f>
        <v>53681.319184389315</v>
      </c>
      <c r="I574" s="76">
        <f t="shared" si="99"/>
        <v>0</v>
      </c>
      <c r="K574" s="66">
        <f t="shared" si="100"/>
        <v>0</v>
      </c>
      <c r="M574" s="66">
        <f t="shared" si="101"/>
        <v>0</v>
      </c>
      <c r="O574" s="76">
        <f t="shared" si="102"/>
        <v>10.29</v>
      </c>
      <c r="Q574" s="66">
        <f t="shared" si="103"/>
        <v>552381</v>
      </c>
      <c r="AG574" s="37"/>
      <c r="AH574" s="37"/>
      <c r="AU574" s="76">
        <f t="shared" si="104"/>
        <v>0</v>
      </c>
      <c r="AW574" s="66">
        <f t="shared" si="105"/>
        <v>0</v>
      </c>
      <c r="AX574" s="66" t="s">
        <v>108</v>
      </c>
      <c r="AY574" s="107">
        <v>8</v>
      </c>
    </row>
    <row r="575" spans="1:51" ht="15.75">
      <c r="A575" s="57">
        <f t="shared" si="98"/>
        <v>573</v>
      </c>
      <c r="B575" s="64" t="s">
        <v>197</v>
      </c>
      <c r="E575" s="59">
        <v>65120.054864040314</v>
      </c>
      <c r="G575" s="59">
        <f t="shared" si="106"/>
        <v>74861.61724356312</v>
      </c>
      <c r="I575" s="76">
        <f t="shared" si="99"/>
        <v>0</v>
      </c>
      <c r="K575" s="66">
        <f t="shared" si="100"/>
        <v>0</v>
      </c>
      <c r="M575" s="66">
        <f t="shared" si="101"/>
        <v>0</v>
      </c>
      <c r="O575" s="76">
        <f t="shared" si="102"/>
        <v>7.42</v>
      </c>
      <c r="Q575" s="66">
        <f t="shared" si="103"/>
        <v>555473</v>
      </c>
      <c r="AG575" s="37"/>
      <c r="AH575" s="37"/>
      <c r="AU575" s="76">
        <f t="shared" si="104"/>
        <v>0</v>
      </c>
      <c r="AW575" s="66">
        <f t="shared" si="105"/>
        <v>0</v>
      </c>
      <c r="AX575" s="66" t="s">
        <v>108</v>
      </c>
      <c r="AY575" s="107">
        <v>8</v>
      </c>
    </row>
    <row r="576" spans="1:51" ht="15.75">
      <c r="A576" s="57">
        <f t="shared" si="98"/>
        <v>574</v>
      </c>
      <c r="B576" s="64" t="s">
        <v>198</v>
      </c>
      <c r="E576" s="59">
        <v>47637</v>
      </c>
      <c r="G576" s="59">
        <f t="shared" si="106"/>
        <v>54763.20417845476</v>
      </c>
      <c r="I576" s="76">
        <f t="shared" si="99"/>
        <v>4.22</v>
      </c>
      <c r="K576" s="66">
        <f t="shared" si="100"/>
        <v>201028</v>
      </c>
      <c r="M576" s="66">
        <f t="shared" si="101"/>
        <v>231101</v>
      </c>
      <c r="O576" s="76">
        <f t="shared" si="102"/>
        <v>3.15</v>
      </c>
      <c r="Q576" s="66">
        <f t="shared" si="103"/>
        <v>172504</v>
      </c>
      <c r="AG576" s="37"/>
      <c r="AH576" s="37"/>
      <c r="AU576" s="76">
        <f t="shared" si="104"/>
        <v>3.53</v>
      </c>
      <c r="AW576" s="66">
        <f t="shared" si="105"/>
        <v>168159</v>
      </c>
      <c r="AX576" s="66" t="s">
        <v>108</v>
      </c>
      <c r="AY576" s="107">
        <v>8</v>
      </c>
    </row>
    <row r="577" spans="1:51" ht="15.75">
      <c r="A577" s="57">
        <f t="shared" si="98"/>
        <v>575</v>
      </c>
      <c r="B577" s="64" t="s">
        <v>199</v>
      </c>
      <c r="E577" s="59">
        <v>65415</v>
      </c>
      <c r="G577" s="59">
        <f t="shared" si="106"/>
        <v>75200.68436999849</v>
      </c>
      <c r="I577" s="76">
        <f t="shared" si="99"/>
        <v>3.53</v>
      </c>
      <c r="K577" s="66">
        <f t="shared" si="100"/>
        <v>230915</v>
      </c>
      <c r="M577" s="66">
        <f t="shared" si="101"/>
        <v>265458</v>
      </c>
      <c r="O577" s="76">
        <f t="shared" si="102"/>
        <v>3.15</v>
      </c>
      <c r="Q577" s="66">
        <f t="shared" si="103"/>
        <v>236882</v>
      </c>
      <c r="AG577" s="37"/>
      <c r="AH577" s="37"/>
      <c r="AU577" s="76">
        <f t="shared" si="104"/>
        <v>3.53</v>
      </c>
      <c r="AW577" s="66">
        <f t="shared" si="105"/>
        <v>230915</v>
      </c>
      <c r="AX577" s="66" t="s">
        <v>108</v>
      </c>
      <c r="AY577" s="107">
        <v>8</v>
      </c>
    </row>
    <row r="578" spans="1:51" ht="15.75">
      <c r="A578" s="57">
        <f t="shared" si="98"/>
        <v>576</v>
      </c>
      <c r="B578" s="64" t="s">
        <v>93</v>
      </c>
      <c r="E578" s="59">
        <f>47637+65415</f>
        <v>113052</v>
      </c>
      <c r="G578" s="59">
        <f t="shared" si="106"/>
        <v>129963.88854845327</v>
      </c>
      <c r="I578" s="76">
        <f t="shared" si="99"/>
        <v>-0.39</v>
      </c>
      <c r="K578" s="66">
        <f t="shared" si="100"/>
        <v>-44090</v>
      </c>
      <c r="M578" s="66">
        <f t="shared" si="101"/>
        <v>-50686</v>
      </c>
      <c r="O578" s="76">
        <f t="shared" si="102"/>
        <v>-0.75</v>
      </c>
      <c r="Q578" s="66">
        <f t="shared" si="103"/>
        <v>-97473</v>
      </c>
      <c r="AG578" s="37"/>
      <c r="AH578" s="37"/>
      <c r="AU578" s="76">
        <f t="shared" si="104"/>
        <v>-0.39</v>
      </c>
      <c r="AW578" s="66">
        <f t="shared" si="105"/>
        <v>-44090</v>
      </c>
      <c r="AX578" s="66" t="s">
        <v>108</v>
      </c>
      <c r="AY578" s="107">
        <v>8</v>
      </c>
    </row>
    <row r="579" spans="1:51" ht="15.75">
      <c r="A579" s="57">
        <f t="shared" si="98"/>
        <v>577</v>
      </c>
      <c r="B579" s="64" t="s">
        <v>69</v>
      </c>
      <c r="E579" s="59">
        <v>4485000</v>
      </c>
      <c r="G579" s="59">
        <f t="shared" si="106"/>
        <v>5155928.600465386</v>
      </c>
      <c r="I579" s="76"/>
      <c r="J579" s="93">
        <f>J559</f>
        <v>8.043</v>
      </c>
      <c r="K579" s="66">
        <f>ROUND(J579*$E579/100,0)</f>
        <v>360729</v>
      </c>
      <c r="M579" s="66">
        <f>ROUND(J579*$G579/100,0)</f>
        <v>414691</v>
      </c>
      <c r="O579" s="76"/>
      <c r="P579" s="93">
        <f>P559</f>
        <v>3.2775999999999996</v>
      </c>
      <c r="Q579" s="66">
        <f>ROUND(P579*$G579/100,0)</f>
        <v>168991</v>
      </c>
      <c r="AG579" s="37"/>
      <c r="AH579" s="37"/>
      <c r="AU579" s="76"/>
      <c r="AV579" s="93">
        <f>AV559</f>
        <v>6.7231</v>
      </c>
      <c r="AW579" s="66">
        <f>ROUND(AV579*$E579/100,0)</f>
        <v>301531</v>
      </c>
      <c r="AX579" s="66" t="s">
        <v>108</v>
      </c>
      <c r="AY579" s="107">
        <v>8</v>
      </c>
    </row>
    <row r="580" spans="1:51" ht="15.75">
      <c r="A580" s="57">
        <f t="shared" si="98"/>
        <v>578</v>
      </c>
      <c r="B580" s="64" t="s">
        <v>71</v>
      </c>
      <c r="E580" s="59">
        <v>904600</v>
      </c>
      <c r="G580" s="59">
        <f t="shared" si="106"/>
        <v>1039922.6336635426</v>
      </c>
      <c r="I580" s="76"/>
      <c r="J580" s="93">
        <f>J560</f>
        <v>2.4215</v>
      </c>
      <c r="K580" s="66">
        <f>ROUND(J580*$E580/100,0)</f>
        <v>21905</v>
      </c>
      <c r="M580" s="66">
        <f>ROUND(J580*$G580/100,0)</f>
        <v>25182</v>
      </c>
      <c r="O580" s="76"/>
      <c r="P580" s="93">
        <f>P560</f>
        <v>2.2775999999999996</v>
      </c>
      <c r="Q580" s="66">
        <f>ROUND(P580*$G580/100,0)</f>
        <v>23685</v>
      </c>
      <c r="AG580" s="37"/>
      <c r="AH580" s="37"/>
      <c r="AU580" s="76"/>
      <c r="AV580" s="93">
        <f>AV560</f>
        <v>2.0241</v>
      </c>
      <c r="AW580" s="66">
        <f>ROUND(AV580*$E580/100,0)</f>
        <v>18310</v>
      </c>
      <c r="AX580" s="66" t="s">
        <v>108</v>
      </c>
      <c r="AY580" s="107">
        <v>8</v>
      </c>
    </row>
    <row r="581" spans="1:51" ht="15.75">
      <c r="A581" s="57">
        <f t="shared" si="98"/>
        <v>579</v>
      </c>
      <c r="B581" s="64" t="s">
        <v>139</v>
      </c>
      <c r="E581" s="59">
        <v>5789000</v>
      </c>
      <c r="G581" s="59">
        <f t="shared" si="106"/>
        <v>6654999.034134698</v>
      </c>
      <c r="I581" s="76"/>
      <c r="J581" s="93">
        <f>J561</f>
        <v>6.7231</v>
      </c>
      <c r="K581" s="66">
        <f>ROUND(J581*$E581/100,0)</f>
        <v>389200</v>
      </c>
      <c r="M581" s="66">
        <f>ROUND(J581*$G581/100,0)</f>
        <v>447422</v>
      </c>
      <c r="O581" s="76"/>
      <c r="P581" s="93">
        <f>P561</f>
        <v>2.5775999999999994</v>
      </c>
      <c r="Q581" s="66">
        <f>ROUND(P581*$G581/100,0)</f>
        <v>171539</v>
      </c>
      <c r="AG581" s="37"/>
      <c r="AH581" s="37"/>
      <c r="AU581" s="76"/>
      <c r="AV581" s="93">
        <f>AV561</f>
        <v>6.7231</v>
      </c>
      <c r="AW581" s="66">
        <f>ROUND(AV581*$E581/100,0)</f>
        <v>389200</v>
      </c>
      <c r="AX581" s="66" t="s">
        <v>108</v>
      </c>
      <c r="AY581" s="107">
        <v>8</v>
      </c>
    </row>
    <row r="582" spans="1:51" ht="15.75">
      <c r="A582" s="57">
        <f t="shared" si="98"/>
        <v>580</v>
      </c>
      <c r="B582" s="64" t="s">
        <v>74</v>
      </c>
      <c r="E582" s="59">
        <v>1233600</v>
      </c>
      <c r="G582" s="59">
        <f t="shared" si="106"/>
        <v>1418139.0237534228</v>
      </c>
      <c r="I582" s="76"/>
      <c r="J582" s="93">
        <f>J562</f>
        <v>2.0241</v>
      </c>
      <c r="K582" s="66">
        <f>ROUND(J582*$E582/100,0)</f>
        <v>24969</v>
      </c>
      <c r="M582" s="66">
        <f>ROUND(J582*$G582/100,0)</f>
        <v>28705</v>
      </c>
      <c r="O582" s="76"/>
      <c r="P582" s="93">
        <f>P562</f>
        <v>2.2775999999999996</v>
      </c>
      <c r="Q582" s="66">
        <f>ROUND(P582*$G582/100,0)</f>
        <v>32300</v>
      </c>
      <c r="AG582" s="37"/>
      <c r="AH582" s="37"/>
      <c r="AU582" s="76"/>
      <c r="AV582" s="93">
        <f>AV562</f>
        <v>2.0241</v>
      </c>
      <c r="AW582" s="66">
        <f>ROUND(AV582*$E582/100,0)</f>
        <v>24969</v>
      </c>
      <c r="AX582" s="66" t="s">
        <v>108</v>
      </c>
      <c r="AY582" s="107">
        <v>8</v>
      </c>
    </row>
    <row r="583" spans="1:51" ht="15.75">
      <c r="A583" s="57">
        <f t="shared" si="98"/>
        <v>581</v>
      </c>
      <c r="B583" s="64" t="s">
        <v>57</v>
      </c>
      <c r="E583" s="78">
        <v>-47091.44782633331</v>
      </c>
      <c r="G583" s="22">
        <v>0</v>
      </c>
      <c r="I583" s="76"/>
      <c r="K583" s="81">
        <f>AW583</f>
        <v>-1162.878402153304</v>
      </c>
      <c r="M583" s="81">
        <v>0</v>
      </c>
      <c r="O583" s="76"/>
      <c r="Q583" s="81">
        <v>0</v>
      </c>
      <c r="AG583" s="37"/>
      <c r="AH583" s="37"/>
      <c r="AU583" s="76"/>
      <c r="AW583" s="81">
        <v>-1162.878402153304</v>
      </c>
      <c r="AX583" s="66" t="s">
        <v>108</v>
      </c>
      <c r="AY583" s="107">
        <v>8</v>
      </c>
    </row>
    <row r="584" spans="1:51" ht="16.5" thickBot="1">
      <c r="A584" s="57">
        <f t="shared" si="98"/>
        <v>582</v>
      </c>
      <c r="B584" s="64" t="s">
        <v>58</v>
      </c>
      <c r="E584" s="99">
        <f>SUM(E579:E583)</f>
        <v>12365108.552173667</v>
      </c>
      <c r="G584" s="99">
        <v>14268989.29201705</v>
      </c>
      <c r="I584" s="96"/>
      <c r="J584" s="96"/>
      <c r="K584" s="97">
        <f>SUM(K573:K583)</f>
        <v>1184024.1215978467</v>
      </c>
      <c r="M584" s="97">
        <f>SUM(M573:M583)</f>
        <v>1362453</v>
      </c>
      <c r="O584" s="96"/>
      <c r="P584" s="96"/>
      <c r="Q584" s="97">
        <f>SUM(Q573:Q583)</f>
        <v>1816872</v>
      </c>
      <c r="AG584" s="37"/>
      <c r="AH584" s="37"/>
      <c r="AU584" s="96"/>
      <c r="AV584" s="96"/>
      <c r="AW584" s="97">
        <f>SUM(AW573:AW583)</f>
        <v>1088362.1215978467</v>
      </c>
      <c r="AX584" s="66" t="s">
        <v>108</v>
      </c>
      <c r="AY584" s="107">
        <v>8</v>
      </c>
    </row>
    <row r="585" spans="1:51" ht="16.5" thickTop="1">
      <c r="A585" s="57">
        <f t="shared" si="98"/>
        <v>583</v>
      </c>
      <c r="B585" s="64" t="s">
        <v>60</v>
      </c>
      <c r="E585" s="59"/>
      <c r="G585" s="59"/>
      <c r="I585" s="76"/>
      <c r="J585" s="26">
        <f>J565</f>
        <v>0</v>
      </c>
      <c r="K585" s="81">
        <f>ROUND(SUM(K574:K582)*J585,0)</f>
        <v>0</v>
      </c>
      <c r="M585" s="81">
        <f>ROUND(SUM(M574:M582)*J585,0)</f>
        <v>0</v>
      </c>
      <c r="O585" s="76"/>
      <c r="P585" s="26">
        <f>P565</f>
        <v>0</v>
      </c>
      <c r="Q585" s="81">
        <f>ROUND(SUM(Q574:Q582)*P585,0)</f>
        <v>0</v>
      </c>
      <c r="AG585" s="37"/>
      <c r="AH585" s="37"/>
      <c r="AU585" s="76"/>
      <c r="AV585" s="26">
        <f>AV565</f>
        <v>0.0358</v>
      </c>
      <c r="AW585" s="81">
        <f>ROUND(SUM(AW574:AW582)*AV585,0)</f>
        <v>38986</v>
      </c>
      <c r="AX585" s="66" t="s">
        <v>108</v>
      </c>
      <c r="AY585" s="107">
        <v>8</v>
      </c>
    </row>
    <row r="586" spans="1:51" ht="15.75">
      <c r="A586" s="57">
        <f t="shared" si="98"/>
        <v>584</v>
      </c>
      <c r="B586" s="64" t="s">
        <v>62</v>
      </c>
      <c r="E586" s="59"/>
      <c r="G586" s="59"/>
      <c r="I586" s="76"/>
      <c r="J586" s="26">
        <f>J566</f>
        <v>0.0304</v>
      </c>
      <c r="K586" s="81">
        <f>ROUND(SUM(K574:K582,K585)*J586,0)</f>
        <v>36014</v>
      </c>
      <c r="M586" s="81">
        <f>ROUND(SUM(M574:M582,M585)*J586,0)</f>
        <v>41401</v>
      </c>
      <c r="O586" s="76"/>
      <c r="P586" s="26">
        <f>P566</f>
        <v>0.030009111139120682</v>
      </c>
      <c r="Q586" s="81">
        <f>ROUND(SUM(Q574:Q582,Q585)*P586,0)</f>
        <v>54505</v>
      </c>
      <c r="S586" s="37"/>
      <c r="T586" s="37"/>
      <c r="U586" s="37"/>
      <c r="V586" s="37"/>
      <c r="AG586" s="37"/>
      <c r="AH586" s="37"/>
      <c r="AU586" s="76"/>
      <c r="AV586" s="26">
        <f>AV566</f>
        <v>0</v>
      </c>
      <c r="AW586" s="81">
        <f>ROUND(SUM(AW574:AW582,AW585)*AV586,0)</f>
        <v>0</v>
      </c>
      <c r="AX586" s="66" t="s">
        <v>108</v>
      </c>
      <c r="AY586" s="107">
        <v>8</v>
      </c>
    </row>
    <row r="587" spans="1:51" ht="15.75">
      <c r="A587" s="57">
        <f t="shared" si="98"/>
        <v>585</v>
      </c>
      <c r="E587" s="59"/>
      <c r="G587" s="59"/>
      <c r="AG587" s="37"/>
      <c r="AH587" s="37"/>
      <c r="AX587" s="66" t="s">
        <v>108</v>
      </c>
      <c r="AY587" s="107">
        <v>8</v>
      </c>
    </row>
    <row r="588" spans="1:51" ht="15.75">
      <c r="A588" s="57">
        <f t="shared" si="98"/>
        <v>586</v>
      </c>
      <c r="E588" s="59"/>
      <c r="G588" s="59"/>
      <c r="AG588" s="37"/>
      <c r="AH588" s="37"/>
      <c r="AX588" s="66" t="s">
        <v>108</v>
      </c>
      <c r="AY588" s="107">
        <v>8</v>
      </c>
    </row>
    <row r="589" spans="1:51" ht="15.75">
      <c r="A589" s="57">
        <f t="shared" si="98"/>
        <v>587</v>
      </c>
      <c r="B589" s="64" t="s">
        <v>195</v>
      </c>
      <c r="E589" s="59"/>
      <c r="G589" s="59"/>
      <c r="AG589" s="37"/>
      <c r="AH589" s="37"/>
      <c r="AX589" s="66" t="s">
        <v>99</v>
      </c>
      <c r="AY589" s="107">
        <v>8</v>
      </c>
    </row>
    <row r="590" spans="1:51" ht="15.75">
      <c r="A590" s="57">
        <f t="shared" si="98"/>
        <v>588</v>
      </c>
      <c r="B590" s="64" t="s">
        <v>143</v>
      </c>
      <c r="E590" s="59"/>
      <c r="G590" s="59"/>
      <c r="AG590" s="37"/>
      <c r="AH590" s="37"/>
      <c r="AX590" s="66" t="s">
        <v>99</v>
      </c>
      <c r="AY590" s="107">
        <v>8</v>
      </c>
    </row>
    <row r="591" spans="1:51" ht="15.75">
      <c r="A591" s="57">
        <f t="shared" si="98"/>
        <v>589</v>
      </c>
      <c r="B591" s="103" t="s">
        <v>208</v>
      </c>
      <c r="E591" s="59"/>
      <c r="G591" s="59"/>
      <c r="AG591" s="37"/>
      <c r="AH591" s="37"/>
      <c r="AX591" s="66" t="s">
        <v>99</v>
      </c>
      <c r="AY591" s="107">
        <v>8</v>
      </c>
    </row>
    <row r="592" spans="1:51" ht="15.75">
      <c r="A592" s="57">
        <f t="shared" si="98"/>
        <v>590</v>
      </c>
      <c r="B592" s="98" t="s">
        <v>144</v>
      </c>
      <c r="E592" s="59"/>
      <c r="G592" s="59"/>
      <c r="AG592" s="37"/>
      <c r="AH592" s="37"/>
      <c r="AX592" s="66" t="s">
        <v>99</v>
      </c>
      <c r="AY592" s="107">
        <v>8</v>
      </c>
    </row>
    <row r="593" spans="1:51" ht="15.75">
      <c r="A593" s="57">
        <f t="shared" si="98"/>
        <v>591</v>
      </c>
      <c r="B593" s="64" t="s">
        <v>44</v>
      </c>
      <c r="E593" s="59">
        <f>10+12</f>
        <v>22</v>
      </c>
      <c r="G593" s="59">
        <v>22</v>
      </c>
      <c r="I593" s="76">
        <f>I494</f>
        <v>14.74</v>
      </c>
      <c r="K593" s="66">
        <f aca="true" t="shared" si="107" ref="K593:K598">ROUND(I593*$E593,0)</f>
        <v>324</v>
      </c>
      <c r="M593" s="66">
        <f aca="true" t="shared" si="108" ref="M593:M598">ROUND(I593*$G593,0)</f>
        <v>324</v>
      </c>
      <c r="O593" s="76">
        <f aca="true" t="shared" si="109" ref="O593:O598">O573</f>
        <v>15</v>
      </c>
      <c r="Q593" s="66">
        <f aca="true" t="shared" si="110" ref="Q593:Q598">ROUND(O593*$G593,0)</f>
        <v>330</v>
      </c>
      <c r="AG593" s="37"/>
      <c r="AH593" s="37"/>
      <c r="AU593" s="76">
        <f>AU494</f>
        <v>14.74</v>
      </c>
      <c r="AW593" s="66">
        <f aca="true" t="shared" si="111" ref="AW593:AW598">ROUND(AU593*$E593,0)</f>
        <v>324</v>
      </c>
      <c r="AX593" s="66" t="s">
        <v>99</v>
      </c>
      <c r="AY593" s="107">
        <v>8</v>
      </c>
    </row>
    <row r="594" spans="1:51" ht="15.75">
      <c r="A594" s="57">
        <f t="shared" si="98"/>
        <v>592</v>
      </c>
      <c r="B594" s="64" t="s">
        <v>196</v>
      </c>
      <c r="E594" s="59">
        <f>217+4552</f>
        <v>4769</v>
      </c>
      <c r="G594" s="59">
        <f aca="true" t="shared" si="112" ref="G594:G602">E594*($G$604-$G$603)/($E$604-$E$603)</f>
        <v>4849.467485799437</v>
      </c>
      <c r="I594" s="76">
        <f>I497</f>
        <v>10.66</v>
      </c>
      <c r="K594" s="66">
        <f t="shared" si="107"/>
        <v>50838</v>
      </c>
      <c r="M594" s="66">
        <f t="shared" si="108"/>
        <v>51695</v>
      </c>
      <c r="O594" s="76">
        <f t="shared" si="109"/>
        <v>10.29</v>
      </c>
      <c r="Q594" s="66">
        <f t="shared" si="110"/>
        <v>49901</v>
      </c>
      <c r="AG594" s="37"/>
      <c r="AH594" s="37"/>
      <c r="AU594" s="76">
        <f>AU497</f>
        <v>8.1</v>
      </c>
      <c r="AW594" s="66">
        <f t="shared" si="111"/>
        <v>38629</v>
      </c>
      <c r="AX594" s="66" t="s">
        <v>99</v>
      </c>
      <c r="AY594" s="107">
        <v>8</v>
      </c>
    </row>
    <row r="595" spans="1:51" ht="15.75">
      <c r="A595" s="57">
        <f t="shared" si="98"/>
        <v>593</v>
      </c>
      <c r="B595" s="64" t="s">
        <v>197</v>
      </c>
      <c r="E595" s="59">
        <f>6196+9829-E594</f>
        <v>11256</v>
      </c>
      <c r="G595" s="59">
        <f t="shared" si="112"/>
        <v>11445.922839202864</v>
      </c>
      <c r="I595" s="76">
        <f>I498</f>
        <v>8.56</v>
      </c>
      <c r="K595" s="66">
        <f t="shared" si="107"/>
        <v>96351</v>
      </c>
      <c r="M595" s="66">
        <f t="shared" si="108"/>
        <v>97977</v>
      </c>
      <c r="O595" s="76">
        <f t="shared" si="109"/>
        <v>7.42</v>
      </c>
      <c r="Q595" s="66">
        <f t="shared" si="110"/>
        <v>84929</v>
      </c>
      <c r="AG595" s="37"/>
      <c r="AH595" s="37"/>
      <c r="AU595" s="76">
        <f>AU498</f>
        <v>8.1</v>
      </c>
      <c r="AW595" s="66">
        <f t="shared" si="111"/>
        <v>91174</v>
      </c>
      <c r="AX595" s="66" t="s">
        <v>99</v>
      </c>
      <c r="AY595" s="107">
        <v>8</v>
      </c>
    </row>
    <row r="596" spans="1:51" ht="15.75">
      <c r="A596" s="57">
        <f t="shared" si="98"/>
        <v>594</v>
      </c>
      <c r="B596" s="64" t="s">
        <v>198</v>
      </c>
      <c r="E596" s="59">
        <v>4865.1136875004095</v>
      </c>
      <c r="G596" s="59">
        <f t="shared" si="112"/>
        <v>4947.202902547921</v>
      </c>
      <c r="I596" s="76">
        <f>I495</f>
        <v>0</v>
      </c>
      <c r="K596" s="66">
        <f t="shared" si="107"/>
        <v>0</v>
      </c>
      <c r="M596" s="66">
        <f t="shared" si="108"/>
        <v>0</v>
      </c>
      <c r="O596" s="76">
        <f t="shared" si="109"/>
        <v>3.15</v>
      </c>
      <c r="Q596" s="66">
        <f t="shared" si="110"/>
        <v>15584</v>
      </c>
      <c r="AG596" s="37"/>
      <c r="AH596" s="37"/>
      <c r="AU596" s="76">
        <f>AU495</f>
        <v>0</v>
      </c>
      <c r="AW596" s="66">
        <f t="shared" si="111"/>
        <v>0</v>
      </c>
      <c r="AX596" s="66" t="s">
        <v>99</v>
      </c>
      <c r="AY596" s="107">
        <v>8</v>
      </c>
    </row>
    <row r="597" spans="1:51" ht="15.75">
      <c r="A597" s="57">
        <f t="shared" si="98"/>
        <v>595</v>
      </c>
      <c r="B597" s="64" t="s">
        <v>199</v>
      </c>
      <c r="E597" s="59">
        <v>11306.981260032622</v>
      </c>
      <c r="G597" s="59">
        <f t="shared" si="112"/>
        <v>11497.764307626703</v>
      </c>
      <c r="I597" s="76">
        <f>I496</f>
        <v>0</v>
      </c>
      <c r="K597" s="66">
        <f t="shared" si="107"/>
        <v>0</v>
      </c>
      <c r="M597" s="66">
        <f t="shared" si="108"/>
        <v>0</v>
      </c>
      <c r="O597" s="76">
        <f t="shared" si="109"/>
        <v>3.15</v>
      </c>
      <c r="Q597" s="66">
        <f t="shared" si="110"/>
        <v>36218</v>
      </c>
      <c r="AG597" s="37"/>
      <c r="AH597" s="37"/>
      <c r="AU597" s="76">
        <f>AU496</f>
        <v>0</v>
      </c>
      <c r="AW597" s="66">
        <f t="shared" si="111"/>
        <v>0</v>
      </c>
      <c r="AX597" s="66" t="s">
        <v>99</v>
      </c>
      <c r="AY597" s="107">
        <v>8</v>
      </c>
    </row>
    <row r="598" spans="1:51" ht="15.75">
      <c r="A598" s="57">
        <f t="shared" si="98"/>
        <v>596</v>
      </c>
      <c r="B598" s="64" t="s">
        <v>93</v>
      </c>
      <c r="E598" s="59">
        <v>6196</v>
      </c>
      <c r="G598" s="59">
        <f t="shared" si="112"/>
        <v>6300.545301323823</v>
      </c>
      <c r="I598" s="76">
        <f>I499</f>
        <v>-0.54</v>
      </c>
      <c r="K598" s="66">
        <f t="shared" si="107"/>
        <v>-3346</v>
      </c>
      <c r="M598" s="66">
        <f t="shared" si="108"/>
        <v>-3402</v>
      </c>
      <c r="O598" s="76">
        <f t="shared" si="109"/>
        <v>-0.75</v>
      </c>
      <c r="Q598" s="66">
        <f t="shared" si="110"/>
        <v>-4725</v>
      </c>
      <c r="AG598" s="37"/>
      <c r="AH598" s="37"/>
      <c r="AU598" s="76">
        <f>AU499</f>
        <v>-0.54</v>
      </c>
      <c r="AW598" s="66">
        <f t="shared" si="111"/>
        <v>-3346</v>
      </c>
      <c r="AX598" s="66" t="s">
        <v>99</v>
      </c>
      <c r="AY598" s="107">
        <v>8</v>
      </c>
    </row>
    <row r="599" spans="1:51" ht="15.75">
      <c r="A599" s="57">
        <f t="shared" si="98"/>
        <v>597</v>
      </c>
      <c r="B599" s="64" t="s">
        <v>69</v>
      </c>
      <c r="E599" s="59">
        <v>333517.4589376721</v>
      </c>
      <c r="G599" s="59">
        <f t="shared" si="112"/>
        <v>339144.90942853625</v>
      </c>
      <c r="I599" s="76"/>
      <c r="J599" s="93">
        <f>J500</f>
        <v>2.7737</v>
      </c>
      <c r="K599" s="66">
        <f>ROUND(J599*$E599/100,0)</f>
        <v>9251</v>
      </c>
      <c r="M599" s="66">
        <f>ROUND(J599*$G599/100,0)</f>
        <v>9407</v>
      </c>
      <c r="O599" s="76"/>
      <c r="P599" s="93">
        <f>P579</f>
        <v>3.2775999999999996</v>
      </c>
      <c r="Q599" s="66">
        <f>ROUND(P599*$G599/100,0)</f>
        <v>11116</v>
      </c>
      <c r="AG599" s="37"/>
      <c r="AH599" s="37"/>
      <c r="AU599" s="76"/>
      <c r="AV599" s="93">
        <f>AV500</f>
        <v>2.7737</v>
      </c>
      <c r="AW599" s="66">
        <f>ROUND(AV599*$E599/100,0)</f>
        <v>9251</v>
      </c>
      <c r="AX599" s="66" t="s">
        <v>99</v>
      </c>
      <c r="AY599" s="107">
        <v>8</v>
      </c>
    </row>
    <row r="600" spans="1:51" ht="15.75">
      <c r="A600" s="57">
        <f t="shared" si="98"/>
        <v>598</v>
      </c>
      <c r="B600" s="64" t="s">
        <v>71</v>
      </c>
      <c r="E600" s="59">
        <v>900382.5410623279</v>
      </c>
      <c r="G600" s="59">
        <f t="shared" si="112"/>
        <v>915574.7237708609</v>
      </c>
      <c r="I600" s="76"/>
      <c r="J600" s="93">
        <f>J501</f>
        <v>2.7737</v>
      </c>
      <c r="K600" s="66">
        <f>ROUND(J600*$E600/100,0)</f>
        <v>24974</v>
      </c>
      <c r="M600" s="66">
        <f>ROUND(J600*$G600/100,0)</f>
        <v>25395</v>
      </c>
      <c r="O600" s="76"/>
      <c r="P600" s="93">
        <f>P580</f>
        <v>2.2775999999999996</v>
      </c>
      <c r="Q600" s="66">
        <f>ROUND(P600*$G600/100,0)</f>
        <v>20853</v>
      </c>
      <c r="AG600" s="37"/>
      <c r="AH600" s="37"/>
      <c r="AU600" s="76"/>
      <c r="AV600" s="93">
        <f>AV501</f>
        <v>2.7737</v>
      </c>
      <c r="AW600" s="66">
        <f>ROUND(AV600*$E600/100,0)</f>
        <v>24974</v>
      </c>
      <c r="AX600" s="66" t="s">
        <v>99</v>
      </c>
      <c r="AY600" s="107">
        <v>8</v>
      </c>
    </row>
    <row r="601" spans="1:51" ht="15.75">
      <c r="A601" s="57">
        <f t="shared" si="98"/>
        <v>599</v>
      </c>
      <c r="B601" s="64" t="s">
        <v>139</v>
      </c>
      <c r="E601" s="59">
        <v>1502282.4921472555</v>
      </c>
      <c r="G601" s="59">
        <f t="shared" si="112"/>
        <v>1527630.5515105606</v>
      </c>
      <c r="I601" s="76"/>
      <c r="J601" s="93">
        <f>J502</f>
        <v>2.7737</v>
      </c>
      <c r="K601" s="66">
        <f>ROUND(J601*$E601/100,0)</f>
        <v>41669</v>
      </c>
      <c r="M601" s="66">
        <f>ROUND(J601*$G601/100,0)</f>
        <v>42372</v>
      </c>
      <c r="O601" s="76"/>
      <c r="P601" s="93">
        <f>P581</f>
        <v>2.5775999999999994</v>
      </c>
      <c r="Q601" s="66">
        <f>ROUND(P601*$G601/100,0)</f>
        <v>39376</v>
      </c>
      <c r="AG601" s="37"/>
      <c r="AH601" s="37"/>
      <c r="AU601" s="76"/>
      <c r="AV601" s="93">
        <f>AV502</f>
        <v>2.7737</v>
      </c>
      <c r="AW601" s="66">
        <f>ROUND(AV601*$E601/100,0)</f>
        <v>41669</v>
      </c>
      <c r="AX601" s="66" t="s">
        <v>99</v>
      </c>
      <c r="AY601" s="107">
        <v>8</v>
      </c>
    </row>
    <row r="602" spans="1:51" ht="15.75">
      <c r="A602" s="57">
        <f t="shared" si="98"/>
        <v>600</v>
      </c>
      <c r="B602" s="64" t="s">
        <v>74</v>
      </c>
      <c r="E602" s="59">
        <v>1294917.5078527445</v>
      </c>
      <c r="G602" s="59">
        <f t="shared" si="112"/>
        <v>1316766.6913659724</v>
      </c>
      <c r="I602" s="76"/>
      <c r="J602" s="93">
        <f>J503</f>
        <v>2.7737</v>
      </c>
      <c r="K602" s="66">
        <f>ROUND(J602*$E602/100,0)</f>
        <v>35917</v>
      </c>
      <c r="M602" s="66">
        <f>ROUND(J602*$G602/100,0)</f>
        <v>36523</v>
      </c>
      <c r="O602" s="76"/>
      <c r="P602" s="93">
        <f>P582</f>
        <v>2.2775999999999996</v>
      </c>
      <c r="Q602" s="66">
        <f>ROUND(P602*$G602/100,0)</f>
        <v>29991</v>
      </c>
      <c r="AG602" s="37"/>
      <c r="AH602" s="37"/>
      <c r="AU602" s="76"/>
      <c r="AV602" s="93">
        <f>AV503</f>
        <v>2.7737</v>
      </c>
      <c r="AW602" s="66">
        <f>ROUND(AV602*$E602/100,0)</f>
        <v>35917</v>
      </c>
      <c r="AX602" s="66" t="s">
        <v>99</v>
      </c>
      <c r="AY602" s="107">
        <v>8</v>
      </c>
    </row>
    <row r="603" spans="1:51" ht="15.75">
      <c r="A603" s="57">
        <f t="shared" si="98"/>
        <v>601</v>
      </c>
      <c r="B603" s="64" t="s">
        <v>57</v>
      </c>
      <c r="E603" s="78">
        <v>8457.899432307957</v>
      </c>
      <c r="G603" s="22">
        <v>0</v>
      </c>
      <c r="I603" s="76"/>
      <c r="K603" s="81">
        <f>AW603</f>
        <v>592.9569917812483</v>
      </c>
      <c r="M603" s="81">
        <v>0</v>
      </c>
      <c r="O603" s="76"/>
      <c r="Q603" s="81">
        <v>0</v>
      </c>
      <c r="AG603" s="37"/>
      <c r="AH603" s="37"/>
      <c r="AU603" s="76"/>
      <c r="AW603" s="81">
        <v>592.9569917812483</v>
      </c>
      <c r="AX603" s="66" t="s">
        <v>99</v>
      </c>
      <c r="AY603" s="107">
        <v>8</v>
      </c>
    </row>
    <row r="604" spans="1:51" ht="16.5" thickBot="1">
      <c r="A604" s="57">
        <f t="shared" si="98"/>
        <v>602</v>
      </c>
      <c r="B604" s="64" t="s">
        <v>58</v>
      </c>
      <c r="E604" s="99">
        <f>SUM(E599:E603)</f>
        <v>4039557.899432308</v>
      </c>
      <c r="G604" s="99">
        <v>4099116.87607593</v>
      </c>
      <c r="I604" s="96"/>
      <c r="J604" s="96"/>
      <c r="K604" s="97">
        <f>SUM(K593:K603)</f>
        <v>256570.95699178125</v>
      </c>
      <c r="M604" s="97">
        <f>SUM(M593:M603)</f>
        <v>260291</v>
      </c>
      <c r="O604" s="96"/>
      <c r="P604" s="96"/>
      <c r="Q604" s="97">
        <f>SUM(Q593:Q603)</f>
        <v>283573</v>
      </c>
      <c r="AG604" s="37"/>
      <c r="AH604" s="37"/>
      <c r="AU604" s="96"/>
      <c r="AV604" s="96"/>
      <c r="AW604" s="97">
        <f>SUM(AW593:AW603)</f>
        <v>239184.95699178125</v>
      </c>
      <c r="AX604" s="66" t="s">
        <v>99</v>
      </c>
      <c r="AY604" s="107">
        <v>8</v>
      </c>
    </row>
    <row r="605" spans="1:51" ht="16.5" thickTop="1">
      <c r="A605" s="57">
        <f t="shared" si="98"/>
        <v>603</v>
      </c>
      <c r="B605" s="64" t="s">
        <v>60</v>
      </c>
      <c r="E605" s="59"/>
      <c r="G605" s="59"/>
      <c r="I605" s="76"/>
      <c r="J605" s="26">
        <f>J506</f>
        <v>0</v>
      </c>
      <c r="K605" s="81">
        <f>ROUND(SUM(K594:K602)*J605,0)</f>
        <v>0</v>
      </c>
      <c r="M605" s="81">
        <f>ROUND(SUM(M594:M602)*J605,0)</f>
        <v>0</v>
      </c>
      <c r="O605" s="76"/>
      <c r="P605" s="26">
        <f>P585</f>
        <v>0</v>
      </c>
      <c r="Q605" s="81">
        <f>ROUND(SUM(Q594:Q602)*P605,0)</f>
        <v>0</v>
      </c>
      <c r="AG605" s="37"/>
      <c r="AH605" s="37"/>
      <c r="AU605" s="76"/>
      <c r="AV605" s="26">
        <f>AV506</f>
        <v>0.0353</v>
      </c>
      <c r="AW605" s="81">
        <f>ROUND(SUM(AW594:AW602)*AV605,0)</f>
        <v>8411</v>
      </c>
      <c r="AX605" s="66" t="s">
        <v>99</v>
      </c>
      <c r="AY605" s="107">
        <v>8</v>
      </c>
    </row>
    <row r="606" spans="1:51" ht="15.75">
      <c r="A606" s="57">
        <f t="shared" si="98"/>
        <v>604</v>
      </c>
      <c r="B606" s="64" t="s">
        <v>62</v>
      </c>
      <c r="E606" s="59"/>
      <c r="G606" s="59"/>
      <c r="I606" s="76"/>
      <c r="J606" s="26">
        <f>J507</f>
        <v>0.03</v>
      </c>
      <c r="K606" s="81">
        <f>ROUND(SUM(K594:K602,K605)*J606,0)</f>
        <v>7670</v>
      </c>
      <c r="M606" s="81">
        <f>ROUND(SUM(M594:M602,M605)*J606,0)</f>
        <v>7799</v>
      </c>
      <c r="O606" s="76"/>
      <c r="P606" s="26">
        <f>P586</f>
        <v>0.030009111139120682</v>
      </c>
      <c r="Q606" s="81">
        <f>ROUND(SUM(Q594:Q602,Q605)*P606,0)</f>
        <v>8500</v>
      </c>
      <c r="S606" s="37"/>
      <c r="T606" s="37"/>
      <c r="U606" s="37"/>
      <c r="V606" s="37"/>
      <c r="AG606" s="37"/>
      <c r="AH606" s="37"/>
      <c r="AU606" s="76"/>
      <c r="AV606" s="26">
        <f>AV507</f>
        <v>0</v>
      </c>
      <c r="AW606" s="81">
        <f>ROUND(SUM(AW594:AW602,AW605)*AV606,0)</f>
        <v>0</v>
      </c>
      <c r="AX606" s="66" t="s">
        <v>99</v>
      </c>
      <c r="AY606" s="107">
        <v>8</v>
      </c>
    </row>
    <row r="607" spans="1:51" ht="15.75">
      <c r="A607" s="57">
        <f t="shared" si="98"/>
        <v>605</v>
      </c>
      <c r="AG607" s="60"/>
      <c r="AH607" s="60"/>
      <c r="AX607" s="66" t="s">
        <v>99</v>
      </c>
      <c r="AY607" s="107">
        <v>8</v>
      </c>
    </row>
    <row r="608" spans="1:51" ht="15.75">
      <c r="A608" s="57">
        <f t="shared" si="98"/>
        <v>606</v>
      </c>
      <c r="AG608" s="60"/>
      <c r="AH608" s="60"/>
      <c r="AX608" s="66" t="s">
        <v>99</v>
      </c>
      <c r="AY608" s="107">
        <v>8</v>
      </c>
    </row>
    <row r="609" spans="1:51" ht="15.75">
      <c r="A609" s="57">
        <f t="shared" si="98"/>
        <v>607</v>
      </c>
      <c r="AG609" s="60"/>
      <c r="AH609" s="60"/>
      <c r="AX609" s="66" t="s">
        <v>99</v>
      </c>
      <c r="AY609" s="107">
        <v>8</v>
      </c>
    </row>
    <row r="610" spans="1:51" ht="15.75">
      <c r="A610" s="57">
        <f t="shared" si="98"/>
        <v>608</v>
      </c>
      <c r="B610" s="64" t="s">
        <v>209</v>
      </c>
      <c r="E610" s="59"/>
      <c r="G610" s="59"/>
      <c r="AE610" s="60"/>
      <c r="AF610" s="60"/>
      <c r="AG610" s="60"/>
      <c r="AH610" s="60"/>
      <c r="AX610" s="66" t="s">
        <v>87</v>
      </c>
      <c r="AY610" s="58">
        <v>9</v>
      </c>
    </row>
    <row r="611" spans="1:51" ht="15.75">
      <c r="A611" s="57">
        <f t="shared" si="98"/>
        <v>609</v>
      </c>
      <c r="B611" s="64" t="s">
        <v>210</v>
      </c>
      <c r="E611" s="59"/>
      <c r="G611" s="59"/>
      <c r="AE611" s="60"/>
      <c r="AF611" s="60"/>
      <c r="AG611" s="60"/>
      <c r="AH611" s="60"/>
      <c r="AX611" s="66" t="s">
        <v>87</v>
      </c>
      <c r="AY611" s="58">
        <v>9</v>
      </c>
    </row>
    <row r="612" spans="1:51" ht="15.75">
      <c r="A612" s="57">
        <f t="shared" si="98"/>
        <v>610</v>
      </c>
      <c r="B612" s="64" t="s">
        <v>89</v>
      </c>
      <c r="E612" s="59"/>
      <c r="G612" s="59"/>
      <c r="AE612" s="60"/>
      <c r="AF612" s="60"/>
      <c r="AG612" s="60"/>
      <c r="AH612" s="60"/>
      <c r="AX612" s="66" t="s">
        <v>87</v>
      </c>
      <c r="AY612" s="58">
        <v>9</v>
      </c>
    </row>
    <row r="613" spans="1:51" ht="15.75">
      <c r="A613" s="57">
        <f t="shared" si="98"/>
        <v>611</v>
      </c>
      <c r="E613" s="59"/>
      <c r="G613" s="59"/>
      <c r="S613" s="68"/>
      <c r="T613" s="70"/>
      <c r="U613" s="66"/>
      <c r="V613" s="17"/>
      <c r="AE613" s="60"/>
      <c r="AF613" s="60"/>
      <c r="AG613" s="60"/>
      <c r="AH613" s="60"/>
      <c r="AX613" s="66" t="s">
        <v>87</v>
      </c>
      <c r="AY613" s="58">
        <v>9</v>
      </c>
    </row>
    <row r="614" spans="1:51" ht="15.75">
      <c r="A614" s="57">
        <f t="shared" si="98"/>
        <v>612</v>
      </c>
      <c r="B614" s="64" t="s">
        <v>44</v>
      </c>
      <c r="E614" s="59">
        <f aca="true" t="shared" si="113" ref="E614:E623">E634+E673+E654</f>
        <v>1787.06</v>
      </c>
      <c r="G614" s="59">
        <f aca="true" t="shared" si="114" ref="G614:G623">G634+G673+G654</f>
        <v>1810.9999999999998</v>
      </c>
      <c r="I614" s="69">
        <v>98.29</v>
      </c>
      <c r="J614" s="38"/>
      <c r="K614" s="66">
        <f aca="true" t="shared" si="115" ref="K614:K619">ROUND(I614*$E614,0)</f>
        <v>175650</v>
      </c>
      <c r="M614" s="66">
        <f aca="true" t="shared" si="116" ref="M614:M619">ROUND(I614*$G614,0)</f>
        <v>178003</v>
      </c>
      <c r="O614" s="69">
        <v>100</v>
      </c>
      <c r="P614" s="38"/>
      <c r="Q614" s="66">
        <f aca="true" t="shared" si="117" ref="Q614:Q619">ROUND(O614*$G614,0)</f>
        <v>181100</v>
      </c>
      <c r="R614" s="69"/>
      <c r="S614" s="58"/>
      <c r="W614" s="70">
        <f>O614/I614-1</f>
        <v>0.017397497202156886</v>
      </c>
      <c r="Y614" s="70">
        <f>Q614/K614-1</f>
        <v>0.031027611727867832</v>
      </c>
      <c r="AE614" s="60"/>
      <c r="AF614" s="60"/>
      <c r="AG614" s="60"/>
      <c r="AH614" s="60"/>
      <c r="AU614" s="69">
        <v>98.29</v>
      </c>
      <c r="AV614" s="38"/>
      <c r="AW614" s="66">
        <f aca="true" t="shared" si="118" ref="AW614:AW619">ROUND(AU614*$E614,0)</f>
        <v>175650</v>
      </c>
      <c r="AX614" s="66" t="s">
        <v>87</v>
      </c>
      <c r="AY614" s="58">
        <v>9</v>
      </c>
    </row>
    <row r="615" spans="1:51" ht="15.75">
      <c r="A615" s="57">
        <f t="shared" si="98"/>
        <v>613</v>
      </c>
      <c r="B615" s="64" t="s">
        <v>211</v>
      </c>
      <c r="E615" s="59">
        <f t="shared" si="113"/>
        <v>2854436.87</v>
      </c>
      <c r="G615" s="59">
        <f t="shared" si="114"/>
        <v>3052092.9064498013</v>
      </c>
      <c r="I615" s="69">
        <v>8.72</v>
      </c>
      <c r="J615" s="38"/>
      <c r="K615" s="66">
        <f t="shared" si="115"/>
        <v>24890690</v>
      </c>
      <c r="M615" s="66">
        <f t="shared" si="116"/>
        <v>26614250</v>
      </c>
      <c r="O615" s="69">
        <v>0</v>
      </c>
      <c r="P615" s="38"/>
      <c r="Q615" s="66">
        <f t="shared" si="117"/>
        <v>0</v>
      </c>
      <c r="R615" s="69"/>
      <c r="S615" s="58"/>
      <c r="T615" s="70"/>
      <c r="U615" s="66"/>
      <c r="V615" s="17"/>
      <c r="W615" s="70">
        <f>(O617+O618)/I615-1</f>
        <v>0.1674311926605503</v>
      </c>
      <c r="X615" s="66"/>
      <c r="Y615" s="70">
        <f>(Q617+Q618)/K615-1</f>
        <v>0.46496963322431006</v>
      </c>
      <c r="AE615" s="60"/>
      <c r="AF615" s="60"/>
      <c r="AG615" s="60"/>
      <c r="AH615" s="60"/>
      <c r="AU615" s="69">
        <v>0</v>
      </c>
      <c r="AV615" s="38"/>
      <c r="AW615" s="66">
        <f t="shared" si="118"/>
        <v>0</v>
      </c>
      <c r="AX615" s="66" t="s">
        <v>87</v>
      </c>
      <c r="AY615" s="58">
        <v>9</v>
      </c>
    </row>
    <row r="616" spans="1:51" ht="15.75">
      <c r="A616" s="57">
        <f t="shared" si="98"/>
        <v>614</v>
      </c>
      <c r="B616" s="64" t="s">
        <v>212</v>
      </c>
      <c r="E616" s="59">
        <f t="shared" si="113"/>
        <v>3824954.14</v>
      </c>
      <c r="G616" s="59">
        <f t="shared" si="114"/>
        <v>4089813.8336441126</v>
      </c>
      <c r="I616" s="69">
        <v>6.35</v>
      </c>
      <c r="J616" s="38"/>
      <c r="K616" s="66">
        <f t="shared" si="115"/>
        <v>24288459</v>
      </c>
      <c r="M616" s="66">
        <f t="shared" si="116"/>
        <v>25970318</v>
      </c>
      <c r="O616" s="69">
        <v>0</v>
      </c>
      <c r="P616" s="38"/>
      <c r="Q616" s="66">
        <f t="shared" si="117"/>
        <v>0</v>
      </c>
      <c r="S616" s="73"/>
      <c r="T616" s="70"/>
      <c r="U616" s="66"/>
      <c r="V616" s="17"/>
      <c r="W616" s="70">
        <f>(O617+O619)/I616-1</f>
        <v>0.15748031496062986</v>
      </c>
      <c r="X616" s="66"/>
      <c r="Y616" s="70">
        <f>(Q617+Q619)/K616-1</f>
        <v>0.4074389816167423</v>
      </c>
      <c r="AE616" s="60"/>
      <c r="AF616" s="60"/>
      <c r="AG616" s="60"/>
      <c r="AH616" s="60"/>
      <c r="AU616" s="69">
        <v>0</v>
      </c>
      <c r="AV616" s="38"/>
      <c r="AW616" s="66">
        <f t="shared" si="118"/>
        <v>0</v>
      </c>
      <c r="AX616" s="66" t="s">
        <v>87</v>
      </c>
      <c r="AY616" s="58">
        <v>9</v>
      </c>
    </row>
    <row r="617" spans="1:51" ht="15.75">
      <c r="A617" s="57">
        <f t="shared" si="98"/>
        <v>615</v>
      </c>
      <c r="B617" s="64" t="s">
        <v>213</v>
      </c>
      <c r="E617" s="59">
        <f t="shared" si="113"/>
        <v>6679391.01</v>
      </c>
      <c r="G617" s="59">
        <f t="shared" si="114"/>
        <v>7141906.740093915</v>
      </c>
      <c r="I617" s="69">
        <v>0</v>
      </c>
      <c r="J617" s="38"/>
      <c r="K617" s="66">
        <f t="shared" si="115"/>
        <v>0</v>
      </c>
      <c r="M617" s="66">
        <f t="shared" si="116"/>
        <v>0</v>
      </c>
      <c r="O617" s="69">
        <v>1.4</v>
      </c>
      <c r="P617" s="38"/>
      <c r="Q617" s="66">
        <f t="shared" si="117"/>
        <v>9998669</v>
      </c>
      <c r="S617" s="68"/>
      <c r="T617" s="70"/>
      <c r="U617" s="66"/>
      <c r="V617" s="17"/>
      <c r="AE617" s="60"/>
      <c r="AF617" s="60"/>
      <c r="AG617" s="60"/>
      <c r="AH617" s="60"/>
      <c r="AU617" s="69">
        <v>6.02</v>
      </c>
      <c r="AV617" s="38"/>
      <c r="AW617" s="66">
        <f t="shared" si="118"/>
        <v>40209934</v>
      </c>
      <c r="AX617" s="66" t="s">
        <v>87</v>
      </c>
      <c r="AY617" s="58">
        <v>9</v>
      </c>
    </row>
    <row r="618" spans="1:51" ht="15.75">
      <c r="A618" s="57">
        <f t="shared" si="98"/>
        <v>616</v>
      </c>
      <c r="B618" s="64" t="s">
        <v>214</v>
      </c>
      <c r="E618" s="59">
        <f t="shared" si="113"/>
        <v>2819078.881494957</v>
      </c>
      <c r="G618" s="59">
        <f t="shared" si="114"/>
        <v>3014286.547151137</v>
      </c>
      <c r="I618" s="69">
        <v>0</v>
      </c>
      <c r="K618" s="66">
        <f t="shared" si="115"/>
        <v>0</v>
      </c>
      <c r="M618" s="66">
        <f t="shared" si="116"/>
        <v>0</v>
      </c>
      <c r="O618" s="69">
        <v>8.78</v>
      </c>
      <c r="P618" s="69"/>
      <c r="Q618" s="66">
        <f t="shared" si="117"/>
        <v>26465436</v>
      </c>
      <c r="R618" s="69">
        <f>ROUND(O618*$S$627/$S$625,2)</f>
        <v>0</v>
      </c>
      <c r="S618" s="68"/>
      <c r="T618" s="70"/>
      <c r="U618" s="66"/>
      <c r="V618" s="17"/>
      <c r="AE618" s="60"/>
      <c r="AF618" s="60"/>
      <c r="AG618" s="60"/>
      <c r="AH618" s="60"/>
      <c r="AU618" s="69">
        <v>0</v>
      </c>
      <c r="AW618" s="66">
        <f t="shared" si="118"/>
        <v>0</v>
      </c>
      <c r="AX618" s="66" t="s">
        <v>87</v>
      </c>
      <c r="AY618" s="58">
        <v>9</v>
      </c>
    </row>
    <row r="619" spans="1:51" ht="15.75">
      <c r="A619" s="57">
        <f t="shared" si="98"/>
        <v>617</v>
      </c>
      <c r="B619" s="64" t="s">
        <v>215</v>
      </c>
      <c r="E619" s="59">
        <f t="shared" si="113"/>
        <v>3801606.5740952417</v>
      </c>
      <c r="G619" s="59">
        <f t="shared" si="114"/>
        <v>4064849.5609955527</v>
      </c>
      <c r="I619" s="69">
        <v>0</v>
      </c>
      <c r="K619" s="66">
        <f t="shared" si="115"/>
        <v>0</v>
      </c>
      <c r="M619" s="66">
        <f t="shared" si="116"/>
        <v>0</v>
      </c>
      <c r="O619" s="69">
        <v>5.95</v>
      </c>
      <c r="P619" s="69"/>
      <c r="Q619" s="66">
        <f t="shared" si="117"/>
        <v>24185855</v>
      </c>
      <c r="R619" s="69">
        <f>ROUND(O619*$S$627/$S$625,2)</f>
        <v>0</v>
      </c>
      <c r="T619" s="70">
        <f>(M619)/SUM($M$346:$M$352)</f>
        <v>0</v>
      </c>
      <c r="U619" s="66">
        <f>T619*$S$627</f>
        <v>0</v>
      </c>
      <c r="V619" s="17">
        <f>G619</f>
        <v>4064849.5609955527</v>
      </c>
      <c r="AE619" s="60"/>
      <c r="AF619" s="60"/>
      <c r="AG619" s="60"/>
      <c r="AH619" s="60"/>
      <c r="AU619" s="69">
        <v>0</v>
      </c>
      <c r="AW619" s="66">
        <f t="shared" si="118"/>
        <v>0</v>
      </c>
      <c r="AX619" s="66" t="s">
        <v>87</v>
      </c>
      <c r="AY619" s="58">
        <v>9</v>
      </c>
    </row>
    <row r="620" spans="1:51" ht="15.75">
      <c r="A620" s="57">
        <f aca="true" t="shared" si="119" ref="A620:A683">A619+1</f>
        <v>618</v>
      </c>
      <c r="B620" s="64" t="s">
        <v>216</v>
      </c>
      <c r="E620" s="59">
        <f t="shared" si="113"/>
        <v>372101578.581863</v>
      </c>
      <c r="G620" s="59">
        <f t="shared" si="114"/>
        <v>397867824.7904209</v>
      </c>
      <c r="J620" s="73">
        <v>2.1279</v>
      </c>
      <c r="K620" s="66">
        <f>ROUND(J620*$E620/100,0)</f>
        <v>7917949</v>
      </c>
      <c r="M620" s="66">
        <f>ROUND(J620*$G620/100,0)</f>
        <v>8466229</v>
      </c>
      <c r="P620" s="73">
        <v>2.8634</v>
      </c>
      <c r="Q620" s="66">
        <f>ROUND(P620*$G620/100,0)</f>
        <v>11392547</v>
      </c>
      <c r="S620" s="68">
        <f>ROUND(P620*$S$627/$S$625,4)</f>
        <v>-0.0003</v>
      </c>
      <c r="T620" s="70">
        <f>(M620)/SUM($M$346:$M$352)</f>
        <v>0.5696434926181488</v>
      </c>
      <c r="U620" s="66">
        <f>T620*$S$627</f>
        <v>-8236.486624986735</v>
      </c>
      <c r="V620" s="17">
        <f>G620</f>
        <v>397867824.7904209</v>
      </c>
      <c r="W620" s="70">
        <f>P620/J620-1</f>
        <v>0.34564594200855314</v>
      </c>
      <c r="Y620" s="70">
        <f>Q620/K620-1</f>
        <v>0.4388255089796613</v>
      </c>
      <c r="AE620" s="60"/>
      <c r="AF620" s="60"/>
      <c r="AG620" s="60"/>
      <c r="AH620" s="60"/>
      <c r="AV620" s="73">
        <v>2.1279</v>
      </c>
      <c r="AW620" s="66">
        <f>ROUND(AV620*$E620/100,0)</f>
        <v>7917949</v>
      </c>
      <c r="AX620" s="66" t="s">
        <v>87</v>
      </c>
      <c r="AY620" s="58">
        <v>9</v>
      </c>
    </row>
    <row r="621" spans="1:51" ht="15.75">
      <c r="A621" s="57">
        <f t="shared" si="119"/>
        <v>619</v>
      </c>
      <c r="B621" s="64" t="s">
        <v>217</v>
      </c>
      <c r="E621" s="59">
        <f t="shared" si="113"/>
        <v>1021298468.4006898</v>
      </c>
      <c r="G621" s="59">
        <f t="shared" si="114"/>
        <v>1092018479.558734</v>
      </c>
      <c r="J621" s="106">
        <f>J620</f>
        <v>2.1279</v>
      </c>
      <c r="K621" s="66">
        <f>ROUND(J621*$E621/100,0)</f>
        <v>21732210</v>
      </c>
      <c r="M621" s="66">
        <f>ROUND(J621*$G621/100,0)</f>
        <v>23237061</v>
      </c>
      <c r="P621" s="73">
        <f>P620-0.7</f>
        <v>2.1634</v>
      </c>
      <c r="Q621" s="66">
        <f>ROUND(P621*$G621/100,0)</f>
        <v>23624728</v>
      </c>
      <c r="R621" s="69"/>
      <c r="S621" s="58"/>
      <c r="W621" s="70">
        <f>P621/J621-1</f>
        <v>0.016683114808026867</v>
      </c>
      <c r="Y621" s="70">
        <f>Q621/K621-1</f>
        <v>0.08708355017736347</v>
      </c>
      <c r="AE621" s="60"/>
      <c r="AF621" s="60"/>
      <c r="AG621" s="60"/>
      <c r="AH621" s="60"/>
      <c r="AV621" s="106">
        <f>AV620</f>
        <v>2.1279</v>
      </c>
      <c r="AW621" s="66">
        <f>ROUND(AV621*$E621/100,0)</f>
        <v>21732210</v>
      </c>
      <c r="AX621" s="66" t="s">
        <v>87</v>
      </c>
      <c r="AY621" s="58">
        <v>9</v>
      </c>
    </row>
    <row r="622" spans="1:51" ht="15.75">
      <c r="A622" s="57">
        <f t="shared" si="119"/>
        <v>620</v>
      </c>
      <c r="B622" s="64" t="s">
        <v>218</v>
      </c>
      <c r="E622" s="59">
        <f t="shared" si="113"/>
        <v>1152489989.418137</v>
      </c>
      <c r="G622" s="59">
        <f t="shared" si="114"/>
        <v>1232294382.9749165</v>
      </c>
      <c r="J622" s="106">
        <f>J621</f>
        <v>2.1279</v>
      </c>
      <c r="K622" s="66">
        <f>ROUND(J622*$E622/100,0)</f>
        <v>24523834</v>
      </c>
      <c r="M622" s="66">
        <f>ROUND(J622*$G622/100,0)</f>
        <v>26221992</v>
      </c>
      <c r="P622" s="73">
        <f>P620-1</f>
        <v>1.8634</v>
      </c>
      <c r="Q622" s="66">
        <f>ROUND(P622*$G622/100,0)</f>
        <v>22962574</v>
      </c>
      <c r="R622" s="69"/>
      <c r="S622" s="58"/>
      <c r="W622" s="70">
        <f>P622/J622-1</f>
        <v>-0.12430095399219887</v>
      </c>
      <c r="Y622" s="70">
        <f>Q622/K622-1</f>
        <v>-0.06366296558686546</v>
      </c>
      <c r="AE622" s="60"/>
      <c r="AF622" s="60"/>
      <c r="AG622" s="60"/>
      <c r="AH622" s="60"/>
      <c r="AV622" s="106">
        <f>AV621</f>
        <v>2.1279</v>
      </c>
      <c r="AW622" s="66">
        <f>ROUND(AV622*$E622/100,0)</f>
        <v>24523834</v>
      </c>
      <c r="AX622" s="66" t="s">
        <v>87</v>
      </c>
      <c r="AY622" s="58">
        <v>9</v>
      </c>
    </row>
    <row r="623" spans="1:51" ht="15.75">
      <c r="A623" s="57">
        <f t="shared" si="119"/>
        <v>621</v>
      </c>
      <c r="B623" s="64" t="s">
        <v>219</v>
      </c>
      <c r="E623" s="59">
        <f t="shared" si="113"/>
        <v>1055554230.5993103</v>
      </c>
      <c r="G623" s="59">
        <f t="shared" si="114"/>
        <v>1128646288.675928</v>
      </c>
      <c r="J623" s="106">
        <f>J622</f>
        <v>2.1279</v>
      </c>
      <c r="K623" s="66">
        <f>ROUND(J623*$E623/100,0)</f>
        <v>22461138</v>
      </c>
      <c r="M623" s="66">
        <f>ROUND(J623*$G623/100,0)</f>
        <v>24016464</v>
      </c>
      <c r="P623" s="73">
        <f>P622</f>
        <v>1.8634</v>
      </c>
      <c r="Q623" s="66">
        <f>ROUND(P623*$G623/100,0)</f>
        <v>21031195</v>
      </c>
      <c r="S623" s="73"/>
      <c r="W623" s="70">
        <f>P623/J623-1</f>
        <v>-0.12430095399219887</v>
      </c>
      <c r="Y623" s="70">
        <f>Q623/K623-1</f>
        <v>-0.06366298092287226</v>
      </c>
      <c r="AE623" s="60"/>
      <c r="AF623" s="60"/>
      <c r="AG623" s="60"/>
      <c r="AH623" s="60"/>
      <c r="AV623" s="106">
        <f>AV622</f>
        <v>2.1279</v>
      </c>
      <c r="AW623" s="66">
        <f>ROUND(AV623*$E623/100,0)</f>
        <v>22461138</v>
      </c>
      <c r="AX623" s="66" t="s">
        <v>87</v>
      </c>
      <c r="AY623" s="58">
        <v>9</v>
      </c>
    </row>
    <row r="624" spans="1:51" ht="15.75">
      <c r="A624" s="57">
        <f t="shared" si="119"/>
        <v>622</v>
      </c>
      <c r="B624" s="64" t="s">
        <v>57</v>
      </c>
      <c r="E624" s="22">
        <f>E664+E644+E683</f>
        <v>-3843765</v>
      </c>
      <c r="G624" s="22">
        <f>G664+G644+G683</f>
        <v>0</v>
      </c>
      <c r="I624" s="76"/>
      <c r="K624" s="81">
        <f>K664+K644+K683</f>
        <v>-40253.222940959444</v>
      </c>
      <c r="M624" s="81">
        <v>0</v>
      </c>
      <c r="O624" s="76"/>
      <c r="Q624" s="81">
        <v>0</v>
      </c>
      <c r="S624" s="68"/>
      <c r="U624" s="66"/>
      <c r="V624" s="17"/>
      <c r="AE624" s="60"/>
      <c r="AF624" s="60"/>
      <c r="AG624" s="60"/>
      <c r="AH624" s="60"/>
      <c r="AU624" s="76"/>
      <c r="AW624" s="81">
        <f>AW664+AW644+AW683</f>
        <v>-40253.222940959444</v>
      </c>
      <c r="AX624" s="66" t="s">
        <v>87</v>
      </c>
      <c r="AY624" s="58">
        <v>9</v>
      </c>
    </row>
    <row r="625" spans="1:51" ht="16.5" thickBot="1">
      <c r="A625" s="57">
        <f t="shared" si="119"/>
        <v>623</v>
      </c>
      <c r="B625" s="64" t="s">
        <v>58</v>
      </c>
      <c r="E625" s="99">
        <f>SUM(E620:E624)</f>
        <v>3597600502.0000005</v>
      </c>
      <c r="G625" s="99">
        <f>SUM(G620:G623,G624)</f>
        <v>3850826975.9999995</v>
      </c>
      <c r="I625" s="96"/>
      <c r="J625" s="96"/>
      <c r="K625" s="97">
        <f>SUM(K614:K623)+K624</f>
        <v>125949676.77705903</v>
      </c>
      <c r="M625" s="97">
        <f>SUM(M614:M623)+M624</f>
        <v>134704317</v>
      </c>
      <c r="O625" s="96"/>
      <c r="P625" s="96"/>
      <c r="Q625" s="97">
        <f>SUM(Q614:Q623)+Q624</f>
        <v>139842104</v>
      </c>
      <c r="R625" s="85" t="s">
        <v>59</v>
      </c>
      <c r="S625" s="86">
        <f>Q625</f>
        <v>139842104</v>
      </c>
      <c r="U625" s="66"/>
      <c r="V625" s="60"/>
      <c r="W625" s="60"/>
      <c r="AE625" s="60"/>
      <c r="AF625" s="60"/>
      <c r="AG625" s="60"/>
      <c r="AH625" s="60"/>
      <c r="AU625" s="96"/>
      <c r="AV625" s="96"/>
      <c r="AW625" s="97">
        <f>SUM(AW614:AW623)+AW624</f>
        <v>116980461.77705903</v>
      </c>
      <c r="AX625" s="66" t="s">
        <v>87</v>
      </c>
      <c r="AY625" s="58">
        <v>9</v>
      </c>
    </row>
    <row r="626" spans="1:51" ht="16.5" thickTop="1">
      <c r="A626" s="57">
        <f t="shared" si="119"/>
        <v>624</v>
      </c>
      <c r="B626" s="64" t="s">
        <v>60</v>
      </c>
      <c r="E626" s="59"/>
      <c r="G626" s="59"/>
      <c r="I626" s="76"/>
      <c r="J626" s="26">
        <v>0</v>
      </c>
      <c r="K626" s="81">
        <f>ROUND(SUM(K615:K623)*J626,0)</f>
        <v>0</v>
      </c>
      <c r="M626" s="81">
        <f>ROUND(SUM(M615:M623)*J626,0)</f>
        <v>0</v>
      </c>
      <c r="O626" s="76"/>
      <c r="P626" s="26">
        <v>0</v>
      </c>
      <c r="Q626" s="81">
        <f>ROUND(SUM(Q615:Q623)*P626,0)</f>
        <v>0</v>
      </c>
      <c r="R626" s="88" t="s">
        <v>61</v>
      </c>
      <c r="S626" s="89">
        <v>139827644.98004854</v>
      </c>
      <c r="V626" s="60"/>
      <c r="W626" s="60"/>
      <c r="AE626" s="60"/>
      <c r="AF626" s="60"/>
      <c r="AG626" s="60"/>
      <c r="AH626" s="60"/>
      <c r="AU626" s="76"/>
      <c r="AV626" s="26">
        <v>0.0351</v>
      </c>
      <c r="AW626" s="81">
        <f>ROUND(SUM(AW615:AW619)*AV626,0)</f>
        <v>1411369</v>
      </c>
      <c r="AX626" s="66" t="s">
        <v>87</v>
      </c>
      <c r="AY626" s="58">
        <v>9</v>
      </c>
    </row>
    <row r="627" spans="1:51" ht="15.75">
      <c r="A627" s="57">
        <f t="shared" si="119"/>
        <v>625</v>
      </c>
      <c r="B627" s="64" t="s">
        <v>62</v>
      </c>
      <c r="E627" s="59"/>
      <c r="G627" s="59"/>
      <c r="I627" s="76"/>
      <c r="J627" s="26">
        <v>0.0296</v>
      </c>
      <c r="K627" s="81">
        <f>ROUND(SUM(K615:K623,K626)*J627,0)</f>
        <v>3724103</v>
      </c>
      <c r="M627" s="81">
        <f>ROUND(SUM(M615:M623,M626)*J627,0)</f>
        <v>3981979</v>
      </c>
      <c r="O627" s="76"/>
      <c r="P627" s="26">
        <v>0.0296</v>
      </c>
      <c r="Q627" s="81">
        <f>ROUND(SUM(Q615:Q623,Q626)*P627,0)</f>
        <v>4133966</v>
      </c>
      <c r="R627" s="90" t="s">
        <v>515</v>
      </c>
      <c r="S627" s="91">
        <f>S626-S625</f>
        <v>-14459.019951462746</v>
      </c>
      <c r="U627" s="66"/>
      <c r="V627" s="60"/>
      <c r="W627" s="60"/>
      <c r="AG627" s="60"/>
      <c r="AH627" s="60"/>
      <c r="AU627" s="76"/>
      <c r="AV627" s="26"/>
      <c r="AW627" s="81">
        <f>ROUND(SUM(AW615:AW619,AW626)*AV627,0)</f>
        <v>0</v>
      </c>
      <c r="AX627" s="66" t="s">
        <v>87</v>
      </c>
      <c r="AY627" s="58">
        <v>9</v>
      </c>
    </row>
    <row r="628" spans="1:51" ht="15.75">
      <c r="A628" s="57">
        <f t="shared" si="119"/>
        <v>626</v>
      </c>
      <c r="E628" s="59"/>
      <c r="G628" s="59"/>
      <c r="R628" s="55"/>
      <c r="S628" s="95"/>
      <c r="AE628" s="60"/>
      <c r="AF628" s="60"/>
      <c r="AG628" s="60"/>
      <c r="AH628" s="60"/>
      <c r="AX628" s="66" t="s">
        <v>87</v>
      </c>
      <c r="AY628" s="58">
        <v>9</v>
      </c>
    </row>
    <row r="629" spans="1:51" ht="15.75">
      <c r="A629" s="57">
        <f t="shared" si="119"/>
        <v>627</v>
      </c>
      <c r="U629" s="66"/>
      <c r="AE629" s="60"/>
      <c r="AF629" s="60"/>
      <c r="AG629" s="60"/>
      <c r="AH629" s="60"/>
      <c r="AX629" s="66" t="s">
        <v>87</v>
      </c>
      <c r="AY629" s="58">
        <v>9</v>
      </c>
    </row>
    <row r="630" spans="1:51" ht="15.75">
      <c r="A630" s="57">
        <f t="shared" si="119"/>
        <v>628</v>
      </c>
      <c r="B630" s="64" t="s">
        <v>209</v>
      </c>
      <c r="E630" s="59"/>
      <c r="G630" s="59"/>
      <c r="U630" s="68"/>
      <c r="AE630" s="60"/>
      <c r="AF630" s="60"/>
      <c r="AG630" s="60"/>
      <c r="AH630" s="60"/>
      <c r="AX630" s="66" t="s">
        <v>99</v>
      </c>
      <c r="AY630" s="58">
        <v>9</v>
      </c>
    </row>
    <row r="631" spans="1:51" ht="15.75">
      <c r="A631" s="57">
        <f t="shared" si="119"/>
        <v>629</v>
      </c>
      <c r="B631" s="103" t="s">
        <v>105</v>
      </c>
      <c r="E631" s="59"/>
      <c r="G631" s="59"/>
      <c r="AE631" s="60"/>
      <c r="AF631" s="60"/>
      <c r="AG631" s="60"/>
      <c r="AH631" s="60"/>
      <c r="AX631" s="66" t="s">
        <v>99</v>
      </c>
      <c r="AY631" s="58">
        <v>9</v>
      </c>
    </row>
    <row r="632" spans="1:51" ht="15.75">
      <c r="A632" s="57">
        <f t="shared" si="119"/>
        <v>630</v>
      </c>
      <c r="B632" s="98" t="s">
        <v>220</v>
      </c>
      <c r="E632" s="59"/>
      <c r="G632" s="59"/>
      <c r="AE632" s="60"/>
      <c r="AF632" s="60"/>
      <c r="AG632" s="60"/>
      <c r="AH632" s="60"/>
      <c r="AX632" s="66" t="s">
        <v>99</v>
      </c>
      <c r="AY632" s="58">
        <v>9</v>
      </c>
    </row>
    <row r="633" spans="1:51" ht="15.75">
      <c r="A633" s="57">
        <f t="shared" si="119"/>
        <v>631</v>
      </c>
      <c r="E633" s="59"/>
      <c r="G633" s="59"/>
      <c r="AE633" s="60"/>
      <c r="AF633" s="60"/>
      <c r="AG633" s="60"/>
      <c r="AH633" s="60"/>
      <c r="AX633" s="66" t="s">
        <v>99</v>
      </c>
      <c r="AY633" s="58">
        <v>9</v>
      </c>
    </row>
    <row r="634" spans="1:51" ht="15.75">
      <c r="A634" s="57">
        <f t="shared" si="119"/>
        <v>632</v>
      </c>
      <c r="B634" s="64" t="s">
        <v>44</v>
      </c>
      <c r="E634" s="59">
        <f>286.1+6</f>
        <v>292.1</v>
      </c>
      <c r="G634" s="59">
        <v>296.0130605575639</v>
      </c>
      <c r="I634" s="76">
        <f aca="true" t="shared" si="120" ref="I634:I639">I614</f>
        <v>98.29</v>
      </c>
      <c r="K634" s="66">
        <f aca="true" t="shared" si="121" ref="K634:K639">ROUND(I634*$E634,0)</f>
        <v>28711</v>
      </c>
      <c r="M634" s="66">
        <f aca="true" t="shared" si="122" ref="M634:M639">ROUND(I634*$G634,0)</f>
        <v>29095</v>
      </c>
      <c r="O634" s="76">
        <f aca="true" t="shared" si="123" ref="O634:O639">O614</f>
        <v>100</v>
      </c>
      <c r="Q634" s="66">
        <f aca="true" t="shared" si="124" ref="Q634:Q639">ROUND(O634*$G634,0)</f>
        <v>29601</v>
      </c>
      <c r="R634" s="27" t="s">
        <v>202</v>
      </c>
      <c r="AE634" s="60"/>
      <c r="AF634" s="60"/>
      <c r="AG634" s="60"/>
      <c r="AH634" s="60"/>
      <c r="AU634" s="76">
        <f aca="true" t="shared" si="125" ref="AU634:AU639">AU614</f>
        <v>98.29</v>
      </c>
      <c r="AW634" s="66">
        <f aca="true" t="shared" si="126" ref="AW634:AW639">ROUND(AU634*$E634,0)</f>
        <v>28711</v>
      </c>
      <c r="AX634" s="66" t="s">
        <v>99</v>
      </c>
      <c r="AY634" s="58">
        <v>9</v>
      </c>
    </row>
    <row r="635" spans="1:51" ht="15.75">
      <c r="A635" s="57">
        <f t="shared" si="119"/>
        <v>633</v>
      </c>
      <c r="B635" s="64" t="s">
        <v>211</v>
      </c>
      <c r="E635" s="59">
        <f>181919+138</f>
        <v>182057</v>
      </c>
      <c r="G635" s="59">
        <f>E635*$G$645/($E$645-$E$644)</f>
        <v>194663.57238775838</v>
      </c>
      <c r="I635" s="76">
        <f t="shared" si="120"/>
        <v>8.72</v>
      </c>
      <c r="K635" s="66">
        <f t="shared" si="121"/>
        <v>1587537</v>
      </c>
      <c r="M635" s="66">
        <f t="shared" si="122"/>
        <v>1697466</v>
      </c>
      <c r="O635" s="76">
        <f t="shared" si="123"/>
        <v>0</v>
      </c>
      <c r="Q635" s="66">
        <f t="shared" si="124"/>
        <v>0</v>
      </c>
      <c r="R635" s="69">
        <f>ROUND((M615+M618-O617*G615)/G618,2)</f>
        <v>7.41</v>
      </c>
      <c r="AE635" s="60"/>
      <c r="AF635" s="60"/>
      <c r="AG635" s="60"/>
      <c r="AH635" s="60"/>
      <c r="AU635" s="76">
        <f t="shared" si="125"/>
        <v>0</v>
      </c>
      <c r="AW635" s="66">
        <f t="shared" si="126"/>
        <v>0</v>
      </c>
      <c r="AX635" s="66" t="s">
        <v>99</v>
      </c>
      <c r="AY635" s="58">
        <v>9</v>
      </c>
    </row>
    <row r="636" spans="1:51" ht="15.75">
      <c r="A636" s="57">
        <f t="shared" si="119"/>
        <v>634</v>
      </c>
      <c r="B636" s="64" t="s">
        <v>212</v>
      </c>
      <c r="E636" s="59">
        <f>240327.27+0</f>
        <v>240327.27</v>
      </c>
      <c r="G636" s="59">
        <f>E636*$G$645/($E$645-$E$644)</f>
        <v>256968.77857153176</v>
      </c>
      <c r="I636" s="76">
        <f t="shared" si="120"/>
        <v>6.35</v>
      </c>
      <c r="K636" s="66">
        <f t="shared" si="121"/>
        <v>1526078</v>
      </c>
      <c r="M636" s="66">
        <f t="shared" si="122"/>
        <v>1631752</v>
      </c>
      <c r="O636" s="76">
        <f t="shared" si="123"/>
        <v>0</v>
      </c>
      <c r="Q636" s="66">
        <f t="shared" si="124"/>
        <v>0</v>
      </c>
      <c r="R636" s="69">
        <f>ROUND((M616+M619-O617*G616)/G619,2)</f>
        <v>4.98</v>
      </c>
      <c r="AE636" s="60"/>
      <c r="AF636" s="60"/>
      <c r="AG636" s="60"/>
      <c r="AH636" s="60"/>
      <c r="AU636" s="76">
        <f t="shared" si="125"/>
        <v>0</v>
      </c>
      <c r="AW636" s="66">
        <f t="shared" si="126"/>
        <v>0</v>
      </c>
      <c r="AX636" s="66" t="s">
        <v>99</v>
      </c>
      <c r="AY636" s="58">
        <v>9</v>
      </c>
    </row>
    <row r="637" spans="1:51" ht="15.75">
      <c r="A637" s="57">
        <f t="shared" si="119"/>
        <v>635</v>
      </c>
      <c r="B637" s="64" t="s">
        <v>213</v>
      </c>
      <c r="E637" s="59">
        <f>E635+E636</f>
        <v>422384.27</v>
      </c>
      <c r="G637" s="59">
        <f>G635+G636</f>
        <v>451632.35095929017</v>
      </c>
      <c r="I637" s="76">
        <f t="shared" si="120"/>
        <v>0</v>
      </c>
      <c r="K637" s="66">
        <f t="shared" si="121"/>
        <v>0</v>
      </c>
      <c r="M637" s="66">
        <f t="shared" si="122"/>
        <v>0</v>
      </c>
      <c r="O637" s="76">
        <f t="shared" si="123"/>
        <v>1.4</v>
      </c>
      <c r="Q637" s="66">
        <f t="shared" si="124"/>
        <v>632285</v>
      </c>
      <c r="S637" s="68">
        <f>ROUND((SUM(M620:M623)+(G621+G623+G622*0.7)/100)*100/SUM(G620:G623),4)</f>
        <v>2.9286</v>
      </c>
      <c r="AE637" s="60"/>
      <c r="AF637" s="60"/>
      <c r="AG637" s="60"/>
      <c r="AH637" s="60"/>
      <c r="AU637" s="76">
        <f t="shared" si="125"/>
        <v>6.02</v>
      </c>
      <c r="AW637" s="66">
        <f t="shared" si="126"/>
        <v>2542753</v>
      </c>
      <c r="AX637" s="66" t="s">
        <v>99</v>
      </c>
      <c r="AY637" s="58">
        <v>9</v>
      </c>
    </row>
    <row r="638" spans="1:51" ht="15.75">
      <c r="A638" s="57">
        <f t="shared" si="119"/>
        <v>636</v>
      </c>
      <c r="B638" s="64" t="s">
        <v>221</v>
      </c>
      <c r="E638" s="59">
        <v>179801.85490258445</v>
      </c>
      <c r="G638" s="59">
        <f aca="true" t="shared" si="127" ref="G638:G643">E638*$G$645/($E$645-$E$644)</f>
        <v>192252.26932928961</v>
      </c>
      <c r="I638" s="76">
        <f t="shared" si="120"/>
        <v>0</v>
      </c>
      <c r="K638" s="66">
        <f t="shared" si="121"/>
        <v>0</v>
      </c>
      <c r="M638" s="66">
        <f t="shared" si="122"/>
        <v>0</v>
      </c>
      <c r="O638" s="76">
        <f t="shared" si="123"/>
        <v>8.78</v>
      </c>
      <c r="Q638" s="66">
        <f t="shared" si="124"/>
        <v>1687975</v>
      </c>
      <c r="AE638" s="60"/>
      <c r="AF638" s="60"/>
      <c r="AG638" s="60"/>
      <c r="AH638" s="60"/>
      <c r="AU638" s="76">
        <f t="shared" si="125"/>
        <v>0</v>
      </c>
      <c r="AW638" s="66">
        <f t="shared" si="126"/>
        <v>0</v>
      </c>
      <c r="AX638" s="66" t="s">
        <v>99</v>
      </c>
      <c r="AY638" s="58">
        <v>9</v>
      </c>
    </row>
    <row r="639" spans="1:51" ht="15.75">
      <c r="A639" s="57">
        <f t="shared" si="119"/>
        <v>637</v>
      </c>
      <c r="B639" s="64" t="s">
        <v>215</v>
      </c>
      <c r="E639" s="59">
        <v>238860.30946409257</v>
      </c>
      <c r="G639" s="59">
        <f t="shared" si="127"/>
        <v>255400.2380678895</v>
      </c>
      <c r="I639" s="76">
        <f t="shared" si="120"/>
        <v>0</v>
      </c>
      <c r="K639" s="66">
        <f t="shared" si="121"/>
        <v>0</v>
      </c>
      <c r="M639" s="66">
        <f t="shared" si="122"/>
        <v>0</v>
      </c>
      <c r="O639" s="76">
        <f t="shared" si="123"/>
        <v>5.95</v>
      </c>
      <c r="Q639" s="66">
        <f t="shared" si="124"/>
        <v>1519631</v>
      </c>
      <c r="R639" s="69"/>
      <c r="AE639" s="60"/>
      <c r="AF639" s="60"/>
      <c r="AG639" s="60"/>
      <c r="AH639" s="60"/>
      <c r="AU639" s="76">
        <f t="shared" si="125"/>
        <v>0</v>
      </c>
      <c r="AW639" s="66">
        <f t="shared" si="126"/>
        <v>0</v>
      </c>
      <c r="AX639" s="66" t="s">
        <v>99</v>
      </c>
      <c r="AY639" s="58">
        <v>9</v>
      </c>
    </row>
    <row r="640" spans="1:51" ht="15.75">
      <c r="A640" s="57">
        <f t="shared" si="119"/>
        <v>638</v>
      </c>
      <c r="B640" s="64" t="s">
        <v>216</v>
      </c>
      <c r="E640" s="59">
        <v>20595678.548908938</v>
      </c>
      <c r="G640" s="59">
        <f t="shared" si="127"/>
        <v>22021830.31732116</v>
      </c>
      <c r="J640" s="106">
        <f>J620</f>
        <v>2.1279</v>
      </c>
      <c r="K640" s="66">
        <f>ROUND(J640*$E640/100,0)</f>
        <v>438255</v>
      </c>
      <c r="M640" s="66">
        <f>ROUND(J640*$G640/100,0)</f>
        <v>468603</v>
      </c>
      <c r="P640" s="106">
        <f>P620</f>
        <v>2.8634</v>
      </c>
      <c r="Q640" s="66">
        <f>ROUND(P640*$G640/100,0)</f>
        <v>630573</v>
      </c>
      <c r="AE640" s="60"/>
      <c r="AF640" s="60"/>
      <c r="AG640" s="60"/>
      <c r="AH640" s="60"/>
      <c r="AV640" s="106">
        <f>AV620</f>
        <v>2.1279</v>
      </c>
      <c r="AW640" s="66">
        <f>ROUND(AV640*$E640/100,0)</f>
        <v>438255</v>
      </c>
      <c r="AX640" s="66" t="s">
        <v>99</v>
      </c>
      <c r="AY640" s="58">
        <v>9</v>
      </c>
    </row>
    <row r="641" spans="1:51" ht="15.75">
      <c r="A641" s="57">
        <f t="shared" si="119"/>
        <v>639</v>
      </c>
      <c r="B641" s="64" t="s">
        <v>217</v>
      </c>
      <c r="E641" s="59">
        <v>54566078.652262114</v>
      </c>
      <c r="G641" s="59">
        <f t="shared" si="127"/>
        <v>58344517.38543832</v>
      </c>
      <c r="J641" s="106">
        <f>J621</f>
        <v>2.1279</v>
      </c>
      <c r="K641" s="66">
        <f>ROUND(J641*$E641/100,0)</f>
        <v>1161112</v>
      </c>
      <c r="M641" s="66">
        <f>ROUND(J641*$G641/100,0)</f>
        <v>1241513</v>
      </c>
      <c r="P641" s="106">
        <f>P621</f>
        <v>2.1634</v>
      </c>
      <c r="Q641" s="66">
        <f>ROUND(P641*$G641/100,0)</f>
        <v>1262225</v>
      </c>
      <c r="AE641" s="60"/>
      <c r="AF641" s="60"/>
      <c r="AG641" s="60"/>
      <c r="AH641" s="60"/>
      <c r="AV641" s="106">
        <f>AV621</f>
        <v>2.1279</v>
      </c>
      <c r="AW641" s="66">
        <f>ROUND(AV641*$E641/100,0)</f>
        <v>1161112</v>
      </c>
      <c r="AX641" s="66" t="s">
        <v>99</v>
      </c>
      <c r="AY641" s="58">
        <v>9</v>
      </c>
    </row>
    <row r="642" spans="1:51" ht="15.75">
      <c r="A642" s="57">
        <f t="shared" si="119"/>
        <v>640</v>
      </c>
      <c r="B642" s="64" t="s">
        <v>218</v>
      </c>
      <c r="E642" s="59">
        <v>63789875.451091066</v>
      </c>
      <c r="G642" s="59">
        <f t="shared" si="127"/>
        <v>68207017.78827268</v>
      </c>
      <c r="J642" s="106">
        <f>J622</f>
        <v>2.1279</v>
      </c>
      <c r="K642" s="66">
        <f>ROUND(J642*$E642/100,0)</f>
        <v>1357385</v>
      </c>
      <c r="M642" s="66">
        <f>ROUND(J642*$G642/100,0)</f>
        <v>1451377</v>
      </c>
      <c r="P642" s="106">
        <f>P622</f>
        <v>1.8634</v>
      </c>
      <c r="Q642" s="66">
        <f>ROUND(P642*$G642/100,0)</f>
        <v>1270970</v>
      </c>
      <c r="AE642" s="60"/>
      <c r="AF642" s="60"/>
      <c r="AG642" s="60"/>
      <c r="AH642" s="60"/>
      <c r="AV642" s="106">
        <f>AV622</f>
        <v>2.1279</v>
      </c>
      <c r="AW642" s="66">
        <f>ROUND(AV642*$E642/100,0)</f>
        <v>1357385</v>
      </c>
      <c r="AX642" s="66" t="s">
        <v>99</v>
      </c>
      <c r="AY642" s="58">
        <v>9</v>
      </c>
    </row>
    <row r="643" spans="1:51" ht="15.75">
      <c r="A643" s="57">
        <f t="shared" si="119"/>
        <v>641</v>
      </c>
      <c r="B643" s="64" t="s">
        <v>219</v>
      </c>
      <c r="E643" s="59">
        <v>56396300.34773788</v>
      </c>
      <c r="G643" s="59">
        <f t="shared" si="127"/>
        <v>60301473.13832282</v>
      </c>
      <c r="J643" s="106">
        <f>J623</f>
        <v>2.1279</v>
      </c>
      <c r="K643" s="66">
        <f>ROUND(J643*$E643/100,0)</f>
        <v>1200057</v>
      </c>
      <c r="M643" s="66">
        <f>ROUND(J643*$G643/100,0)</f>
        <v>1283155</v>
      </c>
      <c r="P643" s="106">
        <f>P623</f>
        <v>1.8634</v>
      </c>
      <c r="Q643" s="66">
        <f>ROUND(P643*$G643/100,0)</f>
        <v>1123658</v>
      </c>
      <c r="AE643" s="60"/>
      <c r="AF643" s="60"/>
      <c r="AG643" s="60"/>
      <c r="AH643" s="60"/>
      <c r="AV643" s="106">
        <f>AV623</f>
        <v>2.1279</v>
      </c>
      <c r="AW643" s="66">
        <f>ROUND(AV643*$E643/100,0)</f>
        <v>1200057</v>
      </c>
      <c r="AX643" s="66" t="s">
        <v>99</v>
      </c>
      <c r="AY643" s="58">
        <v>9</v>
      </c>
    </row>
    <row r="644" spans="1:51" ht="15.75">
      <c r="A644" s="57">
        <f t="shared" si="119"/>
        <v>642</v>
      </c>
      <c r="B644" s="64" t="s">
        <v>57</v>
      </c>
      <c r="E644" s="22">
        <v>506723</v>
      </c>
      <c r="G644" s="22">
        <v>0</v>
      </c>
      <c r="I644" s="76"/>
      <c r="K644" s="81">
        <f>AW644</f>
        <v>35524.77705904056</v>
      </c>
      <c r="M644" s="81">
        <v>0</v>
      </c>
      <c r="O644" s="76"/>
      <c r="Q644" s="81">
        <v>0</v>
      </c>
      <c r="AE644" s="60"/>
      <c r="AF644" s="60"/>
      <c r="AG644" s="60"/>
      <c r="AH644" s="60"/>
      <c r="AU644" s="76"/>
      <c r="AW644" s="81">
        <v>35524.77705904056</v>
      </c>
      <c r="AX644" s="66" t="s">
        <v>99</v>
      </c>
      <c r="AY644" s="58">
        <v>9</v>
      </c>
    </row>
    <row r="645" spans="1:51" ht="16.5" thickBot="1">
      <c r="A645" s="57">
        <f t="shared" si="119"/>
        <v>643</v>
      </c>
      <c r="B645" s="64" t="s">
        <v>58</v>
      </c>
      <c r="E645" s="99">
        <f>SUM(E640:E644)</f>
        <v>195854656</v>
      </c>
      <c r="G645" s="99">
        <v>208874838.62935498</v>
      </c>
      <c r="I645" s="96"/>
      <c r="J645" s="96"/>
      <c r="K645" s="97">
        <f>SUM(K634:K644)</f>
        <v>7334659.777059041</v>
      </c>
      <c r="M645" s="97">
        <f>SUM(M634:M644)</f>
        <v>7802961</v>
      </c>
      <c r="O645" s="96"/>
      <c r="P645" s="96"/>
      <c r="Q645" s="97">
        <f>SUM(Q634:Q644)</f>
        <v>8156918</v>
      </c>
      <c r="AE645" s="60"/>
      <c r="AF645" s="60"/>
      <c r="AG645" s="60"/>
      <c r="AH645" s="60"/>
      <c r="AU645" s="96"/>
      <c r="AV645" s="96"/>
      <c r="AW645" s="97">
        <f>SUM(AW634:AW644)</f>
        <v>6763797.777059041</v>
      </c>
      <c r="AX645" s="66" t="s">
        <v>99</v>
      </c>
      <c r="AY645" s="58">
        <v>9</v>
      </c>
    </row>
    <row r="646" spans="1:51" ht="16.5" thickTop="1">
      <c r="A646" s="57">
        <f t="shared" si="119"/>
        <v>644</v>
      </c>
      <c r="B646" s="64" t="s">
        <v>60</v>
      </c>
      <c r="E646" s="59"/>
      <c r="G646" s="59"/>
      <c r="I646" s="76"/>
      <c r="J646" s="26">
        <f>J626</f>
        <v>0</v>
      </c>
      <c r="K646" s="81">
        <f>ROUND(SUM(K635:K643)*J646,0)</f>
        <v>0</v>
      </c>
      <c r="M646" s="81">
        <f>ROUND(SUM(M635:M643)*J646,0)</f>
        <v>0</v>
      </c>
      <c r="O646" s="76"/>
      <c r="P646" s="26">
        <f>P626</f>
        <v>0</v>
      </c>
      <c r="Q646" s="81">
        <f>ROUND(SUM(Q635:Q643)*P646,0)</f>
        <v>0</v>
      </c>
      <c r="AE646" s="60"/>
      <c r="AF646" s="60"/>
      <c r="AG646" s="60"/>
      <c r="AH646" s="60"/>
      <c r="AU646" s="76"/>
      <c r="AV646" s="26">
        <f>AV626</f>
        <v>0.0351</v>
      </c>
      <c r="AW646" s="81">
        <f>ROUND(SUM(AW635:AW639)*AV646,0)</f>
        <v>89251</v>
      </c>
      <c r="AX646" s="66" t="s">
        <v>99</v>
      </c>
      <c r="AY646" s="58">
        <v>9</v>
      </c>
    </row>
    <row r="647" spans="1:51" ht="15.75">
      <c r="A647" s="57">
        <f t="shared" si="119"/>
        <v>645</v>
      </c>
      <c r="B647" s="64" t="s">
        <v>62</v>
      </c>
      <c r="E647" s="59"/>
      <c r="G647" s="59"/>
      <c r="I647" s="76"/>
      <c r="J647" s="26">
        <f>J627</f>
        <v>0.0296</v>
      </c>
      <c r="K647" s="81">
        <f>ROUND(SUM(K635:K643,K646)*J647,0)</f>
        <v>215205</v>
      </c>
      <c r="M647" s="81">
        <f>ROUND(SUM(M635:M643,M646)*J647,0)</f>
        <v>230106</v>
      </c>
      <c r="O647" s="76"/>
      <c r="P647" s="26">
        <f>P627</f>
        <v>0.0296</v>
      </c>
      <c r="Q647" s="81">
        <f>ROUND(SUM(Q635:Q643,Q646)*P647,0)</f>
        <v>240569</v>
      </c>
      <c r="S647" s="60"/>
      <c r="T647" s="60"/>
      <c r="U647" s="60"/>
      <c r="V647" s="60"/>
      <c r="AG647" s="60"/>
      <c r="AH647" s="60"/>
      <c r="AU647" s="76"/>
      <c r="AV647" s="26">
        <f>AV627</f>
        <v>0</v>
      </c>
      <c r="AW647" s="81">
        <f>ROUND(SUM(AW635:AW639,AW646)*AV647,0)</f>
        <v>0</v>
      </c>
      <c r="AX647" s="66" t="s">
        <v>99</v>
      </c>
      <c r="AY647" s="58">
        <v>9</v>
      </c>
    </row>
    <row r="648" spans="1:51" ht="15.75">
      <c r="A648" s="57">
        <f t="shared" si="119"/>
        <v>646</v>
      </c>
      <c r="E648" s="59"/>
      <c r="G648" s="59"/>
      <c r="AE648" s="60"/>
      <c r="AF648" s="60"/>
      <c r="AG648" s="60"/>
      <c r="AH648" s="60"/>
      <c r="AX648" s="66" t="s">
        <v>99</v>
      </c>
      <c r="AY648" s="58">
        <v>9</v>
      </c>
    </row>
    <row r="649" spans="1:51" ht="15.75">
      <c r="A649" s="57">
        <f t="shared" si="119"/>
        <v>647</v>
      </c>
      <c r="AE649" s="60"/>
      <c r="AF649" s="60"/>
      <c r="AG649" s="60"/>
      <c r="AH649" s="60"/>
      <c r="AX649" s="66" t="s">
        <v>99</v>
      </c>
      <c r="AY649" s="58">
        <v>9</v>
      </c>
    </row>
    <row r="650" spans="1:51" ht="15.75">
      <c r="A650" s="57">
        <f t="shared" si="119"/>
        <v>648</v>
      </c>
      <c r="B650" s="64" t="s">
        <v>209</v>
      </c>
      <c r="E650" s="59"/>
      <c r="G650" s="59"/>
      <c r="AE650" s="60"/>
      <c r="AF650" s="60"/>
      <c r="AG650" s="60"/>
      <c r="AH650" s="60"/>
      <c r="AX650" s="66" t="s">
        <v>108</v>
      </c>
      <c r="AY650" s="58">
        <v>9</v>
      </c>
    </row>
    <row r="651" spans="1:51" ht="15.75">
      <c r="A651" s="57">
        <f t="shared" si="119"/>
        <v>649</v>
      </c>
      <c r="B651" s="103" t="s">
        <v>109</v>
      </c>
      <c r="E651" s="59"/>
      <c r="G651" s="59"/>
      <c r="AE651" s="60"/>
      <c r="AF651" s="60"/>
      <c r="AG651" s="60"/>
      <c r="AH651" s="60"/>
      <c r="AX651" s="66" t="s">
        <v>108</v>
      </c>
      <c r="AY651" s="58">
        <v>9</v>
      </c>
    </row>
    <row r="652" spans="1:51" ht="15.75">
      <c r="A652" s="57">
        <f t="shared" si="119"/>
        <v>650</v>
      </c>
      <c r="B652" s="98" t="s">
        <v>222</v>
      </c>
      <c r="E652" s="59"/>
      <c r="G652" s="59"/>
      <c r="AE652" s="60"/>
      <c r="AF652" s="60"/>
      <c r="AG652" s="60"/>
      <c r="AH652" s="60"/>
      <c r="AX652" s="66" t="s">
        <v>108</v>
      </c>
      <c r="AY652" s="58">
        <v>9</v>
      </c>
    </row>
    <row r="653" spans="1:51" ht="15.75">
      <c r="A653" s="57">
        <f t="shared" si="119"/>
        <v>651</v>
      </c>
      <c r="E653" s="59"/>
      <c r="G653" s="59"/>
      <c r="AE653" s="60"/>
      <c r="AF653" s="60"/>
      <c r="AG653" s="60"/>
      <c r="AH653" s="60"/>
      <c r="AX653" s="66" t="s">
        <v>108</v>
      </c>
      <c r="AY653" s="58">
        <v>9</v>
      </c>
    </row>
    <row r="654" spans="1:51" ht="15.75">
      <c r="A654" s="57">
        <f t="shared" si="119"/>
        <v>652</v>
      </c>
      <c r="B654" s="64" t="s">
        <v>44</v>
      </c>
      <c r="E654" s="59">
        <f>1252.33+5.6+159.03+6</f>
        <v>1422.9599999999998</v>
      </c>
      <c r="G654" s="59">
        <v>1442.0224055152034</v>
      </c>
      <c r="I654" s="76">
        <f aca="true" t="shared" si="128" ref="I654:I659">I614</f>
        <v>98.29</v>
      </c>
      <c r="K654" s="66">
        <f aca="true" t="shared" si="129" ref="K654:K659">ROUND(I654*$E654,0)</f>
        <v>139863</v>
      </c>
      <c r="M654" s="66">
        <f aca="true" t="shared" si="130" ref="M654:M659">ROUND(I654*$G654,0)</f>
        <v>141736</v>
      </c>
      <c r="O654" s="76">
        <f aca="true" t="shared" si="131" ref="O654:O659">O614</f>
        <v>100</v>
      </c>
      <c r="Q654" s="66">
        <f aca="true" t="shared" si="132" ref="Q654:Q659">ROUND(O654*$G654,0)</f>
        <v>144202</v>
      </c>
      <c r="AE654" s="60"/>
      <c r="AF654" s="60"/>
      <c r="AG654" s="60"/>
      <c r="AH654" s="60"/>
      <c r="AU654" s="76">
        <f aca="true" t="shared" si="133" ref="AU654:AU659">AU614</f>
        <v>98.29</v>
      </c>
      <c r="AW654" s="66">
        <f aca="true" t="shared" si="134" ref="AW654:AW659">ROUND(AU654*$E654,0)</f>
        <v>139863</v>
      </c>
      <c r="AX654" s="66" t="s">
        <v>108</v>
      </c>
      <c r="AY654" s="58">
        <v>9</v>
      </c>
    </row>
    <row r="655" spans="1:51" ht="15.75">
      <c r="A655" s="57">
        <f t="shared" si="119"/>
        <v>653</v>
      </c>
      <c r="B655" s="64" t="s">
        <v>211</v>
      </c>
      <c r="E655" s="59">
        <f>1741972.87+512767+19456</f>
        <v>2274195.87</v>
      </c>
      <c r="G655" s="59">
        <f>E655*$G$665/($E$665-$E$664)</f>
        <v>2431673.00550754</v>
      </c>
      <c r="I655" s="76">
        <f t="shared" si="128"/>
        <v>8.72</v>
      </c>
      <c r="K655" s="66">
        <f t="shared" si="129"/>
        <v>19830988</v>
      </c>
      <c r="M655" s="66">
        <f t="shared" si="130"/>
        <v>21204189</v>
      </c>
      <c r="O655" s="76">
        <f t="shared" si="131"/>
        <v>0</v>
      </c>
      <c r="Q655" s="66">
        <f t="shared" si="132"/>
        <v>0</v>
      </c>
      <c r="AE655" s="60"/>
      <c r="AF655" s="60"/>
      <c r="AG655" s="60"/>
      <c r="AH655" s="60"/>
      <c r="AU655" s="76">
        <f t="shared" si="133"/>
        <v>0</v>
      </c>
      <c r="AW655" s="66">
        <f t="shared" si="134"/>
        <v>0</v>
      </c>
      <c r="AX655" s="66" t="s">
        <v>108</v>
      </c>
      <c r="AY655" s="58">
        <v>9</v>
      </c>
    </row>
    <row r="656" spans="1:51" ht="15.75">
      <c r="A656" s="57">
        <f t="shared" si="119"/>
        <v>654</v>
      </c>
      <c r="B656" s="64" t="s">
        <v>212</v>
      </c>
      <c r="E656" s="59">
        <f>2363011.87+22517+717202+3880</f>
        <v>3106610.87</v>
      </c>
      <c r="G656" s="59">
        <f>E656*$G$665/($E$665-$E$664)</f>
        <v>3321728.7441451973</v>
      </c>
      <c r="I656" s="76">
        <f t="shared" si="128"/>
        <v>6.35</v>
      </c>
      <c r="K656" s="66">
        <f t="shared" si="129"/>
        <v>19726979</v>
      </c>
      <c r="M656" s="66">
        <f t="shared" si="130"/>
        <v>21092978</v>
      </c>
      <c r="O656" s="76">
        <f t="shared" si="131"/>
        <v>0</v>
      </c>
      <c r="Q656" s="66">
        <f t="shared" si="132"/>
        <v>0</v>
      </c>
      <c r="AE656" s="60"/>
      <c r="AF656" s="60"/>
      <c r="AG656" s="60"/>
      <c r="AH656" s="60"/>
      <c r="AU656" s="76">
        <f t="shared" si="133"/>
        <v>0</v>
      </c>
      <c r="AW656" s="66">
        <f t="shared" si="134"/>
        <v>0</v>
      </c>
      <c r="AX656" s="66" t="s">
        <v>108</v>
      </c>
      <c r="AY656" s="58">
        <v>9</v>
      </c>
    </row>
    <row r="657" spans="1:51" ht="15.75">
      <c r="A657" s="57">
        <f t="shared" si="119"/>
        <v>655</v>
      </c>
      <c r="B657" s="64" t="s">
        <v>213</v>
      </c>
      <c r="E657" s="59">
        <f>E655+E656</f>
        <v>5380806.74</v>
      </c>
      <c r="G657" s="59">
        <f>G655+G656</f>
        <v>5753401.749652738</v>
      </c>
      <c r="I657" s="76">
        <f t="shared" si="128"/>
        <v>0</v>
      </c>
      <c r="K657" s="66">
        <f t="shared" si="129"/>
        <v>0</v>
      </c>
      <c r="M657" s="66">
        <f t="shared" si="130"/>
        <v>0</v>
      </c>
      <c r="O657" s="76">
        <f t="shared" si="131"/>
        <v>1.4</v>
      </c>
      <c r="Q657" s="66">
        <f t="shared" si="132"/>
        <v>8054762</v>
      </c>
      <c r="AE657" s="60"/>
      <c r="AF657" s="60"/>
      <c r="AG657" s="60"/>
      <c r="AH657" s="60"/>
      <c r="AU657" s="76">
        <f t="shared" si="133"/>
        <v>6.02</v>
      </c>
      <c r="AW657" s="66">
        <f t="shared" si="134"/>
        <v>32392457</v>
      </c>
      <c r="AX657" s="66" t="s">
        <v>108</v>
      </c>
      <c r="AY657" s="58">
        <v>9</v>
      </c>
    </row>
    <row r="658" spans="1:51" ht="15.75">
      <c r="A658" s="57">
        <f t="shared" si="119"/>
        <v>656</v>
      </c>
      <c r="B658" s="64" t="s">
        <v>214</v>
      </c>
      <c r="E658" s="59">
        <v>2246025.342820089</v>
      </c>
      <c r="G658" s="59">
        <f aca="true" t="shared" si="135" ref="G658:G663">E658*$G$665/($E$665-$E$664)</f>
        <v>2401551.8046919275</v>
      </c>
      <c r="I658" s="76">
        <f t="shared" si="128"/>
        <v>0</v>
      </c>
      <c r="K658" s="66">
        <f t="shared" si="129"/>
        <v>0</v>
      </c>
      <c r="M658" s="66">
        <f t="shared" si="130"/>
        <v>0</v>
      </c>
      <c r="O658" s="76">
        <f t="shared" si="131"/>
        <v>8.78</v>
      </c>
      <c r="Q658" s="66">
        <f t="shared" si="132"/>
        <v>21085625</v>
      </c>
      <c r="AE658" s="60"/>
      <c r="AF658" s="60"/>
      <c r="AG658" s="60"/>
      <c r="AH658" s="60"/>
      <c r="AU658" s="76">
        <f t="shared" si="133"/>
        <v>0</v>
      </c>
      <c r="AW658" s="66">
        <f t="shared" si="134"/>
        <v>0</v>
      </c>
      <c r="AX658" s="66" t="s">
        <v>108</v>
      </c>
      <c r="AY658" s="58">
        <v>9</v>
      </c>
    </row>
    <row r="659" spans="1:51" ht="15.75">
      <c r="A659" s="57">
        <f t="shared" si="119"/>
        <v>657</v>
      </c>
      <c r="B659" s="64" t="s">
        <v>215</v>
      </c>
      <c r="E659" s="59">
        <v>3087648.0800231867</v>
      </c>
      <c r="G659" s="59">
        <f t="shared" si="135"/>
        <v>3301452.8720868565</v>
      </c>
      <c r="I659" s="76">
        <f t="shared" si="128"/>
        <v>0</v>
      </c>
      <c r="K659" s="66">
        <f t="shared" si="129"/>
        <v>0</v>
      </c>
      <c r="M659" s="66">
        <f t="shared" si="130"/>
        <v>0</v>
      </c>
      <c r="O659" s="76">
        <f t="shared" si="131"/>
        <v>5.95</v>
      </c>
      <c r="Q659" s="66">
        <f t="shared" si="132"/>
        <v>19643645</v>
      </c>
      <c r="AE659" s="60"/>
      <c r="AF659" s="60"/>
      <c r="AG659" s="60"/>
      <c r="AH659" s="60"/>
      <c r="AU659" s="76">
        <f t="shared" si="133"/>
        <v>0</v>
      </c>
      <c r="AW659" s="66">
        <f t="shared" si="134"/>
        <v>0</v>
      </c>
      <c r="AX659" s="66" t="s">
        <v>108</v>
      </c>
      <c r="AY659" s="58">
        <v>9</v>
      </c>
    </row>
    <row r="660" spans="1:51" ht="15.75">
      <c r="A660" s="57">
        <f t="shared" si="119"/>
        <v>658</v>
      </c>
      <c r="B660" s="64" t="s">
        <v>216</v>
      </c>
      <c r="E660" s="59">
        <v>303139781.9784437</v>
      </c>
      <c r="G660" s="59">
        <f t="shared" si="135"/>
        <v>324130755.16332835</v>
      </c>
      <c r="J660" s="106">
        <f>J620</f>
        <v>2.1279</v>
      </c>
      <c r="K660" s="66">
        <f>ROUND(J660*$E660/100,0)</f>
        <v>6450511</v>
      </c>
      <c r="M660" s="66">
        <f>ROUND(J660*$G660/100,0)</f>
        <v>6897178</v>
      </c>
      <c r="P660" s="106">
        <f>P620</f>
        <v>2.8634</v>
      </c>
      <c r="Q660" s="66">
        <f>ROUND(P660*$G660/100,0)</f>
        <v>9281160</v>
      </c>
      <c r="AE660" s="60"/>
      <c r="AF660" s="60"/>
      <c r="AG660" s="60"/>
      <c r="AH660" s="60"/>
      <c r="AV660" s="106">
        <f>AV620</f>
        <v>2.1279</v>
      </c>
      <c r="AW660" s="66">
        <f>ROUND(AV660*$E660/100,0)</f>
        <v>6450511</v>
      </c>
      <c r="AX660" s="66" t="s">
        <v>108</v>
      </c>
      <c r="AY660" s="58">
        <v>9</v>
      </c>
    </row>
    <row r="661" spans="1:51" ht="15.75">
      <c r="A661" s="57">
        <f t="shared" si="119"/>
        <v>659</v>
      </c>
      <c r="B661" s="64" t="s">
        <v>217</v>
      </c>
      <c r="E661" s="59">
        <v>841696993.2552781</v>
      </c>
      <c r="G661" s="59">
        <f t="shared" si="135"/>
        <v>899980465.3218905</v>
      </c>
      <c r="J661" s="106">
        <f>J621</f>
        <v>2.1279</v>
      </c>
      <c r="K661" s="66">
        <f>ROUND(J661*$E661/100,0)</f>
        <v>17910470</v>
      </c>
      <c r="M661" s="66">
        <f>ROUND(J661*$G661/100,0)</f>
        <v>19150684</v>
      </c>
      <c r="P661" s="106">
        <f>P621</f>
        <v>2.1634</v>
      </c>
      <c r="Q661" s="66">
        <f>ROUND(P661*$G661/100,0)</f>
        <v>19470177</v>
      </c>
      <c r="AE661" s="60"/>
      <c r="AF661" s="60"/>
      <c r="AG661" s="60"/>
      <c r="AH661" s="60"/>
      <c r="AV661" s="106">
        <f>AV621</f>
        <v>2.1279</v>
      </c>
      <c r="AW661" s="66">
        <f>ROUND(AV661*$E661/100,0)</f>
        <v>17910470</v>
      </c>
      <c r="AX661" s="66" t="s">
        <v>108</v>
      </c>
      <c r="AY661" s="58">
        <v>9</v>
      </c>
    </row>
    <row r="662" spans="1:51" ht="15.75">
      <c r="A662" s="57">
        <f t="shared" si="119"/>
        <v>660</v>
      </c>
      <c r="B662" s="64" t="s">
        <v>218</v>
      </c>
      <c r="E662" s="59">
        <v>938898366.0215563</v>
      </c>
      <c r="G662" s="59">
        <f t="shared" si="135"/>
        <v>1003912566.0578021</v>
      </c>
      <c r="J662" s="106">
        <f>J622</f>
        <v>2.1279</v>
      </c>
      <c r="K662" s="66">
        <f>ROUND(J662*$E662/100,0)</f>
        <v>19978818</v>
      </c>
      <c r="M662" s="66">
        <f>ROUND(J662*$G662/100,0)</f>
        <v>21362255</v>
      </c>
      <c r="P662" s="106">
        <f>P622</f>
        <v>1.8634</v>
      </c>
      <c r="Q662" s="66">
        <f>ROUND(P662*$G662/100,0)</f>
        <v>18706907</v>
      </c>
      <c r="AE662" s="60"/>
      <c r="AF662" s="60"/>
      <c r="AG662" s="60"/>
      <c r="AH662" s="60"/>
      <c r="AV662" s="106">
        <f>AV622</f>
        <v>2.1279</v>
      </c>
      <c r="AW662" s="66">
        <f>ROUND(AV662*$E662/100,0)</f>
        <v>19978818</v>
      </c>
      <c r="AX662" s="66" t="s">
        <v>108</v>
      </c>
      <c r="AY662" s="58">
        <v>9</v>
      </c>
    </row>
    <row r="663" spans="1:51" ht="15.75">
      <c r="A663" s="57">
        <f t="shared" si="119"/>
        <v>661</v>
      </c>
      <c r="B663" s="64" t="s">
        <v>219</v>
      </c>
      <c r="E663" s="59">
        <v>869928673.744722</v>
      </c>
      <c r="G663" s="59">
        <f t="shared" si="135"/>
        <v>930167054.0198529</v>
      </c>
      <c r="J663" s="106">
        <f>J623</f>
        <v>2.1279</v>
      </c>
      <c r="K663" s="66">
        <f>ROUND(J663*$E663/100,0)</f>
        <v>18511212</v>
      </c>
      <c r="M663" s="66">
        <f>ROUND(J663*$G663/100,0)</f>
        <v>19793025</v>
      </c>
      <c r="P663" s="106">
        <f>P623</f>
        <v>1.8634</v>
      </c>
      <c r="Q663" s="66">
        <f>ROUND(P663*$G663/100,0)</f>
        <v>17332733</v>
      </c>
      <c r="AE663" s="60"/>
      <c r="AF663" s="60"/>
      <c r="AG663" s="60"/>
      <c r="AH663" s="60"/>
      <c r="AV663" s="106">
        <f>AV623</f>
        <v>2.1279</v>
      </c>
      <c r="AW663" s="66">
        <f>ROUND(AV663*$E663/100,0)</f>
        <v>18511212</v>
      </c>
      <c r="AX663" s="66" t="s">
        <v>108</v>
      </c>
      <c r="AY663" s="58">
        <v>9</v>
      </c>
    </row>
    <row r="664" spans="1:51" ht="15.75">
      <c r="A664" s="57">
        <f t="shared" si="119"/>
        <v>662</v>
      </c>
      <c r="B664" s="64" t="s">
        <v>57</v>
      </c>
      <c r="E664" s="22">
        <v>-11249328</v>
      </c>
      <c r="G664" s="22">
        <v>0</v>
      </c>
      <c r="I664" s="76"/>
      <c r="K664" s="81">
        <f>AW664</f>
        <v>-277792</v>
      </c>
      <c r="M664" s="81">
        <v>0</v>
      </c>
      <c r="O664" s="76"/>
      <c r="Q664" s="81">
        <v>0</v>
      </c>
      <c r="AE664" s="60"/>
      <c r="AF664" s="60"/>
      <c r="AG664" s="60"/>
      <c r="AH664" s="60"/>
      <c r="AU664" s="76"/>
      <c r="AW664" s="81">
        <v>-277792</v>
      </c>
      <c r="AX664" s="66" t="s">
        <v>108</v>
      </c>
      <c r="AY664" s="58">
        <v>9</v>
      </c>
    </row>
    <row r="665" spans="1:51" ht="16.5" thickBot="1">
      <c r="A665" s="57">
        <f t="shared" si="119"/>
        <v>663</v>
      </c>
      <c r="B665" s="64" t="s">
        <v>58</v>
      </c>
      <c r="E665" s="99">
        <f>SUM(E660:E664)</f>
        <v>2942414487</v>
      </c>
      <c r="G665" s="99">
        <v>3158190840.562874</v>
      </c>
      <c r="I665" s="96"/>
      <c r="J665" s="96"/>
      <c r="K665" s="97">
        <f>SUM(K654:K664)</f>
        <v>102271049</v>
      </c>
      <c r="M665" s="97">
        <f>SUM(M654:M664)</f>
        <v>109642045</v>
      </c>
      <c r="O665" s="96"/>
      <c r="P665" s="96"/>
      <c r="Q665" s="97">
        <f>SUM(Q654:Q664)</f>
        <v>113719211</v>
      </c>
      <c r="AE665" s="60"/>
      <c r="AF665" s="60"/>
      <c r="AG665" s="60"/>
      <c r="AH665" s="60"/>
      <c r="AU665" s="96"/>
      <c r="AV665" s="96"/>
      <c r="AW665" s="97">
        <f>SUM(AW654:AW664)</f>
        <v>95105539</v>
      </c>
      <c r="AX665" s="66" t="s">
        <v>108</v>
      </c>
      <c r="AY665" s="58">
        <v>9</v>
      </c>
    </row>
    <row r="666" spans="1:51" ht="16.5" thickTop="1">
      <c r="A666" s="57">
        <f t="shared" si="119"/>
        <v>664</v>
      </c>
      <c r="B666" s="64" t="s">
        <v>60</v>
      </c>
      <c r="E666" s="59"/>
      <c r="G666" s="59"/>
      <c r="I666" s="76"/>
      <c r="J666" s="26">
        <f>J626</f>
        <v>0</v>
      </c>
      <c r="K666" s="81">
        <f>ROUND(SUM(K655:K663)*J666,0)</f>
        <v>0</v>
      </c>
      <c r="M666" s="81">
        <f>ROUND(SUM(M655:M663)*J666,0)</f>
        <v>0</v>
      </c>
      <c r="O666" s="76"/>
      <c r="P666" s="26">
        <f>P626</f>
        <v>0</v>
      </c>
      <c r="Q666" s="81">
        <f>ROUND(SUM(Q655:Q663)*P666,0)</f>
        <v>0</v>
      </c>
      <c r="AE666" s="60"/>
      <c r="AF666" s="60"/>
      <c r="AG666" s="60"/>
      <c r="AH666" s="60"/>
      <c r="AU666" s="76"/>
      <c r="AV666" s="26">
        <f>AV646</f>
        <v>0.0351</v>
      </c>
      <c r="AW666" s="81">
        <f>ROUND(SUM(AW655:AW659)*AV666,0)</f>
        <v>1136975</v>
      </c>
      <c r="AX666" s="66" t="s">
        <v>108</v>
      </c>
      <c r="AY666" s="58">
        <v>9</v>
      </c>
    </row>
    <row r="667" spans="1:51" ht="15.75">
      <c r="A667" s="57">
        <f t="shared" si="119"/>
        <v>665</v>
      </c>
      <c r="B667" s="64" t="s">
        <v>62</v>
      </c>
      <c r="E667" s="59"/>
      <c r="G667" s="59"/>
      <c r="I667" s="76"/>
      <c r="J667" s="26">
        <f>J627</f>
        <v>0.0296</v>
      </c>
      <c r="K667" s="81">
        <f>ROUND(SUM(K655:K663,K666)*J667,0)</f>
        <v>3031306</v>
      </c>
      <c r="M667" s="81">
        <f>ROUND(SUM(M655:M663,M666)*J667,0)</f>
        <v>3241209</v>
      </c>
      <c r="O667" s="76"/>
      <c r="P667" s="26">
        <f>P627</f>
        <v>0.0296</v>
      </c>
      <c r="Q667" s="81">
        <f>ROUND(SUM(Q655:Q663,Q666)*P667,0)</f>
        <v>3361820</v>
      </c>
      <c r="S667" s="60"/>
      <c r="T667" s="60"/>
      <c r="U667" s="60"/>
      <c r="V667" s="60"/>
      <c r="AG667" s="60"/>
      <c r="AH667" s="60"/>
      <c r="AU667" s="76"/>
      <c r="AV667" s="26">
        <f>AV647</f>
        <v>0</v>
      </c>
      <c r="AW667" s="81">
        <f>ROUND(SUM(AW655:AW659,AW666)*AV667,0)</f>
        <v>0</v>
      </c>
      <c r="AX667" s="66" t="s">
        <v>108</v>
      </c>
      <c r="AY667" s="58">
        <v>9</v>
      </c>
    </row>
    <row r="668" spans="1:51" ht="15.75">
      <c r="A668" s="57">
        <f t="shared" si="119"/>
        <v>666</v>
      </c>
      <c r="E668" s="59"/>
      <c r="G668" s="59"/>
      <c r="AE668" s="60"/>
      <c r="AF668" s="60"/>
      <c r="AG668" s="60"/>
      <c r="AH668" s="60"/>
      <c r="AX668" s="66" t="s">
        <v>108</v>
      </c>
      <c r="AY668" s="58">
        <v>9</v>
      </c>
    </row>
    <row r="669" spans="1:51" ht="15.75">
      <c r="A669" s="57">
        <f t="shared" si="119"/>
        <v>667</v>
      </c>
      <c r="AE669" s="60"/>
      <c r="AF669" s="60"/>
      <c r="AG669" s="60"/>
      <c r="AH669" s="60"/>
      <c r="AX669" s="66" t="s">
        <v>108</v>
      </c>
      <c r="AY669" s="58">
        <v>9</v>
      </c>
    </row>
    <row r="670" spans="1:51" ht="15.75">
      <c r="A670" s="57">
        <f t="shared" si="119"/>
        <v>668</v>
      </c>
      <c r="B670" s="64" t="s">
        <v>209</v>
      </c>
      <c r="E670" s="59"/>
      <c r="G670" s="59"/>
      <c r="AE670" s="60"/>
      <c r="AF670" s="60"/>
      <c r="AG670" s="60"/>
      <c r="AH670" s="60"/>
      <c r="AX670" s="66" t="s">
        <v>111</v>
      </c>
      <c r="AY670" s="58">
        <v>9</v>
      </c>
    </row>
    <row r="671" spans="1:51" ht="15.75">
      <c r="A671" s="57">
        <f t="shared" si="119"/>
        <v>669</v>
      </c>
      <c r="B671" s="64" t="s">
        <v>112</v>
      </c>
      <c r="E671" s="59"/>
      <c r="G671" s="59"/>
      <c r="AE671" s="60"/>
      <c r="AF671" s="60"/>
      <c r="AG671" s="60"/>
      <c r="AH671" s="60"/>
      <c r="AX671" s="66" t="s">
        <v>111</v>
      </c>
      <c r="AY671" s="58">
        <v>9</v>
      </c>
    </row>
    <row r="672" spans="1:51" ht="15.75">
      <c r="A672" s="57">
        <f t="shared" si="119"/>
        <v>670</v>
      </c>
      <c r="B672" s="98" t="s">
        <v>220</v>
      </c>
      <c r="E672" s="59"/>
      <c r="G672" s="59"/>
      <c r="AE672" s="60"/>
      <c r="AF672" s="60"/>
      <c r="AG672" s="60"/>
      <c r="AH672" s="60"/>
      <c r="AX672" s="66" t="s">
        <v>111</v>
      </c>
      <c r="AY672" s="58">
        <v>9</v>
      </c>
    </row>
    <row r="673" spans="1:51" ht="15.75">
      <c r="A673" s="57">
        <f t="shared" si="119"/>
        <v>671</v>
      </c>
      <c r="B673" s="64" t="s">
        <v>44</v>
      </c>
      <c r="E673" s="59">
        <f>24+48</f>
        <v>72</v>
      </c>
      <c r="G673" s="59">
        <v>72.96453392723244</v>
      </c>
      <c r="I673" s="76">
        <f aca="true" t="shared" si="136" ref="I673:I678">I614</f>
        <v>98.29</v>
      </c>
      <c r="K673" s="66">
        <f aca="true" t="shared" si="137" ref="K673:K678">ROUND(I673*$E673,0)</f>
        <v>7077</v>
      </c>
      <c r="M673" s="66">
        <f aca="true" t="shared" si="138" ref="M673:M678">ROUND(I673*$G673,0)</f>
        <v>7172</v>
      </c>
      <c r="O673" s="76">
        <f aca="true" t="shared" si="139" ref="O673:O678">O614</f>
        <v>100</v>
      </c>
      <c r="Q673" s="66">
        <f aca="true" t="shared" si="140" ref="Q673:Q678">ROUND(O673*$G673,0)</f>
        <v>7296</v>
      </c>
      <c r="AE673" s="60"/>
      <c r="AF673" s="60"/>
      <c r="AG673" s="60"/>
      <c r="AH673" s="60"/>
      <c r="AU673" s="76">
        <f aca="true" t="shared" si="141" ref="AU673:AU678">AU614</f>
        <v>98.29</v>
      </c>
      <c r="AW673" s="66">
        <f aca="true" t="shared" si="142" ref="AW673:AW678">ROUND(AU673*$E673,0)</f>
        <v>7077</v>
      </c>
      <c r="AX673" s="66" t="s">
        <v>111</v>
      </c>
      <c r="AY673" s="58">
        <v>9</v>
      </c>
    </row>
    <row r="674" spans="1:51" ht="15.75">
      <c r="A674" s="57">
        <f t="shared" si="119"/>
        <v>672</v>
      </c>
      <c r="B674" s="64" t="s">
        <v>211</v>
      </c>
      <c r="E674" s="59">
        <f>12710+385474</f>
        <v>398184</v>
      </c>
      <c r="G674" s="59">
        <f>E674*$G$684/($E$684-$E$683)</f>
        <v>425756.32855450315</v>
      </c>
      <c r="I674" s="76">
        <f t="shared" si="136"/>
        <v>8.72</v>
      </c>
      <c r="K674" s="66">
        <f t="shared" si="137"/>
        <v>3472164</v>
      </c>
      <c r="M674" s="66">
        <f t="shared" si="138"/>
        <v>3712595</v>
      </c>
      <c r="O674" s="76">
        <f t="shared" si="139"/>
        <v>0</v>
      </c>
      <c r="Q674" s="66">
        <f t="shared" si="140"/>
        <v>0</v>
      </c>
      <c r="AE674" s="60"/>
      <c r="AF674" s="60"/>
      <c r="AG674" s="60"/>
      <c r="AH674" s="60"/>
      <c r="AU674" s="76">
        <f t="shared" si="141"/>
        <v>0</v>
      </c>
      <c r="AW674" s="66">
        <f t="shared" si="142"/>
        <v>0</v>
      </c>
      <c r="AX674" s="66" t="s">
        <v>111</v>
      </c>
      <c r="AY674" s="58">
        <v>9</v>
      </c>
    </row>
    <row r="675" spans="1:51" ht="15.75">
      <c r="A675" s="57">
        <f t="shared" si="119"/>
        <v>673</v>
      </c>
      <c r="B675" s="64" t="s">
        <v>212</v>
      </c>
      <c r="E675" s="59">
        <f>16372+461644</f>
        <v>478016</v>
      </c>
      <c r="G675" s="59">
        <f>E675*$G$684/($E$684-$E$683)</f>
        <v>511116.3109273838</v>
      </c>
      <c r="I675" s="76">
        <f t="shared" si="136"/>
        <v>6.35</v>
      </c>
      <c r="K675" s="66">
        <f t="shared" si="137"/>
        <v>3035402</v>
      </c>
      <c r="M675" s="66">
        <f t="shared" si="138"/>
        <v>3245589</v>
      </c>
      <c r="O675" s="76">
        <f t="shared" si="139"/>
        <v>0</v>
      </c>
      <c r="Q675" s="66">
        <f t="shared" si="140"/>
        <v>0</v>
      </c>
      <c r="AE675" s="60"/>
      <c r="AF675" s="60"/>
      <c r="AG675" s="60"/>
      <c r="AH675" s="60"/>
      <c r="AU675" s="76">
        <f t="shared" si="141"/>
        <v>0</v>
      </c>
      <c r="AW675" s="66">
        <f t="shared" si="142"/>
        <v>0</v>
      </c>
      <c r="AX675" s="66" t="s">
        <v>111</v>
      </c>
      <c r="AY675" s="58">
        <v>9</v>
      </c>
    </row>
    <row r="676" spans="1:51" ht="15.75">
      <c r="A676" s="57">
        <f t="shared" si="119"/>
        <v>674</v>
      </c>
      <c r="B676" s="64" t="s">
        <v>213</v>
      </c>
      <c r="E676" s="59">
        <f>E674+E675</f>
        <v>876200</v>
      </c>
      <c r="G676" s="59">
        <f>G674+G675</f>
        <v>936872.639481887</v>
      </c>
      <c r="I676" s="76">
        <f t="shared" si="136"/>
        <v>0</v>
      </c>
      <c r="K676" s="66">
        <f t="shared" si="137"/>
        <v>0</v>
      </c>
      <c r="M676" s="66">
        <f t="shared" si="138"/>
        <v>0</v>
      </c>
      <c r="O676" s="76">
        <f t="shared" si="139"/>
        <v>1.4</v>
      </c>
      <c r="Q676" s="66">
        <f t="shared" si="140"/>
        <v>1311622</v>
      </c>
      <c r="AE676" s="60"/>
      <c r="AF676" s="60"/>
      <c r="AG676" s="60"/>
      <c r="AH676" s="60"/>
      <c r="AU676" s="76">
        <f t="shared" si="141"/>
        <v>6.02</v>
      </c>
      <c r="AW676" s="66">
        <f t="shared" si="142"/>
        <v>5274724</v>
      </c>
      <c r="AX676" s="66" t="s">
        <v>111</v>
      </c>
      <c r="AY676" s="58">
        <v>9</v>
      </c>
    </row>
    <row r="677" spans="1:51" ht="15.75">
      <c r="A677" s="57">
        <f t="shared" si="119"/>
        <v>675</v>
      </c>
      <c r="B677" s="64" t="s">
        <v>214</v>
      </c>
      <c r="E677" s="59">
        <v>393251.6837722839</v>
      </c>
      <c r="G677" s="59">
        <f aca="true" t="shared" si="143" ref="G677:G682">E677*$G$684/($E$684-$E$683)</f>
        <v>420482.4731299201</v>
      </c>
      <c r="I677" s="76">
        <f t="shared" si="136"/>
        <v>0</v>
      </c>
      <c r="K677" s="66">
        <f t="shared" si="137"/>
        <v>0</v>
      </c>
      <c r="M677" s="66">
        <f t="shared" si="138"/>
        <v>0</v>
      </c>
      <c r="O677" s="76">
        <f t="shared" si="139"/>
        <v>8.78</v>
      </c>
      <c r="Q677" s="66">
        <f t="shared" si="140"/>
        <v>3691836</v>
      </c>
      <c r="AE677" s="60"/>
      <c r="AF677" s="60"/>
      <c r="AG677" s="60"/>
      <c r="AH677" s="60"/>
      <c r="AU677" s="76">
        <f t="shared" si="141"/>
        <v>0</v>
      </c>
      <c r="AW677" s="66">
        <f t="shared" si="142"/>
        <v>0</v>
      </c>
      <c r="AX677" s="66" t="s">
        <v>111</v>
      </c>
      <c r="AY677" s="58">
        <v>9</v>
      </c>
    </row>
    <row r="678" spans="1:51" ht="15.75">
      <c r="A678" s="57">
        <f t="shared" si="119"/>
        <v>676</v>
      </c>
      <c r="B678" s="64" t="s">
        <v>215</v>
      </c>
      <c r="E678" s="59">
        <v>475098.18460796267</v>
      </c>
      <c r="G678" s="59">
        <f t="shared" si="143"/>
        <v>507996.45084080665</v>
      </c>
      <c r="I678" s="76">
        <f t="shared" si="136"/>
        <v>0</v>
      </c>
      <c r="K678" s="66">
        <f t="shared" si="137"/>
        <v>0</v>
      </c>
      <c r="M678" s="66">
        <f t="shared" si="138"/>
        <v>0</v>
      </c>
      <c r="O678" s="76">
        <f t="shared" si="139"/>
        <v>5.95</v>
      </c>
      <c r="Q678" s="66">
        <f t="shared" si="140"/>
        <v>3022579</v>
      </c>
      <c r="AE678" s="60"/>
      <c r="AF678" s="60"/>
      <c r="AG678" s="60"/>
      <c r="AH678" s="60"/>
      <c r="AU678" s="76">
        <f t="shared" si="141"/>
        <v>0</v>
      </c>
      <c r="AW678" s="66">
        <f t="shared" si="142"/>
        <v>0</v>
      </c>
      <c r="AX678" s="66" t="s">
        <v>111</v>
      </c>
      <c r="AY678" s="58">
        <v>9</v>
      </c>
    </row>
    <row r="679" spans="1:51" ht="15.75">
      <c r="A679" s="57">
        <f t="shared" si="119"/>
        <v>677</v>
      </c>
      <c r="B679" s="64" t="s">
        <v>216</v>
      </c>
      <c r="E679" s="59">
        <v>48366118.054510385</v>
      </c>
      <c r="G679" s="59">
        <f t="shared" si="143"/>
        <v>51715239.30977139</v>
      </c>
      <c r="J679" s="106">
        <f>J620</f>
        <v>2.1279</v>
      </c>
      <c r="K679" s="66">
        <f>ROUND(J679*$E679/100,0)</f>
        <v>1029183</v>
      </c>
      <c r="M679" s="66">
        <f>ROUND(J679*$G679/100,0)</f>
        <v>1100449</v>
      </c>
      <c r="P679" s="106">
        <f>P620</f>
        <v>2.8634</v>
      </c>
      <c r="Q679" s="66">
        <f>ROUND(P679*$G679/100,0)</f>
        <v>1480814</v>
      </c>
      <c r="AE679" s="60"/>
      <c r="AF679" s="60"/>
      <c r="AG679" s="60"/>
      <c r="AH679" s="60"/>
      <c r="AV679" s="106">
        <f>AV640</f>
        <v>2.1279</v>
      </c>
      <c r="AW679" s="66">
        <f>ROUND(AV679*$E679/100,0)</f>
        <v>1029183</v>
      </c>
      <c r="AX679" s="66" t="s">
        <v>111</v>
      </c>
      <c r="AY679" s="58">
        <v>9</v>
      </c>
    </row>
    <row r="680" spans="1:51" ht="15.75">
      <c r="A680" s="57">
        <f t="shared" si="119"/>
        <v>678</v>
      </c>
      <c r="B680" s="64" t="s">
        <v>217</v>
      </c>
      <c r="E680" s="59">
        <v>125035396.49314956</v>
      </c>
      <c r="G680" s="59">
        <f t="shared" si="143"/>
        <v>133693496.85140528</v>
      </c>
      <c r="J680" s="106">
        <f>J621</f>
        <v>2.1279</v>
      </c>
      <c r="K680" s="66">
        <f>ROUND(J680*$E680/100,0)</f>
        <v>2660628</v>
      </c>
      <c r="M680" s="66">
        <f>ROUND(J680*$G680/100,0)</f>
        <v>2844864</v>
      </c>
      <c r="P680" s="106">
        <f>P621</f>
        <v>2.1634</v>
      </c>
      <c r="Q680" s="66">
        <f>ROUND(P680*$G680/100,0)</f>
        <v>2892325</v>
      </c>
      <c r="AE680" s="60"/>
      <c r="AF680" s="60"/>
      <c r="AG680" s="60"/>
      <c r="AH680" s="60"/>
      <c r="AV680" s="106">
        <f>AV641</f>
        <v>2.1279</v>
      </c>
      <c r="AW680" s="66">
        <f>ROUND(AV680*$E680/100,0)</f>
        <v>2660628</v>
      </c>
      <c r="AX680" s="66" t="s">
        <v>111</v>
      </c>
      <c r="AY680" s="58">
        <v>9</v>
      </c>
    </row>
    <row r="681" spans="1:51" ht="15.75">
      <c r="A681" s="57">
        <f t="shared" si="119"/>
        <v>679</v>
      </c>
      <c r="B681" s="64" t="s">
        <v>218</v>
      </c>
      <c r="E681" s="59">
        <v>149801747.94548962</v>
      </c>
      <c r="G681" s="59">
        <f t="shared" si="143"/>
        <v>160174799.12884182</v>
      </c>
      <c r="J681" s="106">
        <f>J622</f>
        <v>2.1279</v>
      </c>
      <c r="K681" s="66">
        <f>ROUND(J681*$E681/100,0)</f>
        <v>3187631</v>
      </c>
      <c r="M681" s="66">
        <f>ROUND(J681*$G681/100,0)</f>
        <v>3408360</v>
      </c>
      <c r="P681" s="106">
        <f>P622</f>
        <v>1.8634</v>
      </c>
      <c r="Q681" s="66">
        <f>ROUND(P681*$G681/100,0)</f>
        <v>2984697</v>
      </c>
      <c r="AE681" s="60"/>
      <c r="AF681" s="60"/>
      <c r="AG681" s="60"/>
      <c r="AH681" s="60"/>
      <c r="AV681" s="106">
        <f>AV642</f>
        <v>2.1279</v>
      </c>
      <c r="AW681" s="66">
        <f>ROUND(AV681*$E681/100,0)</f>
        <v>3187631</v>
      </c>
      <c r="AX681" s="66" t="s">
        <v>111</v>
      </c>
      <c r="AY681" s="58">
        <v>9</v>
      </c>
    </row>
    <row r="682" spans="1:51" ht="15.75">
      <c r="A682" s="57">
        <f t="shared" si="119"/>
        <v>680</v>
      </c>
      <c r="B682" s="64" t="s">
        <v>219</v>
      </c>
      <c r="E682" s="59">
        <v>129229256.5068504</v>
      </c>
      <c r="G682" s="59">
        <f t="shared" si="143"/>
        <v>138177761.5177525</v>
      </c>
      <c r="J682" s="106">
        <f>J623</f>
        <v>2.1279</v>
      </c>
      <c r="K682" s="66">
        <f>ROUND(J682*$E682/100,0)</f>
        <v>2749869</v>
      </c>
      <c r="M682" s="66">
        <f>ROUND(J682*$G682/100,0)</f>
        <v>2940285</v>
      </c>
      <c r="P682" s="106">
        <f>P623</f>
        <v>1.8634</v>
      </c>
      <c r="Q682" s="66">
        <f>ROUND(P682*$G682/100,0)</f>
        <v>2574804</v>
      </c>
      <c r="AE682" s="60"/>
      <c r="AF682" s="60"/>
      <c r="AG682" s="60"/>
      <c r="AH682" s="60"/>
      <c r="AV682" s="106">
        <f>AV643</f>
        <v>2.1279</v>
      </c>
      <c r="AW682" s="66">
        <f>ROUND(AV682*$E682/100,0)</f>
        <v>2749869</v>
      </c>
      <c r="AX682" s="66" t="s">
        <v>111</v>
      </c>
      <c r="AY682" s="58">
        <v>9</v>
      </c>
    </row>
    <row r="683" spans="1:51" ht="15.75">
      <c r="A683" s="57">
        <f t="shared" si="119"/>
        <v>681</v>
      </c>
      <c r="B683" s="64" t="s">
        <v>57</v>
      </c>
      <c r="E683" s="22">
        <v>6898840</v>
      </c>
      <c r="G683" s="22">
        <v>0</v>
      </c>
      <c r="I683" s="76"/>
      <c r="K683" s="81">
        <f>AW683</f>
        <v>202014</v>
      </c>
      <c r="M683" s="81">
        <v>0</v>
      </c>
      <c r="O683" s="76"/>
      <c r="Q683" s="81">
        <v>0</v>
      </c>
      <c r="AE683" s="60"/>
      <c r="AF683" s="60"/>
      <c r="AG683" s="60"/>
      <c r="AH683" s="60"/>
      <c r="AU683" s="76"/>
      <c r="AW683" s="81">
        <v>202014</v>
      </c>
      <c r="AX683" s="66" t="s">
        <v>111</v>
      </c>
      <c r="AY683" s="58">
        <v>9</v>
      </c>
    </row>
    <row r="684" spans="1:51" ht="16.5" thickBot="1">
      <c r="A684" s="57">
        <f aca="true" t="shared" si="144" ref="A684:A747">A683+1</f>
        <v>682</v>
      </c>
      <c r="B684" s="64" t="s">
        <v>58</v>
      </c>
      <c r="E684" s="99">
        <f>SUM(E679:E683)</f>
        <v>459331358.99999994</v>
      </c>
      <c r="G684" s="99">
        <v>483761296.80777097</v>
      </c>
      <c r="I684" s="96"/>
      <c r="J684" s="96"/>
      <c r="K684" s="97">
        <f>SUM(K673:K683)</f>
        <v>16343968</v>
      </c>
      <c r="M684" s="97">
        <f>SUM(M673:M683)</f>
        <v>17259314</v>
      </c>
      <c r="O684" s="96"/>
      <c r="P684" s="96"/>
      <c r="Q684" s="97">
        <f>SUM(Q673:Q683)</f>
        <v>17965973</v>
      </c>
      <c r="AE684" s="60"/>
      <c r="AF684" s="60"/>
      <c r="AG684" s="60"/>
      <c r="AH684" s="60"/>
      <c r="AU684" s="96"/>
      <c r="AV684" s="96"/>
      <c r="AW684" s="97">
        <f>SUM(AW673:AW683)</f>
        <v>15111126</v>
      </c>
      <c r="AX684" s="66" t="s">
        <v>111</v>
      </c>
      <c r="AY684" s="58">
        <v>9</v>
      </c>
    </row>
    <row r="685" spans="1:51" ht="16.5" thickTop="1">
      <c r="A685" s="57">
        <f t="shared" si="144"/>
        <v>683</v>
      </c>
      <c r="B685" s="64" t="s">
        <v>60</v>
      </c>
      <c r="E685" s="59"/>
      <c r="G685" s="59"/>
      <c r="I685" s="76"/>
      <c r="J685" s="26">
        <f>J666</f>
        <v>0</v>
      </c>
      <c r="K685" s="81">
        <f>ROUND(SUM(K674:K682)*J685,0)</f>
        <v>0</v>
      </c>
      <c r="M685" s="81">
        <f>ROUND(SUM(M674:M682)*J685,0)</f>
        <v>0</v>
      </c>
      <c r="O685" s="76"/>
      <c r="P685" s="26">
        <f>P666</f>
        <v>0</v>
      </c>
      <c r="Q685" s="81">
        <f>ROUND(SUM(Q674:Q682)*P685,0)</f>
        <v>0</v>
      </c>
      <c r="AE685" s="60"/>
      <c r="AF685" s="60"/>
      <c r="AG685" s="60"/>
      <c r="AH685" s="60"/>
      <c r="AU685" s="76"/>
      <c r="AV685" s="26">
        <f>AV666</f>
        <v>0.0351</v>
      </c>
      <c r="AW685" s="81">
        <f>ROUND(SUM(AW674:AW678)*AV685,0)</f>
        <v>185143</v>
      </c>
      <c r="AX685" s="66" t="s">
        <v>111</v>
      </c>
      <c r="AY685" s="58">
        <v>9</v>
      </c>
    </row>
    <row r="686" spans="1:51" ht="15.75">
      <c r="A686" s="57">
        <f t="shared" si="144"/>
        <v>684</v>
      </c>
      <c r="B686" s="64" t="s">
        <v>62</v>
      </c>
      <c r="E686" s="59"/>
      <c r="G686" s="59"/>
      <c r="I686" s="76"/>
      <c r="J686" s="26">
        <f>J667</f>
        <v>0.0296</v>
      </c>
      <c r="K686" s="81">
        <f>ROUND(SUM(K674:K682,K685)*J686,0)</f>
        <v>477592</v>
      </c>
      <c r="M686" s="81">
        <f>ROUND(SUM(M674:M682,M685)*J686,0)</f>
        <v>510663</v>
      </c>
      <c r="O686" s="76"/>
      <c r="P686" s="26">
        <f>P667</f>
        <v>0.0296</v>
      </c>
      <c r="Q686" s="81">
        <f>ROUND(SUM(Q674:Q682,Q685)*P686,0)</f>
        <v>531577</v>
      </c>
      <c r="S686" s="60"/>
      <c r="T686" s="60"/>
      <c r="U686" s="60"/>
      <c r="V686" s="60"/>
      <c r="AG686" s="60"/>
      <c r="AH686" s="60"/>
      <c r="AU686" s="76"/>
      <c r="AV686" s="26">
        <f>AV667</f>
        <v>0</v>
      </c>
      <c r="AW686" s="81">
        <f>ROUND(SUM(AW674:AW678,AW685)*AV686,0)</f>
        <v>0</v>
      </c>
      <c r="AX686" s="66" t="s">
        <v>111</v>
      </c>
      <c r="AY686" s="58">
        <v>9</v>
      </c>
    </row>
    <row r="687" spans="1:51" ht="15.75">
      <c r="A687" s="57">
        <f t="shared" si="144"/>
        <v>685</v>
      </c>
      <c r="E687" s="59"/>
      <c r="G687" s="59"/>
      <c r="AE687" s="60"/>
      <c r="AF687" s="60"/>
      <c r="AG687" s="60"/>
      <c r="AH687" s="60"/>
      <c r="AX687" s="66" t="s">
        <v>111</v>
      </c>
      <c r="AY687" s="58">
        <v>9</v>
      </c>
    </row>
    <row r="688" spans="1:51" ht="15.75">
      <c r="A688" s="57">
        <f t="shared" si="144"/>
        <v>686</v>
      </c>
      <c r="E688" s="59"/>
      <c r="G688" s="59"/>
      <c r="AE688" s="60"/>
      <c r="AF688" s="60"/>
      <c r="AG688" s="60"/>
      <c r="AH688" s="60"/>
      <c r="AX688" s="66" t="s">
        <v>111</v>
      </c>
      <c r="AY688" s="58">
        <v>9</v>
      </c>
    </row>
    <row r="689" spans="1:51" ht="15.75">
      <c r="A689" s="57">
        <f t="shared" si="144"/>
        <v>687</v>
      </c>
      <c r="E689" s="59"/>
      <c r="G689" s="59"/>
      <c r="AE689" s="60"/>
      <c r="AF689" s="60"/>
      <c r="AG689" s="60"/>
      <c r="AH689" s="60"/>
      <c r="AX689" s="66" t="s">
        <v>111</v>
      </c>
      <c r="AY689" s="58">
        <v>9</v>
      </c>
    </row>
    <row r="690" spans="1:51" ht="15.75">
      <c r="A690" s="57">
        <f t="shared" si="144"/>
        <v>688</v>
      </c>
      <c r="B690" s="122" t="s">
        <v>223</v>
      </c>
      <c r="E690" s="59"/>
      <c r="G690" s="59"/>
      <c r="J690" s="93"/>
      <c r="P690" s="93"/>
      <c r="AE690" s="60"/>
      <c r="AF690" s="60"/>
      <c r="AG690" s="60"/>
      <c r="AH690" s="60"/>
      <c r="AV690" s="93"/>
      <c r="AX690" s="66" t="s">
        <v>99</v>
      </c>
      <c r="AY690" s="107" t="s">
        <v>10</v>
      </c>
    </row>
    <row r="691" spans="1:51" ht="15.75">
      <c r="A691" s="57">
        <f t="shared" si="144"/>
        <v>689</v>
      </c>
      <c r="B691" s="103" t="s">
        <v>224</v>
      </c>
      <c r="E691" s="59"/>
      <c r="G691" s="59"/>
      <c r="J691" s="65"/>
      <c r="P691" s="65"/>
      <c r="AE691" s="60"/>
      <c r="AF691" s="60"/>
      <c r="AG691" s="60"/>
      <c r="AH691" s="60"/>
      <c r="AV691" s="65"/>
      <c r="AX691" s="66" t="s">
        <v>99</v>
      </c>
      <c r="AY691" s="107" t="s">
        <v>10</v>
      </c>
    </row>
    <row r="692" spans="1:51" ht="15.75">
      <c r="A692" s="57">
        <f t="shared" si="144"/>
        <v>690</v>
      </c>
      <c r="B692" s="98" t="s">
        <v>225</v>
      </c>
      <c r="E692" s="59"/>
      <c r="G692" s="59"/>
      <c r="AE692" s="60"/>
      <c r="AF692" s="60"/>
      <c r="AG692" s="60"/>
      <c r="AH692" s="60"/>
      <c r="AX692" s="66" t="s">
        <v>99</v>
      </c>
      <c r="AY692" s="107" t="s">
        <v>10</v>
      </c>
    </row>
    <row r="693" spans="1:51" ht="15.75">
      <c r="A693" s="57">
        <f t="shared" si="144"/>
        <v>691</v>
      </c>
      <c r="B693" s="98" t="s">
        <v>226</v>
      </c>
      <c r="E693" s="59"/>
      <c r="G693" s="59"/>
      <c r="AE693" s="60"/>
      <c r="AF693" s="60"/>
      <c r="AG693" s="60"/>
      <c r="AH693" s="60"/>
      <c r="AX693" s="66" t="s">
        <v>99</v>
      </c>
      <c r="AY693" s="107" t="s">
        <v>10</v>
      </c>
    </row>
    <row r="694" spans="1:51" ht="15.75">
      <c r="A694" s="57">
        <f t="shared" si="144"/>
        <v>692</v>
      </c>
      <c r="B694" s="64" t="s">
        <v>44</v>
      </c>
      <c r="E694" s="59">
        <f>24+12</f>
        <v>36</v>
      </c>
      <c r="G694" s="59">
        <v>36</v>
      </c>
      <c r="I694" s="69">
        <v>98.29</v>
      </c>
      <c r="K694" s="66">
        <f>ROUND(I694*$E694,0)</f>
        <v>3538</v>
      </c>
      <c r="M694" s="66">
        <f>ROUND(I694*$G694,0)</f>
        <v>3538</v>
      </c>
      <c r="O694" s="69">
        <f>O614</f>
        <v>100</v>
      </c>
      <c r="Q694" s="66">
        <f>ROUND(O694*$G694,0)</f>
        <v>3600</v>
      </c>
      <c r="AE694" s="60"/>
      <c r="AF694" s="60"/>
      <c r="AG694" s="60"/>
      <c r="AH694" s="60"/>
      <c r="AU694" s="76">
        <f>AU709</f>
        <v>98.29</v>
      </c>
      <c r="AW694" s="66">
        <f>ROUND(AU694*$E694,0)</f>
        <v>3538</v>
      </c>
      <c r="AX694" s="66" t="s">
        <v>99</v>
      </c>
      <c r="AY694" s="107" t="s">
        <v>10</v>
      </c>
    </row>
    <row r="695" spans="1:51" ht="15.75">
      <c r="A695" s="57">
        <f t="shared" si="144"/>
        <v>693</v>
      </c>
      <c r="B695" s="64" t="s">
        <v>227</v>
      </c>
      <c r="E695" s="59">
        <v>12</v>
      </c>
      <c r="G695" s="59">
        <f>E695</f>
        <v>12</v>
      </c>
      <c r="I695" s="69">
        <v>10.5</v>
      </c>
      <c r="K695" s="66">
        <f>ROUND(I695*$E695,0)</f>
        <v>126</v>
      </c>
      <c r="M695" s="66">
        <f>ROUND(I695*$G695,0)</f>
        <v>126</v>
      </c>
      <c r="O695" s="69">
        <v>10.5</v>
      </c>
      <c r="Q695" s="66">
        <f>ROUND(O695*$G695,0)</f>
        <v>126</v>
      </c>
      <c r="AE695" s="60"/>
      <c r="AF695" s="60"/>
      <c r="AG695" s="60"/>
      <c r="AH695" s="60"/>
      <c r="AU695" s="69">
        <v>10.5</v>
      </c>
      <c r="AW695" s="66">
        <f>ROUND(AU695*$E695,0)</f>
        <v>126</v>
      </c>
      <c r="AX695" s="66" t="s">
        <v>99</v>
      </c>
      <c r="AY695" s="107" t="s">
        <v>10</v>
      </c>
    </row>
    <row r="696" spans="1:51" ht="15.75">
      <c r="A696" s="57">
        <f t="shared" si="144"/>
        <v>694</v>
      </c>
      <c r="B696" s="64" t="s">
        <v>228</v>
      </c>
      <c r="E696" s="59">
        <f>51430.53+10583+25806</f>
        <v>87819.53</v>
      </c>
      <c r="G696" s="59">
        <f>E696*($G$700-$G$699)/($E$700-$E$699)</f>
        <v>96792.42140949178</v>
      </c>
      <c r="I696" s="69">
        <v>1.4</v>
      </c>
      <c r="K696" s="66">
        <f>ROUND(I696*$E696,0)</f>
        <v>122947</v>
      </c>
      <c r="M696" s="66">
        <f>ROUND(I696*$G696,0)</f>
        <v>135509</v>
      </c>
      <c r="O696" s="69">
        <f>O617</f>
        <v>1.4</v>
      </c>
      <c r="Q696" s="66">
        <f>ROUND(O696*$G696,0)</f>
        <v>135509</v>
      </c>
      <c r="S696" s="68"/>
      <c r="T696" s="70"/>
      <c r="U696" s="66"/>
      <c r="V696" s="17"/>
      <c r="AE696" s="60"/>
      <c r="AF696" s="60"/>
      <c r="AG696" s="60"/>
      <c r="AH696" s="60"/>
      <c r="AU696" s="76">
        <f>AU710</f>
        <v>1.38</v>
      </c>
      <c r="AW696" s="66">
        <f>ROUND(AU696*$E696,0)</f>
        <v>121191</v>
      </c>
      <c r="AX696" s="66" t="s">
        <v>99</v>
      </c>
      <c r="AY696" s="107" t="s">
        <v>10</v>
      </c>
    </row>
    <row r="697" spans="1:51" ht="15.75">
      <c r="A697" s="57">
        <f t="shared" si="144"/>
        <v>695</v>
      </c>
      <c r="B697" s="64" t="s">
        <v>229</v>
      </c>
      <c r="E697" s="59">
        <f>7527720+812986+3792000</f>
        <v>12132706</v>
      </c>
      <c r="G697" s="59">
        <f>E697*($G$700-$G$699)/($E$700-$E$699)</f>
        <v>13372355.693425704</v>
      </c>
      <c r="J697" s="94">
        <v>5.1815</v>
      </c>
      <c r="K697" s="66">
        <f>ROUND(J697*$E697/100,0)</f>
        <v>628656</v>
      </c>
      <c r="M697" s="66">
        <f>ROUND(J697*$G697/100,0)</f>
        <v>692889</v>
      </c>
      <c r="P697" s="94">
        <v>5.420400000000001</v>
      </c>
      <c r="Q697" s="66">
        <f>ROUND(P697*$G697/100,0)</f>
        <v>724835</v>
      </c>
      <c r="S697" s="68">
        <f>ROUND(P697*$S$702/$S$700,4)</f>
        <v>0</v>
      </c>
      <c r="T697" s="70"/>
      <c r="U697" s="66"/>
      <c r="V697" s="17"/>
      <c r="AE697" s="60"/>
      <c r="AF697" s="60"/>
      <c r="AG697" s="60"/>
      <c r="AH697" s="60"/>
      <c r="AV697" s="94">
        <v>4.7503</v>
      </c>
      <c r="AW697" s="66">
        <f>ROUND(AV697*$E697/100,0)</f>
        <v>576340</v>
      </c>
      <c r="AX697" s="66" t="s">
        <v>99</v>
      </c>
      <c r="AY697" s="107" t="s">
        <v>10</v>
      </c>
    </row>
    <row r="698" spans="1:51" ht="15.75">
      <c r="A698" s="57">
        <f t="shared" si="144"/>
        <v>696</v>
      </c>
      <c r="B698" s="64" t="s">
        <v>230</v>
      </c>
      <c r="E698" s="59">
        <f>7612840+489014+3673000</f>
        <v>11774854</v>
      </c>
      <c r="G698" s="59">
        <f>E698*($G$700-$G$699)/($E$700-$E$699)</f>
        <v>12977940.446768958</v>
      </c>
      <c r="J698" s="94">
        <v>2.2261</v>
      </c>
      <c r="K698" s="66">
        <f>ROUND(J698*$E698/100,0)</f>
        <v>262120</v>
      </c>
      <c r="M698" s="66">
        <f>ROUND(J698*$G698/100,0)</f>
        <v>288902</v>
      </c>
      <c r="P698" s="94">
        <v>2.3287000000000004</v>
      </c>
      <c r="Q698" s="66">
        <f>ROUND(P698*$G698/100,0)</f>
        <v>302217</v>
      </c>
      <c r="S698" s="68">
        <f>ROUND(P698*$S$702/$S$700,4)</f>
        <v>0</v>
      </c>
      <c r="T698" s="70"/>
      <c r="U698" s="66"/>
      <c r="V698" s="17"/>
      <c r="AE698" s="60"/>
      <c r="AF698" s="60"/>
      <c r="AG698" s="60"/>
      <c r="AH698" s="60"/>
      <c r="AV698" s="94">
        <v>2.0409</v>
      </c>
      <c r="AW698" s="66">
        <f>ROUND(AV698*$E698/100,0)</f>
        <v>240313</v>
      </c>
      <c r="AX698" s="66" t="s">
        <v>99</v>
      </c>
      <c r="AY698" s="107" t="s">
        <v>10</v>
      </c>
    </row>
    <row r="699" spans="1:51" ht="15.75">
      <c r="A699" s="57">
        <f t="shared" si="144"/>
        <v>697</v>
      </c>
      <c r="B699" s="64" t="s">
        <v>57</v>
      </c>
      <c r="E699" s="22">
        <v>56740</v>
      </c>
      <c r="G699" s="22">
        <v>0</v>
      </c>
      <c r="I699" s="76"/>
      <c r="K699" s="81">
        <f>AW699</f>
        <v>3977.8767222218517</v>
      </c>
      <c r="M699" s="81">
        <v>0</v>
      </c>
      <c r="O699" s="76"/>
      <c r="Q699" s="81">
        <v>0</v>
      </c>
      <c r="U699" s="66"/>
      <c r="V699" s="17"/>
      <c r="AE699" s="60"/>
      <c r="AF699" s="60"/>
      <c r="AG699" s="60"/>
      <c r="AH699" s="60"/>
      <c r="AU699" s="76"/>
      <c r="AW699" s="81">
        <v>3977.8767222218517</v>
      </c>
      <c r="AX699" s="66" t="s">
        <v>99</v>
      </c>
      <c r="AY699" s="107" t="s">
        <v>10</v>
      </c>
    </row>
    <row r="700" spans="1:51" ht="16.5" thickBot="1">
      <c r="A700" s="57">
        <f t="shared" si="144"/>
        <v>698</v>
      </c>
      <c r="B700" s="64" t="s">
        <v>58</v>
      </c>
      <c r="E700" s="99">
        <f>SUM(E697:E699)</f>
        <v>23964300</v>
      </c>
      <c r="G700" s="99">
        <v>26350296.140194662</v>
      </c>
      <c r="I700" s="96"/>
      <c r="J700" s="96"/>
      <c r="K700" s="97">
        <f>SUM(K694:K699)</f>
        <v>1021364.8767222218</v>
      </c>
      <c r="M700" s="97">
        <f>SUM(M694:M699)</f>
        <v>1120964</v>
      </c>
      <c r="O700" s="96"/>
      <c r="P700" s="96"/>
      <c r="Q700" s="97">
        <f>SUM(Q694:Q699)</f>
        <v>1166287</v>
      </c>
      <c r="R700" s="85" t="s">
        <v>59</v>
      </c>
      <c r="S700" s="86">
        <f>Q700+Q714</f>
        <v>2131061</v>
      </c>
      <c r="U700" s="66"/>
      <c r="V700" s="60"/>
      <c r="W700" s="60"/>
      <c r="AE700" s="60"/>
      <c r="AF700" s="60"/>
      <c r="AG700" s="60"/>
      <c r="AH700" s="60"/>
      <c r="AU700" s="96"/>
      <c r="AV700" s="96"/>
      <c r="AW700" s="97">
        <f>SUM(AW694:AW699)</f>
        <v>945485.8767222218</v>
      </c>
      <c r="AX700" s="66" t="s">
        <v>99</v>
      </c>
      <c r="AY700" s="107" t="s">
        <v>10</v>
      </c>
    </row>
    <row r="701" spans="1:51" ht="16.5" thickTop="1">
      <c r="A701" s="57">
        <f t="shared" si="144"/>
        <v>699</v>
      </c>
      <c r="B701" s="64" t="s">
        <v>60</v>
      </c>
      <c r="E701" s="59"/>
      <c r="G701" s="59"/>
      <c r="I701" s="76"/>
      <c r="J701" s="26">
        <v>0</v>
      </c>
      <c r="K701" s="81">
        <f>ROUND(SUM(K696:K698)*J701,0)</f>
        <v>0</v>
      </c>
      <c r="M701" s="81">
        <f>ROUND(SUM(M696:M698)*J701,0)</f>
        <v>0</v>
      </c>
      <c r="O701" s="76"/>
      <c r="P701" s="26">
        <v>0</v>
      </c>
      <c r="Q701" s="81">
        <f>ROUND(SUM(Q696:Q698)*P701,0)</f>
        <v>0</v>
      </c>
      <c r="R701" s="88" t="s">
        <v>61</v>
      </c>
      <c r="S701" s="89">
        <v>2131073.177614566</v>
      </c>
      <c r="V701" s="60"/>
      <c r="W701" s="60"/>
      <c r="AE701" s="60"/>
      <c r="AF701" s="60"/>
      <c r="AG701" s="60"/>
      <c r="AH701" s="60"/>
      <c r="AU701" s="76"/>
      <c r="AV701" s="26">
        <v>0.0352</v>
      </c>
      <c r="AW701" s="81">
        <f>ROUND(SUM(AW696:AW698)*AV701,0)</f>
        <v>33012</v>
      </c>
      <c r="AX701" s="66" t="s">
        <v>99</v>
      </c>
      <c r="AY701" s="107" t="s">
        <v>10</v>
      </c>
    </row>
    <row r="702" spans="1:51" ht="15.75">
      <c r="A702" s="57">
        <f t="shared" si="144"/>
        <v>700</v>
      </c>
      <c r="B702" s="64" t="s">
        <v>62</v>
      </c>
      <c r="E702" s="59"/>
      <c r="G702" s="59"/>
      <c r="I702" s="76"/>
      <c r="J702" s="26">
        <v>0.0299</v>
      </c>
      <c r="K702" s="81">
        <f>ROUND(SUM(K696:K698,K701)*J702,0)</f>
        <v>30310</v>
      </c>
      <c r="M702" s="81">
        <f>ROUND(SUM(M696:M698,M701)*J702,0)</f>
        <v>33407</v>
      </c>
      <c r="O702" s="76"/>
      <c r="P702" s="26">
        <v>0.0299</v>
      </c>
      <c r="Q702" s="81">
        <f>ROUND(SUM(Q696:Q698,Q701)*P702,0)</f>
        <v>34761</v>
      </c>
      <c r="R702" s="90" t="s">
        <v>515</v>
      </c>
      <c r="S702" s="91">
        <f>S701-S700</f>
        <v>12.177614565938711</v>
      </c>
      <c r="U702" s="66"/>
      <c r="V702" s="60"/>
      <c r="W702" s="60"/>
      <c r="AG702" s="60"/>
      <c r="AH702" s="60"/>
      <c r="AU702" s="76"/>
      <c r="AV702" s="26"/>
      <c r="AW702" s="81">
        <f>ROUND(SUM(AW696:AW698,AW701)*AV702,0)</f>
        <v>0</v>
      </c>
      <c r="AX702" s="66" t="s">
        <v>99</v>
      </c>
      <c r="AY702" s="107" t="s">
        <v>10</v>
      </c>
    </row>
    <row r="703" spans="1:51" ht="15.75">
      <c r="A703" s="57">
        <f t="shared" si="144"/>
        <v>701</v>
      </c>
      <c r="E703" s="59"/>
      <c r="G703" s="59"/>
      <c r="R703" s="55"/>
      <c r="AE703" s="60"/>
      <c r="AF703" s="60"/>
      <c r="AG703" s="60"/>
      <c r="AH703" s="60"/>
      <c r="AX703" s="66" t="s">
        <v>99</v>
      </c>
      <c r="AY703" s="107" t="s">
        <v>10</v>
      </c>
    </row>
    <row r="704" spans="1:51" ht="15.75">
      <c r="A704" s="57">
        <f t="shared" si="144"/>
        <v>702</v>
      </c>
      <c r="E704" s="59"/>
      <c r="G704" s="59"/>
      <c r="U704" s="66"/>
      <c r="AE704" s="60"/>
      <c r="AF704" s="60"/>
      <c r="AG704" s="60"/>
      <c r="AH704" s="60"/>
      <c r="AX704" s="66" t="s">
        <v>99</v>
      </c>
      <c r="AY704" s="107" t="s">
        <v>10</v>
      </c>
    </row>
    <row r="705" spans="1:51" ht="15.75">
      <c r="A705" s="57">
        <f t="shared" si="144"/>
        <v>703</v>
      </c>
      <c r="B705" s="64" t="s">
        <v>223</v>
      </c>
      <c r="E705" s="59"/>
      <c r="G705" s="59"/>
      <c r="J705" s="93"/>
      <c r="P705" s="93"/>
      <c r="U705" s="68"/>
      <c r="AE705" s="60"/>
      <c r="AF705" s="60"/>
      <c r="AG705" s="60"/>
      <c r="AH705" s="60"/>
      <c r="AV705" s="93"/>
      <c r="AX705" s="66" t="s">
        <v>108</v>
      </c>
      <c r="AY705" s="107" t="s">
        <v>10</v>
      </c>
    </row>
    <row r="706" spans="1:51" ht="15.75">
      <c r="A706" s="57">
        <f t="shared" si="144"/>
        <v>704</v>
      </c>
      <c r="B706" s="64" t="s">
        <v>231</v>
      </c>
      <c r="E706" s="59"/>
      <c r="G706" s="59"/>
      <c r="J706" s="65"/>
      <c r="P706" s="65"/>
      <c r="AE706" s="60"/>
      <c r="AF706" s="60"/>
      <c r="AG706" s="60"/>
      <c r="AH706" s="60"/>
      <c r="AV706" s="65"/>
      <c r="AX706" s="66" t="s">
        <v>108</v>
      </c>
      <c r="AY706" s="107" t="s">
        <v>10</v>
      </c>
    </row>
    <row r="707" spans="1:51" ht="15.75">
      <c r="A707" s="57">
        <f t="shared" si="144"/>
        <v>705</v>
      </c>
      <c r="B707" s="98" t="s">
        <v>109</v>
      </c>
      <c r="E707" s="59"/>
      <c r="G707" s="59"/>
      <c r="AE707" s="60"/>
      <c r="AF707" s="60"/>
      <c r="AG707" s="60"/>
      <c r="AH707" s="60"/>
      <c r="AX707" s="66" t="s">
        <v>108</v>
      </c>
      <c r="AY707" s="107" t="s">
        <v>10</v>
      </c>
    </row>
    <row r="708" spans="1:51" ht="15.75">
      <c r="A708" s="57">
        <f t="shared" si="144"/>
        <v>706</v>
      </c>
      <c r="B708" s="98" t="s">
        <v>232</v>
      </c>
      <c r="E708" s="59"/>
      <c r="G708" s="59"/>
      <c r="AE708" s="60"/>
      <c r="AF708" s="60"/>
      <c r="AG708" s="60"/>
      <c r="AH708" s="60"/>
      <c r="AX708" s="66" t="s">
        <v>108</v>
      </c>
      <c r="AY708" s="107" t="s">
        <v>10</v>
      </c>
    </row>
    <row r="709" spans="1:51" ht="15.75">
      <c r="A709" s="57">
        <f t="shared" si="144"/>
        <v>707</v>
      </c>
      <c r="B709" s="64" t="s">
        <v>44</v>
      </c>
      <c r="E709" s="59">
        <f>62+12</f>
        <v>74</v>
      </c>
      <c r="G709" s="59">
        <v>74</v>
      </c>
      <c r="I709" s="76">
        <f>I694</f>
        <v>98.29</v>
      </c>
      <c r="J709" s="38"/>
      <c r="K709" s="66">
        <f>ROUND(I709*$E709,0)</f>
        <v>7273</v>
      </c>
      <c r="M709" s="66">
        <f>ROUND(I709*$G709,0)</f>
        <v>7273</v>
      </c>
      <c r="O709" s="76">
        <f>O694</f>
        <v>100</v>
      </c>
      <c r="P709" s="38"/>
      <c r="Q709" s="66">
        <f>ROUND(O709*$G709,0)</f>
        <v>7400</v>
      </c>
      <c r="AE709" s="60"/>
      <c r="AF709" s="60"/>
      <c r="AG709" s="60"/>
      <c r="AH709" s="60"/>
      <c r="AU709" s="69">
        <v>98.29</v>
      </c>
      <c r="AV709" s="38"/>
      <c r="AW709" s="66">
        <f>ROUND(AU709*$E709,0)</f>
        <v>7273</v>
      </c>
      <c r="AX709" s="66" t="s">
        <v>108</v>
      </c>
      <c r="AY709" s="107" t="s">
        <v>10</v>
      </c>
    </row>
    <row r="710" spans="1:51" ht="15.75">
      <c r="A710" s="57">
        <f t="shared" si="144"/>
        <v>708</v>
      </c>
      <c r="B710" s="64" t="s">
        <v>228</v>
      </c>
      <c r="E710" s="59">
        <f>93732.33+47016</f>
        <v>140748.33000000002</v>
      </c>
      <c r="G710" s="59">
        <f>E710*($G$714-$G$713)/($E$714-$E$713)</f>
        <v>155129.17992207676</v>
      </c>
      <c r="I710" s="76">
        <f>I696</f>
        <v>1.4</v>
      </c>
      <c r="J710" s="38"/>
      <c r="K710" s="66">
        <f>ROUND(I710*$E710,0)</f>
        <v>197048</v>
      </c>
      <c r="M710" s="66">
        <f>ROUND(I710*$G710,0)</f>
        <v>217181</v>
      </c>
      <c r="O710" s="76">
        <f>O696</f>
        <v>1.4</v>
      </c>
      <c r="P710" s="38"/>
      <c r="Q710" s="66">
        <f>ROUND(O710*$G710,0)</f>
        <v>217181</v>
      </c>
      <c r="AE710" s="60"/>
      <c r="AF710" s="60"/>
      <c r="AG710" s="60"/>
      <c r="AH710" s="60"/>
      <c r="AU710" s="69">
        <v>1.38</v>
      </c>
      <c r="AV710" s="38"/>
      <c r="AW710" s="66">
        <f>ROUND(AU710*$E710,0)</f>
        <v>194233</v>
      </c>
      <c r="AX710" s="66" t="s">
        <v>108</v>
      </c>
      <c r="AY710" s="107" t="s">
        <v>10</v>
      </c>
    </row>
    <row r="711" spans="1:51" ht="15.75">
      <c r="A711" s="57">
        <f t="shared" si="144"/>
        <v>709</v>
      </c>
      <c r="B711" s="64" t="s">
        <v>229</v>
      </c>
      <c r="E711" s="59">
        <f>9646892+628510</f>
        <v>10275402</v>
      </c>
      <c r="G711" s="59">
        <f>E711*($G$714-$G$713)/($E$714-$E$713)</f>
        <v>11325283.117957186</v>
      </c>
      <c r="I711" s="38"/>
      <c r="J711" s="106">
        <f>J697</f>
        <v>5.1815</v>
      </c>
      <c r="K711" s="66">
        <f>ROUND(J711*$E711/100,0)</f>
        <v>532420</v>
      </c>
      <c r="M711" s="66">
        <f>ROUND(J711*$G711/100,0)</f>
        <v>586820</v>
      </c>
      <c r="O711" s="38"/>
      <c r="P711" s="106">
        <f>P697</f>
        <v>5.420400000000001</v>
      </c>
      <c r="Q711" s="66">
        <f>ROUND(P711*$G711/100,0)</f>
        <v>613876</v>
      </c>
      <c r="AE711" s="60"/>
      <c r="AF711" s="60"/>
      <c r="AG711" s="60"/>
      <c r="AH711" s="60"/>
      <c r="AU711" s="38"/>
      <c r="AV711" s="106">
        <f>AV697</f>
        <v>4.7503</v>
      </c>
      <c r="AW711" s="66">
        <f>ROUND(AV711*$E711/100,0)</f>
        <v>488112</v>
      </c>
      <c r="AX711" s="66" t="s">
        <v>108</v>
      </c>
      <c r="AY711" s="107" t="s">
        <v>10</v>
      </c>
    </row>
    <row r="712" spans="1:51" ht="15.75">
      <c r="A712" s="57">
        <f t="shared" si="144"/>
        <v>710</v>
      </c>
      <c r="B712" s="64" t="s">
        <v>230</v>
      </c>
      <c r="E712" s="59">
        <f>4100044+821479</f>
        <v>4921523</v>
      </c>
      <c r="G712" s="59">
        <f>E712*($G$714-$G$713)/($E$714-$E$713)</f>
        <v>5424375.741848153</v>
      </c>
      <c r="I712" s="16"/>
      <c r="J712" s="106">
        <f>J698</f>
        <v>2.2261</v>
      </c>
      <c r="K712" s="66">
        <f>ROUND(J712*$E712/100,0)</f>
        <v>109558</v>
      </c>
      <c r="M712" s="66">
        <f>ROUND(J712*$G712/100,0)</f>
        <v>120752</v>
      </c>
      <c r="O712" s="16"/>
      <c r="P712" s="106">
        <f>P698</f>
        <v>2.3287000000000004</v>
      </c>
      <c r="Q712" s="66">
        <f>ROUND(P712*$G712/100,0)</f>
        <v>126317</v>
      </c>
      <c r="AE712" s="60"/>
      <c r="AF712" s="60"/>
      <c r="AG712" s="60"/>
      <c r="AH712" s="60"/>
      <c r="AU712" s="16"/>
      <c r="AV712" s="106">
        <f>AV698</f>
        <v>2.0409</v>
      </c>
      <c r="AW712" s="66">
        <f>ROUND(AV712*$E712/100,0)</f>
        <v>100443</v>
      </c>
      <c r="AX712" s="66" t="s">
        <v>108</v>
      </c>
      <c r="AY712" s="107" t="s">
        <v>10</v>
      </c>
    </row>
    <row r="713" spans="1:51" ht="15.75">
      <c r="A713" s="57">
        <f t="shared" si="144"/>
        <v>711</v>
      </c>
      <c r="B713" s="64" t="s">
        <v>57</v>
      </c>
      <c r="E713" s="22">
        <v>-58127</v>
      </c>
      <c r="G713" s="22">
        <v>0</v>
      </c>
      <c r="I713" s="76"/>
      <c r="K713" s="81">
        <f>AW713</f>
        <v>-1435</v>
      </c>
      <c r="M713" s="81">
        <v>0</v>
      </c>
      <c r="O713" s="76"/>
      <c r="Q713" s="81">
        <v>0</v>
      </c>
      <c r="AE713" s="60"/>
      <c r="AF713" s="60"/>
      <c r="AG713" s="60"/>
      <c r="AH713" s="60"/>
      <c r="AU713" s="76"/>
      <c r="AW713" s="81">
        <v>-1435</v>
      </c>
      <c r="AX713" s="66" t="s">
        <v>108</v>
      </c>
      <c r="AY713" s="107" t="s">
        <v>10</v>
      </c>
    </row>
    <row r="714" spans="1:51" ht="16.5" thickBot="1">
      <c r="A714" s="57">
        <f t="shared" si="144"/>
        <v>712</v>
      </c>
      <c r="B714" s="64" t="s">
        <v>58</v>
      </c>
      <c r="E714" s="99">
        <f>SUM(E711:E713)</f>
        <v>15138798</v>
      </c>
      <c r="G714" s="99">
        <v>16749658.85980534</v>
      </c>
      <c r="I714" s="96"/>
      <c r="J714" s="96"/>
      <c r="K714" s="97">
        <f>SUM(K709:K713)</f>
        <v>844864</v>
      </c>
      <c r="M714" s="97">
        <f>SUM(M709:M713)</f>
        <v>932026</v>
      </c>
      <c r="O714" s="96"/>
      <c r="P714" s="96"/>
      <c r="Q714" s="97">
        <f>SUM(Q709:Q713)</f>
        <v>964774</v>
      </c>
      <c r="AE714" s="60"/>
      <c r="AF714" s="60"/>
      <c r="AG714" s="60"/>
      <c r="AH714" s="60"/>
      <c r="AU714" s="96"/>
      <c r="AV714" s="96"/>
      <c r="AW714" s="97">
        <f>SUM(AW709:AW713)</f>
        <v>788626</v>
      </c>
      <c r="AX714" s="66" t="s">
        <v>108</v>
      </c>
      <c r="AY714" s="107" t="s">
        <v>10</v>
      </c>
    </row>
    <row r="715" spans="1:51" ht="16.5" thickTop="1">
      <c r="A715" s="57">
        <f t="shared" si="144"/>
        <v>713</v>
      </c>
      <c r="B715" s="64" t="s">
        <v>60</v>
      </c>
      <c r="E715" s="59"/>
      <c r="G715" s="59"/>
      <c r="I715" s="76"/>
      <c r="J715" s="26">
        <f>J701</f>
        <v>0</v>
      </c>
      <c r="K715" s="81">
        <f>ROUND(SUM(K710:K712)*J715,0)</f>
        <v>0</v>
      </c>
      <c r="M715" s="81">
        <f>ROUND(SUM(M710:M712)*J715,0)</f>
        <v>0</v>
      </c>
      <c r="O715" s="76"/>
      <c r="P715" s="26">
        <f>P701</f>
        <v>0</v>
      </c>
      <c r="Q715" s="81">
        <f>ROUND(SUM(Q710:Q712)*P715,0)</f>
        <v>0</v>
      </c>
      <c r="AE715" s="60"/>
      <c r="AF715" s="60"/>
      <c r="AG715" s="60"/>
      <c r="AH715" s="60"/>
      <c r="AU715" s="76"/>
      <c r="AV715" s="26">
        <f>AV701</f>
        <v>0.0352</v>
      </c>
      <c r="AW715" s="81">
        <f>ROUND(SUM(AW710:AW712)*AV715,0)</f>
        <v>27554</v>
      </c>
      <c r="AX715" s="66" t="s">
        <v>108</v>
      </c>
      <c r="AY715" s="107" t="s">
        <v>10</v>
      </c>
    </row>
    <row r="716" spans="1:51" ht="15.75">
      <c r="A716" s="57">
        <f t="shared" si="144"/>
        <v>714</v>
      </c>
      <c r="B716" s="64" t="s">
        <v>62</v>
      </c>
      <c r="E716" s="59"/>
      <c r="G716" s="59"/>
      <c r="I716" s="76"/>
      <c r="J716" s="26">
        <f>J702</f>
        <v>0.0299</v>
      </c>
      <c r="K716" s="81">
        <f>ROUND(SUM(K710:K712,K715)*J716,0)</f>
        <v>25087</v>
      </c>
      <c r="M716" s="81">
        <f>ROUND(SUM(M710:M712,M715)*J716,0)</f>
        <v>27650</v>
      </c>
      <c r="O716" s="76"/>
      <c r="P716" s="26">
        <f>P702</f>
        <v>0.0299</v>
      </c>
      <c r="Q716" s="81">
        <f>ROUND(SUM(Q710:Q712,Q715)*P716,0)</f>
        <v>28625</v>
      </c>
      <c r="S716" s="60"/>
      <c r="T716" s="60"/>
      <c r="U716" s="60"/>
      <c r="V716" s="60"/>
      <c r="AG716" s="60"/>
      <c r="AH716" s="60"/>
      <c r="AU716" s="76"/>
      <c r="AV716" s="26">
        <f>AV702</f>
        <v>0</v>
      </c>
      <c r="AW716" s="81">
        <f>ROUND(SUM(AW710:AW712,AW715)*AV716,0)</f>
        <v>0</v>
      </c>
      <c r="AX716" s="66" t="s">
        <v>108</v>
      </c>
      <c r="AY716" s="107" t="s">
        <v>10</v>
      </c>
    </row>
    <row r="717" spans="1:51" ht="15.75">
      <c r="A717" s="57">
        <f t="shared" si="144"/>
        <v>715</v>
      </c>
      <c r="E717" s="59"/>
      <c r="G717" s="59"/>
      <c r="AE717" s="60"/>
      <c r="AF717" s="60"/>
      <c r="AG717" s="60"/>
      <c r="AH717" s="60"/>
      <c r="AX717" s="66" t="s">
        <v>108</v>
      </c>
      <c r="AY717" s="107" t="s">
        <v>10</v>
      </c>
    </row>
    <row r="718" spans="1:51" ht="15.75">
      <c r="A718" s="57">
        <f t="shared" si="144"/>
        <v>716</v>
      </c>
      <c r="E718" s="59"/>
      <c r="G718" s="59"/>
      <c r="AE718" s="60"/>
      <c r="AF718" s="60"/>
      <c r="AG718" s="60"/>
      <c r="AH718" s="60"/>
      <c r="AX718" s="66" t="s">
        <v>108</v>
      </c>
      <c r="AY718" s="107" t="s">
        <v>10</v>
      </c>
    </row>
    <row r="719" spans="1:51" ht="15.75">
      <c r="A719" s="57">
        <f t="shared" si="144"/>
        <v>717</v>
      </c>
      <c r="B719" s="64" t="s">
        <v>233</v>
      </c>
      <c r="AE719" s="60"/>
      <c r="AF719" s="60"/>
      <c r="AG719" s="60"/>
      <c r="AH719" s="60"/>
      <c r="AX719" s="66" t="s">
        <v>108</v>
      </c>
      <c r="AY719" s="107" t="s">
        <v>10</v>
      </c>
    </row>
    <row r="720" spans="1:51" ht="15.75">
      <c r="A720" s="57">
        <f t="shared" si="144"/>
        <v>718</v>
      </c>
      <c r="B720" s="64" t="s">
        <v>11</v>
      </c>
      <c r="E720" s="59"/>
      <c r="G720" s="59"/>
      <c r="AE720" s="60"/>
      <c r="AF720" s="60"/>
      <c r="AG720" s="60"/>
      <c r="AH720" s="60"/>
      <c r="AX720" s="66" t="s">
        <v>234</v>
      </c>
      <c r="AY720" s="58">
        <v>10</v>
      </c>
    </row>
    <row r="721" spans="1:51" ht="15.75">
      <c r="A721" s="57">
        <f t="shared" si="144"/>
        <v>719</v>
      </c>
      <c r="B721" s="98" t="s">
        <v>235</v>
      </c>
      <c r="E721" s="59"/>
      <c r="G721" s="59"/>
      <c r="AE721" s="60"/>
      <c r="AF721" s="60"/>
      <c r="AG721" s="60"/>
      <c r="AH721" s="60"/>
      <c r="AX721" s="66" t="s">
        <v>234</v>
      </c>
      <c r="AY721" s="58">
        <v>10</v>
      </c>
    </row>
    <row r="722" spans="1:51" ht="15.75">
      <c r="A722" s="57">
        <f t="shared" si="144"/>
        <v>720</v>
      </c>
      <c r="B722" s="64" t="s">
        <v>236</v>
      </c>
      <c r="E722" s="59"/>
      <c r="G722" s="59"/>
      <c r="I722" s="76"/>
      <c r="K722" s="66"/>
      <c r="M722" s="66"/>
      <c r="O722" s="76"/>
      <c r="Q722" s="66"/>
      <c r="AE722" s="60"/>
      <c r="AF722" s="60"/>
      <c r="AG722" s="60"/>
      <c r="AH722" s="60"/>
      <c r="AU722" s="76"/>
      <c r="AW722" s="66"/>
      <c r="AX722" s="66" t="s">
        <v>234</v>
      </c>
      <c r="AY722" s="58">
        <v>10</v>
      </c>
    </row>
    <row r="723" spans="1:51" ht="15.75">
      <c r="A723" s="57">
        <f t="shared" si="144"/>
        <v>721</v>
      </c>
      <c r="B723" s="64" t="s">
        <v>237</v>
      </c>
      <c r="E723" s="59">
        <v>2</v>
      </c>
      <c r="G723" s="59">
        <f>E723*$G$726/$E$726</f>
        <v>2.1029590017825313</v>
      </c>
      <c r="I723" s="19">
        <v>78.63</v>
      </c>
      <c r="J723" s="16"/>
      <c r="K723" s="66">
        <f>ROUND(I723*$E723,0)</f>
        <v>157</v>
      </c>
      <c r="M723" s="66">
        <f>ROUND(I723*$G723,0)</f>
        <v>165</v>
      </c>
      <c r="O723" s="19">
        <v>80</v>
      </c>
      <c r="P723" s="16"/>
      <c r="Q723" s="66">
        <f>ROUND(O723*$G723,0)</f>
        <v>168</v>
      </c>
      <c r="R723" s="123"/>
      <c r="AE723" s="60"/>
      <c r="AF723" s="60"/>
      <c r="AG723" s="60"/>
      <c r="AH723" s="60"/>
      <c r="AU723" s="19">
        <v>78.63</v>
      </c>
      <c r="AV723" s="16"/>
      <c r="AW723" s="66">
        <f>ROUND(AU723*$E723,0)</f>
        <v>157</v>
      </c>
      <c r="AX723" s="66" t="s">
        <v>234</v>
      </c>
      <c r="AY723" s="58">
        <v>10</v>
      </c>
    </row>
    <row r="724" spans="1:51" ht="15.75">
      <c r="A724" s="57">
        <f t="shared" si="144"/>
        <v>722</v>
      </c>
      <c r="B724" s="64" t="s">
        <v>238</v>
      </c>
      <c r="E724" s="59">
        <f>0.13+1+2034.7+19.26+0.75</f>
        <v>2055.84</v>
      </c>
      <c r="G724" s="59">
        <f>E724*$G$726/$E$726</f>
        <v>2161.6736171122993</v>
      </c>
      <c r="I724" s="19">
        <v>24.57</v>
      </c>
      <c r="J724" s="16"/>
      <c r="K724" s="66">
        <f>ROUND(I724*$E724,0)</f>
        <v>50512</v>
      </c>
      <c r="M724" s="66">
        <f>ROUND(I724*$G724,0)</f>
        <v>53112</v>
      </c>
      <c r="O724" s="19">
        <v>25</v>
      </c>
      <c r="P724" s="16"/>
      <c r="Q724" s="66">
        <f>ROUND(O724*$G724,0)</f>
        <v>54042</v>
      </c>
      <c r="R724" s="123"/>
      <c r="AE724" s="60"/>
      <c r="AF724" s="60"/>
      <c r="AG724" s="60"/>
      <c r="AH724" s="60"/>
      <c r="AU724" s="19">
        <v>24.57</v>
      </c>
      <c r="AV724" s="16"/>
      <c r="AW724" s="66">
        <f>ROUND(AU724*$E724,0)</f>
        <v>50512</v>
      </c>
      <c r="AX724" s="66" t="s">
        <v>234</v>
      </c>
      <c r="AY724" s="58">
        <v>10</v>
      </c>
    </row>
    <row r="725" spans="1:51" ht="15.75">
      <c r="A725" s="57">
        <f t="shared" si="144"/>
        <v>723</v>
      </c>
      <c r="B725" s="64" t="s">
        <v>239</v>
      </c>
      <c r="E725" s="59"/>
      <c r="G725" s="59"/>
      <c r="J725" s="16"/>
      <c r="P725" s="16"/>
      <c r="AE725" s="60"/>
      <c r="AF725" s="60"/>
      <c r="AG725" s="60"/>
      <c r="AH725" s="60"/>
      <c r="AV725" s="16"/>
      <c r="AX725" s="66" t="s">
        <v>234</v>
      </c>
      <c r="AY725" s="58">
        <v>10</v>
      </c>
    </row>
    <row r="726" spans="1:51" ht="15.75">
      <c r="A726" s="57">
        <f t="shared" si="144"/>
        <v>724</v>
      </c>
      <c r="B726" s="64" t="s">
        <v>240</v>
      </c>
      <c r="E726" s="59">
        <f>1+3.58+6.33+6121.13+74.36</f>
        <v>6206.4</v>
      </c>
      <c r="G726" s="59">
        <v>6525.90237433155</v>
      </c>
      <c r="I726" s="19">
        <v>9.83</v>
      </c>
      <c r="J726" s="46"/>
      <c r="K726" s="66">
        <f>ROUND(I726*$E726,0)</f>
        <v>61009</v>
      </c>
      <c r="M726" s="66">
        <f>ROUND(I726*$G726,0)</f>
        <v>64150</v>
      </c>
      <c r="O726" s="19">
        <v>10</v>
      </c>
      <c r="P726" s="46"/>
      <c r="Q726" s="66">
        <f>ROUND(O726*$G726,0)</f>
        <v>65259</v>
      </c>
      <c r="R726" s="69"/>
      <c r="AE726" s="60"/>
      <c r="AF726" s="60"/>
      <c r="AG726" s="60"/>
      <c r="AH726" s="60"/>
      <c r="AU726" s="19">
        <v>9.83</v>
      </c>
      <c r="AV726" s="46"/>
      <c r="AW726" s="66">
        <f>ROUND(AU726*$E726,0)</f>
        <v>61009</v>
      </c>
      <c r="AX726" s="66" t="s">
        <v>234</v>
      </c>
      <c r="AY726" s="58">
        <v>10</v>
      </c>
    </row>
    <row r="727" spans="1:51" ht="15.75">
      <c r="A727" s="57">
        <f t="shared" si="144"/>
        <v>725</v>
      </c>
      <c r="B727" s="64" t="s">
        <v>241</v>
      </c>
      <c r="E727" s="59">
        <f>4+97.36+6382.35+302408.93+5485.14</f>
        <v>314377.78</v>
      </c>
      <c r="G727" s="59">
        <f>E727*$G$731/$E$731</f>
        <v>323783.6045072164</v>
      </c>
      <c r="I727" s="19">
        <v>4.54</v>
      </c>
      <c r="J727" s="46"/>
      <c r="K727" s="66">
        <f>ROUND(I727*$E727,0)</f>
        <v>1427275</v>
      </c>
      <c r="M727" s="66">
        <f>ROUND(I727*$G727,0)</f>
        <v>1469978</v>
      </c>
      <c r="O727" s="19">
        <v>4.75</v>
      </c>
      <c r="P727" s="46"/>
      <c r="Q727" s="66">
        <f>ROUND(O727*$G727,0)</f>
        <v>1537972</v>
      </c>
      <c r="R727" s="69">
        <f>ROUND(O727*$S$741/$S$739,2)</f>
        <v>0</v>
      </c>
      <c r="S727" s="68"/>
      <c r="T727" s="70"/>
      <c r="U727" s="66"/>
      <c r="V727" s="17"/>
      <c r="AE727" s="60"/>
      <c r="AF727" s="60"/>
      <c r="AG727" s="60"/>
      <c r="AH727" s="60"/>
      <c r="AU727" s="19">
        <v>4.22</v>
      </c>
      <c r="AV727" s="46"/>
      <c r="AW727" s="66">
        <f>ROUND(AU727*$E727,0)</f>
        <v>1326674</v>
      </c>
      <c r="AX727" s="66" t="s">
        <v>234</v>
      </c>
      <c r="AY727" s="58">
        <v>10</v>
      </c>
    </row>
    <row r="728" spans="1:51" ht="15.75">
      <c r="A728" s="57">
        <f t="shared" si="144"/>
        <v>726</v>
      </c>
      <c r="B728" s="64" t="s">
        <v>93</v>
      </c>
      <c r="E728" s="59">
        <f>6382.35</f>
        <v>6382.35</v>
      </c>
      <c r="G728" s="59">
        <f>E728*$G$731/$E$731</f>
        <v>6573.302630442369</v>
      </c>
      <c r="I728" s="19">
        <v>-1.27</v>
      </c>
      <c r="J728" s="46"/>
      <c r="K728" s="66">
        <f>ROUND(I728*$E728,0)</f>
        <v>-8106</v>
      </c>
      <c r="M728" s="66">
        <f>ROUND(I728*$G728,0)</f>
        <v>-8348</v>
      </c>
      <c r="O728" s="19">
        <v>-1.33</v>
      </c>
      <c r="P728" s="46"/>
      <c r="Q728" s="66">
        <f>ROUND(O728*$G728,0)</f>
        <v>-8742</v>
      </c>
      <c r="R728" s="69">
        <f>ROUND(O728*$S$741/$S$739,2)</f>
        <v>0</v>
      </c>
      <c r="AE728" s="60"/>
      <c r="AF728" s="60"/>
      <c r="AG728" s="60"/>
      <c r="AH728" s="60"/>
      <c r="AU728" s="19">
        <v>-1.27</v>
      </c>
      <c r="AV728" s="46"/>
      <c r="AW728" s="66">
        <f>ROUND(AU728*$E728,0)</f>
        <v>-8106</v>
      </c>
      <c r="AX728" s="66" t="s">
        <v>234</v>
      </c>
      <c r="AY728" s="58">
        <v>10</v>
      </c>
    </row>
    <row r="729" spans="1:51" ht="15.75">
      <c r="A729" s="57">
        <f t="shared" si="144"/>
        <v>727</v>
      </c>
      <c r="B729" s="64" t="s">
        <v>242</v>
      </c>
      <c r="E729" s="59">
        <f>38+24217+115648+73046387+1079075</f>
        <v>74265365</v>
      </c>
      <c r="G729" s="59">
        <f>E729*$G$731/$E$731</f>
        <v>76487299.99220705</v>
      </c>
      <c r="J729" s="94">
        <v>4.5123</v>
      </c>
      <c r="K729" s="66">
        <f>ROUND(J729*$E729/100,0)</f>
        <v>3351076</v>
      </c>
      <c r="M729" s="66">
        <f>ROUND(J729*$G729/100,0)</f>
        <v>3451336</v>
      </c>
      <c r="P729" s="94">
        <v>4.726499999999999</v>
      </c>
      <c r="Q729" s="66">
        <f>ROUND(P729*$G729/100,0)</f>
        <v>3615172</v>
      </c>
      <c r="S729" s="68">
        <f>ROUND(P729*$S$741/$S$739,4)</f>
        <v>0</v>
      </c>
      <c r="T729" s="70"/>
      <c r="U729" s="66"/>
      <c r="V729" s="17"/>
      <c r="AE729" s="60"/>
      <c r="AF729" s="60"/>
      <c r="AG729" s="60"/>
      <c r="AH729" s="60"/>
      <c r="AV729" s="94">
        <v>4.2023</v>
      </c>
      <c r="AW729" s="66">
        <f>ROUND(AV729*$E729/100,0)</f>
        <v>3120853</v>
      </c>
      <c r="AX729" s="66" t="s">
        <v>234</v>
      </c>
      <c r="AY729" s="58">
        <v>10</v>
      </c>
    </row>
    <row r="730" spans="1:51" ht="15.75">
      <c r="A730" s="57">
        <f t="shared" si="144"/>
        <v>728</v>
      </c>
      <c r="B730" s="64" t="s">
        <v>243</v>
      </c>
      <c r="E730" s="78">
        <f>6+601+3762045+50108619+590818+553</f>
        <v>54462642</v>
      </c>
      <c r="G730" s="22">
        <f>E730*$G$731/$E$731</f>
        <v>56092102.11277054</v>
      </c>
      <c r="J730" s="94">
        <v>3.3352000000000004</v>
      </c>
      <c r="K730" s="81">
        <f>ROUND(J730*$E730/100,0)</f>
        <v>1816438</v>
      </c>
      <c r="M730" s="81">
        <f>ROUND(J730*$G730/100,0)</f>
        <v>1870784</v>
      </c>
      <c r="P730" s="94">
        <v>3.4934999999999996</v>
      </c>
      <c r="Q730" s="81">
        <f>ROUND(P730*$G730/100,0)</f>
        <v>1959578</v>
      </c>
      <c r="R730" s="123"/>
      <c r="S730" s="68">
        <f>ROUND(P730*$S$741/$S$739,4)</f>
        <v>0</v>
      </c>
      <c r="T730" s="70"/>
      <c r="U730" s="66"/>
      <c r="V730" s="17"/>
      <c r="AE730" s="60"/>
      <c r="AF730" s="60"/>
      <c r="AG730" s="60"/>
      <c r="AH730" s="60"/>
      <c r="AV730" s="94">
        <v>3.0952</v>
      </c>
      <c r="AW730" s="81">
        <f>ROUND(AV730*$E730/100,0)</f>
        <v>1685728</v>
      </c>
      <c r="AX730" s="66" t="s">
        <v>234</v>
      </c>
      <c r="AY730" s="58">
        <v>10</v>
      </c>
    </row>
    <row r="731" spans="1:51" ht="15.75">
      <c r="A731" s="57">
        <f t="shared" si="144"/>
        <v>729</v>
      </c>
      <c r="B731" s="64" t="s">
        <v>244</v>
      </c>
      <c r="E731" s="78">
        <f>E730+E729</f>
        <v>128728007</v>
      </c>
      <c r="G731" s="124">
        <v>132579402.1049776</v>
      </c>
      <c r="I731" s="125"/>
      <c r="J731" s="125"/>
      <c r="K731" s="81">
        <f>SUM(K723:K730)</f>
        <v>6698361</v>
      </c>
      <c r="M731" s="81">
        <f>SUM(M723:M730)</f>
        <v>6901177</v>
      </c>
      <c r="O731" s="125"/>
      <c r="P731" s="125"/>
      <c r="Q731" s="81">
        <f>SUM(Q723:Q730)</f>
        <v>7223449</v>
      </c>
      <c r="R731" s="123"/>
      <c r="AE731" s="60"/>
      <c r="AF731" s="60"/>
      <c r="AG731" s="60"/>
      <c r="AH731" s="60"/>
      <c r="AU731" s="125"/>
      <c r="AV731" s="125"/>
      <c r="AW731" s="81">
        <f>SUM(AW723:AW730)</f>
        <v>6236827</v>
      </c>
      <c r="AX731" s="66" t="s">
        <v>234</v>
      </c>
      <c r="AY731" s="58">
        <v>10</v>
      </c>
    </row>
    <row r="732" spans="1:51" ht="15.75">
      <c r="A732" s="57">
        <f t="shared" si="144"/>
        <v>730</v>
      </c>
      <c r="E732" s="59"/>
      <c r="G732" s="59"/>
      <c r="AE732" s="60"/>
      <c r="AF732" s="60"/>
      <c r="AG732" s="60"/>
      <c r="AH732" s="60"/>
      <c r="AX732" s="66" t="s">
        <v>234</v>
      </c>
      <c r="AY732" s="58">
        <v>10</v>
      </c>
    </row>
    <row r="733" spans="1:51" ht="15.75">
      <c r="A733" s="57">
        <f t="shared" si="144"/>
        <v>731</v>
      </c>
      <c r="B733" s="64" t="s">
        <v>245</v>
      </c>
      <c r="E733" s="59"/>
      <c r="G733" s="59"/>
      <c r="AE733" s="60"/>
      <c r="AF733" s="60"/>
      <c r="AG733" s="60"/>
      <c r="AH733" s="60"/>
      <c r="AX733" s="66" t="s">
        <v>234</v>
      </c>
      <c r="AY733" s="58">
        <v>10</v>
      </c>
    </row>
    <row r="734" spans="1:51" ht="15.75">
      <c r="A734" s="57">
        <f t="shared" si="144"/>
        <v>732</v>
      </c>
      <c r="B734" s="64" t="s">
        <v>246</v>
      </c>
      <c r="E734" s="59">
        <f>35+15316+1104816+50685445+1114546+836</f>
        <v>52920994</v>
      </c>
      <c r="G734" s="59">
        <f>E734*G736/E736</f>
        <v>54504329.76346093</v>
      </c>
      <c r="I734" s="93"/>
      <c r="J734" s="94">
        <v>3.0907</v>
      </c>
      <c r="K734" s="66">
        <f>ROUND(J734*$E734/100,0)</f>
        <v>1635629</v>
      </c>
      <c r="M734" s="66">
        <f>ROUND(J734*$G734/100,0)</f>
        <v>1684565</v>
      </c>
      <c r="O734" s="93"/>
      <c r="P734" s="94">
        <v>3.2375</v>
      </c>
      <c r="Q734" s="66">
        <f>ROUND(P734*$G734/100,0)</f>
        <v>1764578</v>
      </c>
      <c r="R734" s="123"/>
      <c r="S734" s="68">
        <f>ROUND(P734*$S$741/$S$739,4)</f>
        <v>0</v>
      </c>
      <c r="T734" s="70"/>
      <c r="U734" s="66"/>
      <c r="V734" s="17"/>
      <c r="AE734" s="60"/>
      <c r="AF734" s="60"/>
      <c r="AG734" s="60"/>
      <c r="AH734" s="60"/>
      <c r="AU734" s="93"/>
      <c r="AV734" s="94">
        <v>2.8807</v>
      </c>
      <c r="AW734" s="66">
        <f>ROUND(AV734*$E734/100,0)</f>
        <v>1524495</v>
      </c>
      <c r="AX734" s="66" t="s">
        <v>234</v>
      </c>
      <c r="AY734" s="58">
        <v>10</v>
      </c>
    </row>
    <row r="735" spans="1:51" ht="15.75">
      <c r="A735" s="57">
        <f t="shared" si="144"/>
        <v>733</v>
      </c>
      <c r="B735" s="64" t="s">
        <v>247</v>
      </c>
      <c r="E735" s="78">
        <f>1.73+3.42+4.84+6506.84+217.27+4</f>
        <v>6738.1</v>
      </c>
      <c r="G735" s="22">
        <v>7084.974024955437</v>
      </c>
      <c r="I735" s="19">
        <v>9.83</v>
      </c>
      <c r="J735" s="76"/>
      <c r="K735" s="81">
        <f>ROUND(I735*$E735,0)</f>
        <v>66236</v>
      </c>
      <c r="M735" s="81">
        <f>ROUND(I735*$G735,0)</f>
        <v>69645</v>
      </c>
      <c r="O735" s="19">
        <f>O726</f>
        <v>10</v>
      </c>
      <c r="P735" s="76"/>
      <c r="Q735" s="81">
        <f>ROUND(O735*$G735,0)</f>
        <v>70850</v>
      </c>
      <c r="R735" s="123"/>
      <c r="AE735" s="60"/>
      <c r="AF735" s="60"/>
      <c r="AG735" s="60"/>
      <c r="AH735" s="60"/>
      <c r="AU735" s="19">
        <v>9.83</v>
      </c>
      <c r="AV735" s="76"/>
      <c r="AW735" s="81">
        <f>ROUND(AU735*$E735,0)</f>
        <v>66236</v>
      </c>
      <c r="AX735" s="66" t="s">
        <v>234</v>
      </c>
      <c r="AY735" s="58">
        <v>10</v>
      </c>
    </row>
    <row r="736" spans="1:51" ht="15.75">
      <c r="A736" s="57">
        <f t="shared" si="144"/>
        <v>734</v>
      </c>
      <c r="B736" s="64" t="s">
        <v>248</v>
      </c>
      <c r="E736" s="78">
        <f>E734</f>
        <v>52920994</v>
      </c>
      <c r="G736" s="78">
        <v>54504329.76346093</v>
      </c>
      <c r="I736" s="125"/>
      <c r="J736" s="125"/>
      <c r="K736" s="81">
        <f>K735+K734</f>
        <v>1701865</v>
      </c>
      <c r="M736" s="81">
        <f>M735+M734</f>
        <v>1754210</v>
      </c>
      <c r="O736" s="125"/>
      <c r="P736" s="125"/>
      <c r="Q736" s="81">
        <f>Q735+Q734</f>
        <v>1835428</v>
      </c>
      <c r="S736" s="68"/>
      <c r="T736" s="70"/>
      <c r="U736" s="66"/>
      <c r="V736" s="17"/>
      <c r="AE736" s="60"/>
      <c r="AF736" s="60"/>
      <c r="AG736" s="60"/>
      <c r="AH736" s="60"/>
      <c r="AU736" s="125"/>
      <c r="AV736" s="125"/>
      <c r="AW736" s="81">
        <f>AW735+AW734</f>
        <v>1590731</v>
      </c>
      <c r="AX736" s="66" t="s">
        <v>234</v>
      </c>
      <c r="AY736" s="58">
        <v>10</v>
      </c>
    </row>
    <row r="737" spans="1:51" ht="15.75">
      <c r="A737" s="57">
        <f t="shared" si="144"/>
        <v>735</v>
      </c>
      <c r="E737" s="59"/>
      <c r="G737" s="59"/>
      <c r="S737" s="68"/>
      <c r="T737" s="70"/>
      <c r="U737" s="66"/>
      <c r="V737" s="17"/>
      <c r="AE737" s="60"/>
      <c r="AF737" s="60"/>
      <c r="AG737" s="60"/>
      <c r="AH737" s="60"/>
      <c r="AX737" s="66" t="s">
        <v>234</v>
      </c>
      <c r="AY737" s="58">
        <v>10</v>
      </c>
    </row>
    <row r="738" spans="1:51" ht="15.75">
      <c r="A738" s="57">
        <f t="shared" si="144"/>
        <v>736</v>
      </c>
      <c r="B738" s="64" t="s">
        <v>57</v>
      </c>
      <c r="E738" s="22">
        <v>-733016</v>
      </c>
      <c r="G738" s="22">
        <v>0</v>
      </c>
      <c r="I738" s="76"/>
      <c r="K738" s="81">
        <f>AW738</f>
        <v>-18101</v>
      </c>
      <c r="M738" s="81">
        <v>0</v>
      </c>
      <c r="O738" s="76"/>
      <c r="Q738" s="81">
        <v>0</v>
      </c>
      <c r="AE738" s="60"/>
      <c r="AF738" s="60"/>
      <c r="AG738" s="60"/>
      <c r="AH738" s="60"/>
      <c r="AU738" s="76"/>
      <c r="AW738" s="81">
        <v>-18101</v>
      </c>
      <c r="AX738" s="66" t="s">
        <v>234</v>
      </c>
      <c r="AY738" s="58">
        <v>10</v>
      </c>
    </row>
    <row r="739" spans="1:51" ht="16.5" thickBot="1">
      <c r="A739" s="57">
        <f t="shared" si="144"/>
        <v>737</v>
      </c>
      <c r="B739" s="64" t="s">
        <v>249</v>
      </c>
      <c r="E739" s="99">
        <f>E734+E731+E738</f>
        <v>180915985</v>
      </c>
      <c r="G739" s="99">
        <f>G734+G731+G738</f>
        <v>187083731.8684385</v>
      </c>
      <c r="I739" s="96"/>
      <c r="J739" s="96"/>
      <c r="K739" s="97">
        <f>K736+K731+K738</f>
        <v>8382125</v>
      </c>
      <c r="M739" s="97">
        <f>M736+M731+M738</f>
        <v>8655387</v>
      </c>
      <c r="O739" s="96"/>
      <c r="P739" s="96"/>
      <c r="Q739" s="97">
        <f>Q736+Q731+Q738</f>
        <v>9058877</v>
      </c>
      <c r="R739" s="85" t="s">
        <v>59</v>
      </c>
      <c r="S739" s="86">
        <f>Q739</f>
        <v>9058877</v>
      </c>
      <c r="W739" s="60"/>
      <c r="X739" s="60"/>
      <c r="AE739" s="60"/>
      <c r="AF739" s="60"/>
      <c r="AG739" s="60"/>
      <c r="AH739" s="60"/>
      <c r="AU739" s="96"/>
      <c r="AV739" s="96"/>
      <c r="AW739" s="97">
        <f>AW736+AW731+AW738</f>
        <v>7809457</v>
      </c>
      <c r="AX739" s="66" t="s">
        <v>234</v>
      </c>
      <c r="AY739" s="58">
        <v>10</v>
      </c>
    </row>
    <row r="740" spans="1:51" ht="16.5" thickTop="1">
      <c r="A740" s="57">
        <f t="shared" si="144"/>
        <v>738</v>
      </c>
      <c r="B740" s="64" t="s">
        <v>60</v>
      </c>
      <c r="E740" s="59"/>
      <c r="G740" s="59"/>
      <c r="I740" s="76"/>
      <c r="J740" s="26">
        <v>0</v>
      </c>
      <c r="K740" s="81">
        <f>ROUND(SUM(K727:K730,K734)*J740,0)</f>
        <v>0</v>
      </c>
      <c r="M740" s="81">
        <f>ROUND(SUM(M727:M730,M734)*J740,0)</f>
        <v>0</v>
      </c>
      <c r="O740" s="76"/>
      <c r="P740" s="26">
        <v>0</v>
      </c>
      <c r="Q740" s="81">
        <f>ROUND(SUM(Q727:Q730,Q734)*P740,0)</f>
        <v>0</v>
      </c>
      <c r="R740" s="88" t="s">
        <v>61</v>
      </c>
      <c r="S740" s="89">
        <v>9058833.923667612</v>
      </c>
      <c r="W740" s="60"/>
      <c r="X740" s="60"/>
      <c r="AE740" s="60"/>
      <c r="AF740" s="60"/>
      <c r="AG740" s="60"/>
      <c r="AH740" s="60"/>
      <c r="AU740" s="76"/>
      <c r="AV740" s="26">
        <v>0.0359</v>
      </c>
      <c r="AW740" s="81">
        <f>ROUND(SUM(AW727:AW730,AW734)*AV740,0)</f>
        <v>274622</v>
      </c>
      <c r="AX740" s="66" t="s">
        <v>234</v>
      </c>
      <c r="AY740" s="58">
        <v>10</v>
      </c>
    </row>
    <row r="741" spans="1:51" ht="15.75">
      <c r="A741" s="57">
        <f t="shared" si="144"/>
        <v>739</v>
      </c>
      <c r="B741" s="64" t="s">
        <v>62</v>
      </c>
      <c r="E741" s="59"/>
      <c r="G741" s="59"/>
      <c r="I741" s="76"/>
      <c r="J741" s="26">
        <v>0.0308</v>
      </c>
      <c r="K741" s="81">
        <f>ROUND(SUM(K727:K730,K734,K740)*J741,0)</f>
        <v>253247</v>
      </c>
      <c r="M741" s="81">
        <f>ROUND(SUM(M727:M730,M734,M740)*J741,0)</f>
        <v>260824</v>
      </c>
      <c r="O741" s="76"/>
      <c r="P741" s="26">
        <v>0.0308</v>
      </c>
      <c r="Q741" s="81">
        <f>ROUND(SUM(Q727:Q730,Q734,Q740)*P741,0)</f>
        <v>273152</v>
      </c>
      <c r="R741" s="90" t="s">
        <v>515</v>
      </c>
      <c r="S741" s="91">
        <f>S740-S739</f>
        <v>-43.076332388445735</v>
      </c>
      <c r="W741" s="60"/>
      <c r="X741" s="60"/>
      <c r="AG741" s="60"/>
      <c r="AH741" s="60"/>
      <c r="AU741" s="76"/>
      <c r="AV741" s="26"/>
      <c r="AW741" s="81">
        <f>ROUND(SUM(AW727:AW730,AW734,AW740)*AV741,0)</f>
        <v>0</v>
      </c>
      <c r="AX741" s="66" t="s">
        <v>234</v>
      </c>
      <c r="AY741" s="58">
        <v>10</v>
      </c>
    </row>
    <row r="742" spans="1:51" ht="15.75">
      <c r="A742" s="57">
        <f t="shared" si="144"/>
        <v>740</v>
      </c>
      <c r="E742" s="59"/>
      <c r="G742" s="59"/>
      <c r="AE742" s="60"/>
      <c r="AF742" s="60"/>
      <c r="AG742" s="60"/>
      <c r="AH742" s="60"/>
      <c r="AX742" s="66" t="s">
        <v>234</v>
      </c>
      <c r="AY742" s="58">
        <v>10</v>
      </c>
    </row>
    <row r="743" spans="1:51" ht="15.75">
      <c r="A743" s="57">
        <f t="shared" si="144"/>
        <v>741</v>
      </c>
      <c r="AE743" s="60"/>
      <c r="AF743" s="60"/>
      <c r="AG743" s="60"/>
      <c r="AH743" s="60"/>
      <c r="AX743" s="66" t="s">
        <v>234</v>
      </c>
      <c r="AY743" s="58">
        <v>10</v>
      </c>
    </row>
    <row r="744" spans="1:51" ht="15.75">
      <c r="A744" s="57">
        <f t="shared" si="144"/>
        <v>742</v>
      </c>
      <c r="B744" s="64" t="s">
        <v>250</v>
      </c>
      <c r="E744" s="59"/>
      <c r="G744" s="59"/>
      <c r="AE744" s="60"/>
      <c r="AF744" s="60"/>
      <c r="AG744" s="60"/>
      <c r="AH744" s="60"/>
      <c r="AX744" s="66" t="s">
        <v>234</v>
      </c>
      <c r="AY744" s="58">
        <v>10</v>
      </c>
    </row>
    <row r="745" spans="1:51" ht="15.75">
      <c r="A745" s="57">
        <f t="shared" si="144"/>
        <v>743</v>
      </c>
      <c r="B745" s="64" t="s">
        <v>251</v>
      </c>
      <c r="E745" s="59"/>
      <c r="G745" s="59"/>
      <c r="AE745" s="60"/>
      <c r="AF745" s="60"/>
      <c r="AG745" s="60"/>
      <c r="AH745" s="60"/>
      <c r="AX745" s="66" t="s">
        <v>234</v>
      </c>
      <c r="AY745" s="58">
        <v>10</v>
      </c>
    </row>
    <row r="746" spans="1:51" ht="15.75">
      <c r="A746" s="57">
        <f t="shared" si="144"/>
        <v>744</v>
      </c>
      <c r="B746" s="64"/>
      <c r="E746" s="59"/>
      <c r="G746" s="59"/>
      <c r="AE746" s="60"/>
      <c r="AF746" s="60"/>
      <c r="AG746" s="60"/>
      <c r="AH746" s="60"/>
      <c r="AX746" s="66" t="s">
        <v>234</v>
      </c>
      <c r="AY746" s="58">
        <v>10</v>
      </c>
    </row>
    <row r="747" spans="1:51" ht="15.75">
      <c r="A747" s="57">
        <f t="shared" si="144"/>
        <v>745</v>
      </c>
      <c r="B747" s="98" t="s">
        <v>235</v>
      </c>
      <c r="E747" s="59"/>
      <c r="G747" s="59"/>
      <c r="AE747" s="60"/>
      <c r="AF747" s="60"/>
      <c r="AG747" s="60"/>
      <c r="AH747" s="60"/>
      <c r="AX747" s="66" t="s">
        <v>234</v>
      </c>
      <c r="AY747" s="107" t="s">
        <v>12</v>
      </c>
    </row>
    <row r="748" spans="1:51" ht="15.75">
      <c r="A748" s="57">
        <f aca="true" t="shared" si="145" ref="A748:A811">A747+1</f>
        <v>746</v>
      </c>
      <c r="B748" s="64" t="s">
        <v>236</v>
      </c>
      <c r="E748" s="59"/>
      <c r="G748" s="59"/>
      <c r="I748" s="76"/>
      <c r="K748" s="66"/>
      <c r="M748" s="66"/>
      <c r="O748" s="76"/>
      <c r="Q748" s="66"/>
      <c r="AE748" s="60"/>
      <c r="AF748" s="60"/>
      <c r="AG748" s="60"/>
      <c r="AH748" s="60"/>
      <c r="AU748" s="76"/>
      <c r="AW748" s="66"/>
      <c r="AX748" s="66" t="s">
        <v>234</v>
      </c>
      <c r="AY748" s="107" t="s">
        <v>12</v>
      </c>
    </row>
    <row r="749" spans="1:51" ht="15.75">
      <c r="A749" s="57">
        <f t="shared" si="145"/>
        <v>747</v>
      </c>
      <c r="B749" s="64" t="s">
        <v>237</v>
      </c>
      <c r="E749" s="59">
        <v>1</v>
      </c>
      <c r="G749" s="23">
        <f>E749*$G$752/$E$752</f>
        <v>1.0514795008912656</v>
      </c>
      <c r="I749" s="76">
        <f>I723</f>
        <v>78.63</v>
      </c>
      <c r="K749" s="66">
        <f>ROUND(I749*$E749,0)</f>
        <v>79</v>
      </c>
      <c r="M749" s="66">
        <f>ROUND(I749*$G749,0)</f>
        <v>83</v>
      </c>
      <c r="O749" s="76">
        <f>O723</f>
        <v>80</v>
      </c>
      <c r="Q749" s="66">
        <f>ROUND(O749*$G749,0)</f>
        <v>84</v>
      </c>
      <c r="AE749" s="60"/>
      <c r="AF749" s="60"/>
      <c r="AG749" s="60"/>
      <c r="AH749" s="60"/>
      <c r="AU749" s="76">
        <f>AU723</f>
        <v>78.63</v>
      </c>
      <c r="AW749" s="66">
        <f>ROUND(AU749*$E749,0)</f>
        <v>79</v>
      </c>
      <c r="AX749" s="66" t="s">
        <v>234</v>
      </c>
      <c r="AY749" s="107" t="s">
        <v>12</v>
      </c>
    </row>
    <row r="750" spans="1:51" ht="15.75">
      <c r="A750" s="57">
        <f t="shared" si="145"/>
        <v>748</v>
      </c>
      <c r="B750" s="64" t="s">
        <v>238</v>
      </c>
      <c r="E750" s="59">
        <f>224.54+12</f>
        <v>236.54</v>
      </c>
      <c r="G750" s="23">
        <f>E750*$G$752/$E$752</f>
        <v>248.71696114081996</v>
      </c>
      <c r="I750" s="76">
        <f>I724</f>
        <v>24.57</v>
      </c>
      <c r="K750" s="66">
        <f>ROUND(I750*$E750,0)</f>
        <v>5812</v>
      </c>
      <c r="M750" s="66">
        <f>ROUND(I750*$G750,0)</f>
        <v>6111</v>
      </c>
      <c r="O750" s="76">
        <f>O724</f>
        <v>25</v>
      </c>
      <c r="Q750" s="66">
        <f>ROUND(O750*$G750,0)</f>
        <v>6218</v>
      </c>
      <c r="AE750" s="60"/>
      <c r="AF750" s="60"/>
      <c r="AG750" s="60"/>
      <c r="AH750" s="60"/>
      <c r="AU750" s="76">
        <f>AU724</f>
        <v>24.57</v>
      </c>
      <c r="AW750" s="66">
        <f>ROUND(AU750*$E750,0)</f>
        <v>5812</v>
      </c>
      <c r="AX750" s="66" t="s">
        <v>234</v>
      </c>
      <c r="AY750" s="107" t="s">
        <v>12</v>
      </c>
    </row>
    <row r="751" spans="1:51" ht="15.75">
      <c r="A751" s="57">
        <f t="shared" si="145"/>
        <v>749</v>
      </c>
      <c r="B751" s="64" t="s">
        <v>239</v>
      </c>
      <c r="E751" s="59"/>
      <c r="G751" s="23"/>
      <c r="AE751" s="60"/>
      <c r="AF751" s="60"/>
      <c r="AG751" s="60"/>
      <c r="AH751" s="60"/>
      <c r="AX751" s="66" t="s">
        <v>234</v>
      </c>
      <c r="AY751" s="107" t="s">
        <v>12</v>
      </c>
    </row>
    <row r="752" spans="1:51" ht="15.75">
      <c r="A752" s="57">
        <f t="shared" si="145"/>
        <v>750</v>
      </c>
      <c r="B752" s="64" t="s">
        <v>252</v>
      </c>
      <c r="E752" s="59">
        <f>689.2+3.74+40.69</f>
        <v>733.6300000000001</v>
      </c>
      <c r="G752" s="23">
        <v>771.3969062388593</v>
      </c>
      <c r="I752" s="76">
        <f>I726</f>
        <v>9.83</v>
      </c>
      <c r="K752" s="66">
        <f>ROUND(I752*$E752,0)</f>
        <v>7212</v>
      </c>
      <c r="M752" s="66">
        <f>ROUND(I752*$G752,0)</f>
        <v>7583</v>
      </c>
      <c r="O752" s="76">
        <f>O726</f>
        <v>10</v>
      </c>
      <c r="Q752" s="66">
        <f>ROUND(O752*$G752,0)</f>
        <v>7714</v>
      </c>
      <c r="AE752" s="60"/>
      <c r="AF752" s="60"/>
      <c r="AG752" s="60"/>
      <c r="AH752" s="60"/>
      <c r="AU752" s="76">
        <f>AU726</f>
        <v>9.83</v>
      </c>
      <c r="AW752" s="66">
        <f>ROUND(AU752*$E752,0)</f>
        <v>7212</v>
      </c>
      <c r="AX752" s="66" t="s">
        <v>234</v>
      </c>
      <c r="AY752" s="107" t="s">
        <v>12</v>
      </c>
    </row>
    <row r="753" spans="1:51" ht="15.75">
      <c r="A753" s="57">
        <f t="shared" si="145"/>
        <v>751</v>
      </c>
      <c r="B753" s="64" t="s">
        <v>253</v>
      </c>
      <c r="E753" s="59">
        <f>26773.48+879.42+6594.1</f>
        <v>34247</v>
      </c>
      <c r="G753" s="23">
        <f>E753*$G$759/$E$759</f>
        <v>35271.631167949075</v>
      </c>
      <c r="I753" s="76">
        <f>I727</f>
        <v>4.54</v>
      </c>
      <c r="K753" s="66">
        <f>ROUND(I753*$E753,0)</f>
        <v>155481</v>
      </c>
      <c r="M753" s="66">
        <f>ROUND(I753*$G753,0)</f>
        <v>160133</v>
      </c>
      <c r="O753" s="76">
        <f>O727</f>
        <v>4.75</v>
      </c>
      <c r="Q753" s="66">
        <f>ROUND(O753*$G753,0)</f>
        <v>167540</v>
      </c>
      <c r="AE753" s="60"/>
      <c r="AF753" s="60"/>
      <c r="AG753" s="60"/>
      <c r="AH753" s="60"/>
      <c r="AU753" s="76">
        <f>AU727</f>
        <v>4.22</v>
      </c>
      <c r="AW753" s="66">
        <f>ROUND(AU753*$E753,0)</f>
        <v>144522</v>
      </c>
      <c r="AX753" s="66" t="s">
        <v>234</v>
      </c>
      <c r="AY753" s="107" t="s">
        <v>12</v>
      </c>
    </row>
    <row r="754" spans="1:51" ht="15.75">
      <c r="A754" s="57">
        <f t="shared" si="145"/>
        <v>752</v>
      </c>
      <c r="B754" s="64" t="s">
        <v>93</v>
      </c>
      <c r="E754" s="126"/>
      <c r="G754" s="23"/>
      <c r="I754" s="76"/>
      <c r="K754" s="66"/>
      <c r="M754" s="66"/>
      <c r="O754" s="76"/>
      <c r="Q754" s="66"/>
      <c r="AE754" s="60"/>
      <c r="AF754" s="60"/>
      <c r="AG754" s="60"/>
      <c r="AH754" s="60"/>
      <c r="AU754" s="76"/>
      <c r="AW754" s="66"/>
      <c r="AX754" s="66" t="s">
        <v>234</v>
      </c>
      <c r="AY754" s="107" t="s">
        <v>12</v>
      </c>
    </row>
    <row r="755" spans="1:51" ht="15.75">
      <c r="A755" s="57">
        <f t="shared" si="145"/>
        <v>753</v>
      </c>
      <c r="B755" s="64" t="s">
        <v>254</v>
      </c>
      <c r="E755" s="59">
        <v>879.42</v>
      </c>
      <c r="G755" s="23">
        <f>E755*$G$759/$E$759</f>
        <v>905.7312430787448</v>
      </c>
      <c r="I755" s="76">
        <f>I728</f>
        <v>-1.27</v>
      </c>
      <c r="K755" s="66">
        <f>ROUND(I755*$E755,0)</f>
        <v>-1117</v>
      </c>
      <c r="M755" s="66">
        <f>ROUND(I755*$G755,0)</f>
        <v>-1150</v>
      </c>
      <c r="O755" s="76">
        <f>O728</f>
        <v>-1.33</v>
      </c>
      <c r="Q755" s="66">
        <f>ROUND(O755*$G755,0)</f>
        <v>-1205</v>
      </c>
      <c r="AE755" s="60"/>
      <c r="AF755" s="60"/>
      <c r="AG755" s="60"/>
      <c r="AH755" s="60"/>
      <c r="AU755" s="76">
        <f>AU728</f>
        <v>-1.27</v>
      </c>
      <c r="AW755" s="66">
        <f>ROUND(AU755*$E755,0)</f>
        <v>-1117</v>
      </c>
      <c r="AX755" s="66" t="s">
        <v>234</v>
      </c>
      <c r="AY755" s="107" t="s">
        <v>12</v>
      </c>
    </row>
    <row r="756" spans="1:51" ht="15.75">
      <c r="A756" s="57">
        <f t="shared" si="145"/>
        <v>754</v>
      </c>
      <c r="B756" s="64" t="s">
        <v>255</v>
      </c>
      <c r="E756" s="59"/>
      <c r="G756" s="23"/>
      <c r="R756" s="69"/>
      <c r="AE756" s="60"/>
      <c r="AF756" s="60"/>
      <c r="AG756" s="60"/>
      <c r="AH756" s="60"/>
      <c r="AX756" s="66" t="s">
        <v>234</v>
      </c>
      <c r="AY756" s="107" t="s">
        <v>12</v>
      </c>
    </row>
    <row r="757" spans="1:51" ht="15.75">
      <c r="A757" s="57">
        <f t="shared" si="145"/>
        <v>755</v>
      </c>
      <c r="B757" s="64" t="s">
        <v>256</v>
      </c>
      <c r="E757" s="59">
        <f>1399133+30650+270461</f>
        <v>1700244</v>
      </c>
      <c r="G757" s="23">
        <f>E757*$G$759/$E$759</f>
        <v>1751113.3606890652</v>
      </c>
      <c r="I757" s="76"/>
      <c r="J757" s="20">
        <v>8.9084</v>
      </c>
      <c r="K757" s="66">
        <f>ROUND(J757*$E757/100,0)</f>
        <v>151465</v>
      </c>
      <c r="M757" s="66">
        <f>ROUND(J757*$G757/100,0)</f>
        <v>155996</v>
      </c>
      <c r="O757" s="76"/>
      <c r="P757" s="20">
        <v>9.3377</v>
      </c>
      <c r="Q757" s="66">
        <f>ROUND(P757*$G757/100,0)</f>
        <v>163514</v>
      </c>
      <c r="S757" s="68">
        <f>ROUND(P757*$S$769/$S$767,4)</f>
        <v>0</v>
      </c>
      <c r="T757" s="70"/>
      <c r="U757" s="66"/>
      <c r="V757" s="17"/>
      <c r="AE757" s="60"/>
      <c r="AF757" s="60"/>
      <c r="AG757" s="60"/>
      <c r="AH757" s="60"/>
      <c r="AU757" s="76"/>
      <c r="AV757" s="20">
        <v>8.3784</v>
      </c>
      <c r="AW757" s="66">
        <f>ROUND(AV757*$E757/100,0)</f>
        <v>142453</v>
      </c>
      <c r="AX757" s="66" t="s">
        <v>234</v>
      </c>
      <c r="AY757" s="107" t="s">
        <v>12</v>
      </c>
    </row>
    <row r="758" spans="1:51" ht="15.75">
      <c r="A758" s="57">
        <f t="shared" si="145"/>
        <v>756</v>
      </c>
      <c r="B758" s="64" t="s">
        <v>257</v>
      </c>
      <c r="E758" s="78">
        <f>6640341+185562+1261836</f>
        <v>8087739</v>
      </c>
      <c r="G758" s="78">
        <f>E758*$G$759/$E$759</f>
        <v>8329714.923661556</v>
      </c>
      <c r="I758" s="76"/>
      <c r="J758" s="46">
        <v>2.5585</v>
      </c>
      <c r="K758" s="81">
        <f>ROUND(J758*$E758/100,0)</f>
        <v>206925</v>
      </c>
      <c r="M758" s="81">
        <f>ROUND(J758*$G758/100,0)</f>
        <v>213116</v>
      </c>
      <c r="O758" s="76"/>
      <c r="P758" s="46">
        <v>2.6817</v>
      </c>
      <c r="Q758" s="81">
        <f>ROUND(P758*$G758/100,0)</f>
        <v>223378</v>
      </c>
      <c r="R758" s="123"/>
      <c r="S758" s="68">
        <f>ROUND(P758*$S$769/$S$767,4)</f>
        <v>0</v>
      </c>
      <c r="T758" s="70"/>
      <c r="U758" s="66"/>
      <c r="V758" s="17"/>
      <c r="AE758" s="60"/>
      <c r="AF758" s="60"/>
      <c r="AG758" s="60"/>
      <c r="AH758" s="60"/>
      <c r="AU758" s="76"/>
      <c r="AV758" s="46">
        <v>2.3885</v>
      </c>
      <c r="AW758" s="81">
        <f>ROUND(AV758*$E758/100,0)</f>
        <v>193176</v>
      </c>
      <c r="AX758" s="66" t="s">
        <v>234</v>
      </c>
      <c r="AY758" s="107" t="s">
        <v>12</v>
      </c>
    </row>
    <row r="759" spans="1:51" ht="15.75">
      <c r="A759" s="57">
        <f t="shared" si="145"/>
        <v>757</v>
      </c>
      <c r="B759" s="64" t="s">
        <v>244</v>
      </c>
      <c r="E759" s="78">
        <f>E758+E757</f>
        <v>9787983</v>
      </c>
      <c r="G759" s="78">
        <v>10080828.28435062</v>
      </c>
      <c r="I759" s="125"/>
      <c r="J759" s="125"/>
      <c r="K759" s="81">
        <f>SUM(K749:K758)</f>
        <v>525857</v>
      </c>
      <c r="M759" s="81">
        <f>SUM(M749:M758)</f>
        <v>541872</v>
      </c>
      <c r="O759" s="125"/>
      <c r="P759" s="125"/>
      <c r="Q759" s="81">
        <f>SUM(Q749:Q758)</f>
        <v>567243</v>
      </c>
      <c r="AE759" s="60"/>
      <c r="AF759" s="60"/>
      <c r="AG759" s="60"/>
      <c r="AH759" s="60"/>
      <c r="AU759" s="125"/>
      <c r="AV759" s="125"/>
      <c r="AW759" s="81">
        <f>SUM(AW749:AW758)</f>
        <v>492137</v>
      </c>
      <c r="AX759" s="66" t="s">
        <v>234</v>
      </c>
      <c r="AY759" s="107" t="s">
        <v>12</v>
      </c>
    </row>
    <row r="760" spans="1:51" ht="15.75">
      <c r="A760" s="57">
        <f t="shared" si="145"/>
        <v>758</v>
      </c>
      <c r="E760" s="59"/>
      <c r="G760" s="59"/>
      <c r="K760" s="66"/>
      <c r="M760" s="66"/>
      <c r="Q760" s="66"/>
      <c r="AE760" s="60"/>
      <c r="AF760" s="60"/>
      <c r="AG760" s="60"/>
      <c r="AH760" s="60"/>
      <c r="AW760" s="66"/>
      <c r="AX760" s="66" t="s">
        <v>234</v>
      </c>
      <c r="AY760" s="107" t="s">
        <v>12</v>
      </c>
    </row>
    <row r="761" spans="1:51" ht="15.75">
      <c r="A761" s="57">
        <f t="shared" si="145"/>
        <v>759</v>
      </c>
      <c r="B761" s="64" t="s">
        <v>245</v>
      </c>
      <c r="E761" s="59"/>
      <c r="G761" s="59"/>
      <c r="AE761" s="60"/>
      <c r="AF761" s="60"/>
      <c r="AG761" s="60"/>
      <c r="AH761" s="60"/>
      <c r="AX761" s="66" t="s">
        <v>234</v>
      </c>
      <c r="AY761" s="107" t="s">
        <v>12</v>
      </c>
    </row>
    <row r="762" spans="1:51" ht="15.75">
      <c r="A762" s="57">
        <f t="shared" si="145"/>
        <v>760</v>
      </c>
      <c r="B762" s="64" t="s">
        <v>246</v>
      </c>
      <c r="E762" s="59">
        <f>3691432+135388+779400</f>
        <v>4606220</v>
      </c>
      <c r="G762" s="23">
        <f>E762*G764/E764</f>
        <v>4744032.847210863</v>
      </c>
      <c r="I762" s="93"/>
      <c r="J762" s="106">
        <f>J734</f>
        <v>3.0907</v>
      </c>
      <c r="K762" s="66">
        <f>ROUND(J762*$E762/100,0)</f>
        <v>142364</v>
      </c>
      <c r="M762" s="66">
        <f>ROUND(J762*$G762/100,0)</f>
        <v>146624</v>
      </c>
      <c r="O762" s="93"/>
      <c r="P762" s="106">
        <f>P734</f>
        <v>3.2375</v>
      </c>
      <c r="Q762" s="66">
        <f>ROUND(P762*$G762/100,0)</f>
        <v>153588</v>
      </c>
      <c r="AE762" s="60"/>
      <c r="AF762" s="60"/>
      <c r="AG762" s="60"/>
      <c r="AH762" s="60"/>
      <c r="AU762" s="93"/>
      <c r="AV762" s="106">
        <f>AV734</f>
        <v>2.8807</v>
      </c>
      <c r="AW762" s="66">
        <f>ROUND(AV762*$E762/100,0)</f>
        <v>132691</v>
      </c>
      <c r="AX762" s="66" t="s">
        <v>234</v>
      </c>
      <c r="AY762" s="107" t="s">
        <v>12</v>
      </c>
    </row>
    <row r="763" spans="1:51" ht="15.75">
      <c r="A763" s="57">
        <f t="shared" si="145"/>
        <v>761</v>
      </c>
      <c r="B763" s="64" t="s">
        <v>247</v>
      </c>
      <c r="E763" s="78">
        <f>703.97+8.26+100.34</f>
        <v>812.57</v>
      </c>
      <c r="G763" s="78">
        <v>854.4006980392157</v>
      </c>
      <c r="I763" s="76">
        <f>I735</f>
        <v>9.83</v>
      </c>
      <c r="J763" s="76"/>
      <c r="K763" s="81">
        <f>ROUND(I763*$E763,0)</f>
        <v>7988</v>
      </c>
      <c r="M763" s="81">
        <f>ROUND(I763*$G763,0)</f>
        <v>8399</v>
      </c>
      <c r="O763" s="76">
        <f>O735</f>
        <v>10</v>
      </c>
      <c r="P763" s="76"/>
      <c r="Q763" s="81">
        <f>ROUND(O763*$G763,0)</f>
        <v>8544</v>
      </c>
      <c r="U763" s="66"/>
      <c r="V763" s="17"/>
      <c r="AE763" s="60"/>
      <c r="AF763" s="60"/>
      <c r="AG763" s="60"/>
      <c r="AH763" s="60"/>
      <c r="AU763" s="76">
        <f>AU735</f>
        <v>9.83</v>
      </c>
      <c r="AV763" s="76"/>
      <c r="AW763" s="81">
        <f>ROUND(AU763*$E763,0)</f>
        <v>7988</v>
      </c>
      <c r="AX763" s="66" t="s">
        <v>234</v>
      </c>
      <c r="AY763" s="107" t="s">
        <v>12</v>
      </c>
    </row>
    <row r="764" spans="1:51" ht="15.75">
      <c r="A764" s="57">
        <f t="shared" si="145"/>
        <v>762</v>
      </c>
      <c r="B764" s="64" t="s">
        <v>248</v>
      </c>
      <c r="E764" s="78">
        <f>E762</f>
        <v>4606220</v>
      </c>
      <c r="G764" s="78">
        <v>4744032.847210863</v>
      </c>
      <c r="I764" s="125"/>
      <c r="J764" s="125"/>
      <c r="K764" s="81">
        <f>K763+K762</f>
        <v>150352</v>
      </c>
      <c r="M764" s="81">
        <f>M763+M762</f>
        <v>155023</v>
      </c>
      <c r="O764" s="125"/>
      <c r="P764" s="125"/>
      <c r="Q764" s="81">
        <f>Q763+Q762</f>
        <v>162132</v>
      </c>
      <c r="U764" s="66"/>
      <c r="AE764" s="60"/>
      <c r="AF764" s="60"/>
      <c r="AG764" s="60"/>
      <c r="AH764" s="60"/>
      <c r="AU764" s="125"/>
      <c r="AV764" s="125"/>
      <c r="AW764" s="81">
        <f>AW763+AW762</f>
        <v>140679</v>
      </c>
      <c r="AX764" s="66" t="s">
        <v>234</v>
      </c>
      <c r="AY764" s="107" t="s">
        <v>12</v>
      </c>
    </row>
    <row r="765" spans="1:51" ht="15.75">
      <c r="A765" s="57">
        <f t="shared" si="145"/>
        <v>763</v>
      </c>
      <c r="E765" s="59"/>
      <c r="G765" s="59"/>
      <c r="U765" s="66"/>
      <c r="AE765" s="60"/>
      <c r="AF765" s="60"/>
      <c r="AG765" s="60"/>
      <c r="AH765" s="60"/>
      <c r="AX765" s="66" t="s">
        <v>234</v>
      </c>
      <c r="AY765" s="107" t="s">
        <v>12</v>
      </c>
    </row>
    <row r="766" spans="1:51" ht="15.75">
      <c r="A766" s="57">
        <f t="shared" si="145"/>
        <v>764</v>
      </c>
      <c r="B766" s="64" t="s">
        <v>57</v>
      </c>
      <c r="E766" s="22">
        <v>-21402</v>
      </c>
      <c r="G766" s="78">
        <v>0</v>
      </c>
      <c r="I766" s="76"/>
      <c r="K766" s="81">
        <f>AW766</f>
        <v>-529</v>
      </c>
      <c r="M766" s="81">
        <v>0</v>
      </c>
      <c r="O766" s="76"/>
      <c r="Q766" s="81">
        <v>0</v>
      </c>
      <c r="U766" s="66"/>
      <c r="AE766" s="60"/>
      <c r="AF766" s="60"/>
      <c r="AG766" s="60"/>
      <c r="AH766" s="60"/>
      <c r="AU766" s="76"/>
      <c r="AW766" s="81">
        <v>-529</v>
      </c>
      <c r="AX766" s="66" t="s">
        <v>234</v>
      </c>
      <c r="AY766" s="107" t="s">
        <v>12</v>
      </c>
    </row>
    <row r="767" spans="1:51" ht="16.5" thickBot="1">
      <c r="A767" s="57">
        <f t="shared" si="145"/>
        <v>765</v>
      </c>
      <c r="B767" s="64" t="s">
        <v>258</v>
      </c>
      <c r="E767" s="99">
        <f>E762+E759+E766</f>
        <v>14372801</v>
      </c>
      <c r="G767" s="99">
        <f>G762+G759+G766</f>
        <v>14824861.131561484</v>
      </c>
      <c r="I767" s="96"/>
      <c r="J767" s="96"/>
      <c r="K767" s="97">
        <f>K764+K759+K766</f>
        <v>675680</v>
      </c>
      <c r="M767" s="97">
        <f>M764+M759+M766</f>
        <v>696895</v>
      </c>
      <c r="O767" s="96"/>
      <c r="P767" s="96"/>
      <c r="Q767" s="97">
        <f>Q764+Q759+Q766</f>
        <v>729375</v>
      </c>
      <c r="R767" s="85" t="s">
        <v>59</v>
      </c>
      <c r="S767" s="86">
        <f>Q767</f>
        <v>729375</v>
      </c>
      <c r="U767" s="68"/>
      <c r="AE767" s="60"/>
      <c r="AF767" s="60"/>
      <c r="AG767" s="60"/>
      <c r="AH767" s="60"/>
      <c r="AU767" s="96"/>
      <c r="AV767" s="96"/>
      <c r="AW767" s="97">
        <f>AW764+AW759+AW766</f>
        <v>632287</v>
      </c>
      <c r="AX767" s="66" t="s">
        <v>234</v>
      </c>
      <c r="AY767" s="107" t="s">
        <v>12</v>
      </c>
    </row>
    <row r="768" spans="1:51" ht="16.5" thickTop="1">
      <c r="A768" s="57">
        <f t="shared" si="145"/>
        <v>766</v>
      </c>
      <c r="B768" s="64" t="s">
        <v>60</v>
      </c>
      <c r="E768" s="59"/>
      <c r="G768" s="59"/>
      <c r="I768" s="76"/>
      <c r="J768" s="26">
        <f>J740</f>
        <v>0</v>
      </c>
      <c r="K768" s="81">
        <f>ROUND(SUM(K753:K758,K762)*J768,0)</f>
        <v>0</v>
      </c>
      <c r="M768" s="81">
        <f>ROUND(SUM(M753:M758,M762)*J768,0)</f>
        <v>0</v>
      </c>
      <c r="O768" s="76"/>
      <c r="P768" s="26">
        <f>P740</f>
        <v>0</v>
      </c>
      <c r="Q768" s="81">
        <f>ROUND(SUM(Q753:Q758,Q762)*P768,0)</f>
        <v>0</v>
      </c>
      <c r="R768" s="88" t="s">
        <v>61</v>
      </c>
      <c r="S768" s="89">
        <v>729378.8327701972</v>
      </c>
      <c r="AE768" s="60"/>
      <c r="AF768" s="60"/>
      <c r="AG768" s="60"/>
      <c r="AH768" s="60"/>
      <c r="AU768" s="76"/>
      <c r="AV768" s="26">
        <f>AV740</f>
        <v>0.0359</v>
      </c>
      <c r="AW768" s="81">
        <f>ROUND(SUM(AW753:AW758,AW762)*AV768,0)</f>
        <v>21961</v>
      </c>
      <c r="AX768" s="66" t="s">
        <v>234</v>
      </c>
      <c r="AY768" s="107" t="s">
        <v>12</v>
      </c>
    </row>
    <row r="769" spans="1:51" ht="15.75">
      <c r="A769" s="57">
        <f t="shared" si="145"/>
        <v>767</v>
      </c>
      <c r="B769" s="64" t="s">
        <v>62</v>
      </c>
      <c r="E769" s="59"/>
      <c r="G769" s="59"/>
      <c r="I769" s="76"/>
      <c r="J769" s="26">
        <f>J741</f>
        <v>0.0308</v>
      </c>
      <c r="K769" s="81">
        <f>ROUND(SUM(K753:K758,K762,K768)*J769,0)</f>
        <v>20178</v>
      </c>
      <c r="M769" s="81">
        <f>ROUND(SUM(M753:M758,M762,M768)*J769,0)</f>
        <v>20781</v>
      </c>
      <c r="O769" s="76"/>
      <c r="P769" s="26">
        <f>P741</f>
        <v>0.0308</v>
      </c>
      <c r="Q769" s="81">
        <f>ROUND(SUM(Q753:Q758,Q762,Q768)*P769,0)</f>
        <v>21770</v>
      </c>
      <c r="R769" s="90" t="s">
        <v>515</v>
      </c>
      <c r="S769" s="91">
        <f>S768-S767</f>
        <v>3.832770197186619</v>
      </c>
      <c r="T769" s="60"/>
      <c r="U769" s="60"/>
      <c r="V769" s="60"/>
      <c r="AG769" s="60"/>
      <c r="AH769" s="60"/>
      <c r="AU769" s="76"/>
      <c r="AV769" s="26">
        <f>AV741</f>
        <v>0</v>
      </c>
      <c r="AW769" s="81">
        <f>ROUND(SUM(AW753:AW758,AW762,AW768)*AV769,0)</f>
        <v>0</v>
      </c>
      <c r="AX769" s="66" t="s">
        <v>234</v>
      </c>
      <c r="AY769" s="107" t="s">
        <v>12</v>
      </c>
    </row>
    <row r="770" spans="1:51" ht="15.75">
      <c r="A770" s="57">
        <f t="shared" si="145"/>
        <v>768</v>
      </c>
      <c r="E770" s="59" t="s">
        <v>259</v>
      </c>
      <c r="G770" s="59"/>
      <c r="AE770" s="60"/>
      <c r="AF770" s="60"/>
      <c r="AG770" s="60"/>
      <c r="AH770" s="60"/>
      <c r="AX770" s="66" t="s">
        <v>234</v>
      </c>
      <c r="AY770" s="107" t="s">
        <v>12</v>
      </c>
    </row>
    <row r="771" spans="1:51" ht="15.75">
      <c r="A771" s="57">
        <f t="shared" si="145"/>
        <v>769</v>
      </c>
      <c r="E771" s="59"/>
      <c r="G771" s="59"/>
      <c r="K771" s="66"/>
      <c r="M771" s="66"/>
      <c r="Q771" s="66"/>
      <c r="AE771" s="60"/>
      <c r="AF771" s="60"/>
      <c r="AG771" s="60"/>
      <c r="AH771" s="60"/>
      <c r="AX771" s="66" t="s">
        <v>234</v>
      </c>
      <c r="AY771" s="107" t="s">
        <v>12</v>
      </c>
    </row>
    <row r="772" spans="1:51" ht="15.75">
      <c r="A772" s="57">
        <f t="shared" si="145"/>
        <v>770</v>
      </c>
      <c r="B772" s="64" t="s">
        <v>260</v>
      </c>
      <c r="E772" s="59"/>
      <c r="G772" s="59"/>
      <c r="R772" s="58" t="s">
        <v>148</v>
      </c>
      <c r="AE772" s="60"/>
      <c r="AF772" s="60"/>
      <c r="AG772" s="60"/>
      <c r="AH772" s="60"/>
      <c r="AX772" s="66" t="s">
        <v>261</v>
      </c>
      <c r="AY772" s="58">
        <v>11</v>
      </c>
    </row>
    <row r="773" spans="1:51" ht="15.75">
      <c r="A773" s="57">
        <f t="shared" si="145"/>
        <v>771</v>
      </c>
      <c r="B773" s="64" t="s">
        <v>262</v>
      </c>
      <c r="E773" s="59"/>
      <c r="G773" s="59"/>
      <c r="R773" s="117">
        <v>0.1139</v>
      </c>
      <c r="S773" s="87">
        <f>S819</f>
        <v>842.0729461787269</v>
      </c>
      <c r="AE773" s="60"/>
      <c r="AF773" s="60"/>
      <c r="AG773" s="60"/>
      <c r="AH773" s="60"/>
      <c r="AX773" s="66" t="s">
        <v>261</v>
      </c>
      <c r="AY773" s="58">
        <v>11</v>
      </c>
    </row>
    <row r="774" spans="1:51" ht="15.75">
      <c r="A774" s="57">
        <f t="shared" si="145"/>
        <v>772</v>
      </c>
      <c r="B774" s="64" t="s">
        <v>263</v>
      </c>
      <c r="E774" s="59"/>
      <c r="G774" s="59"/>
      <c r="AD774" s="55" t="s">
        <v>190</v>
      </c>
      <c r="AE774" s="60"/>
      <c r="AF774" s="60"/>
      <c r="AG774" s="60"/>
      <c r="AH774" s="60"/>
      <c r="AX774" s="66" t="s">
        <v>261</v>
      </c>
      <c r="AY774" s="58">
        <v>11</v>
      </c>
    </row>
    <row r="775" spans="1:51" ht="15.75">
      <c r="A775" s="57">
        <f t="shared" si="145"/>
        <v>773</v>
      </c>
      <c r="B775" s="98" t="s">
        <v>264</v>
      </c>
      <c r="E775" s="59"/>
      <c r="G775" s="59"/>
      <c r="R775" s="58" t="s">
        <v>0</v>
      </c>
      <c r="S775" s="58"/>
      <c r="U775" s="55">
        <f>SUM(U777:U811)</f>
        <v>-519.5300000000001</v>
      </c>
      <c r="Z775" s="55" t="s">
        <v>30</v>
      </c>
      <c r="AA775" s="55" t="s">
        <v>158</v>
      </c>
      <c r="AC775" s="58" t="s">
        <v>265</v>
      </c>
      <c r="AD775" s="58" t="s">
        <v>7</v>
      </c>
      <c r="AE775" s="60" t="s">
        <v>151</v>
      </c>
      <c r="AF775" s="60"/>
      <c r="AG775" s="60"/>
      <c r="AH775" s="60"/>
      <c r="AX775" s="66" t="s">
        <v>261</v>
      </c>
      <c r="AY775" s="58">
        <v>11</v>
      </c>
    </row>
    <row r="776" spans="1:51" ht="15.75">
      <c r="A776" s="57">
        <f t="shared" si="145"/>
        <v>774</v>
      </c>
      <c r="B776" s="64" t="s">
        <v>266</v>
      </c>
      <c r="E776" s="59"/>
      <c r="G776" s="59"/>
      <c r="I776" s="76"/>
      <c r="K776" s="66"/>
      <c r="M776" s="66"/>
      <c r="O776" s="76"/>
      <c r="Q776" s="66"/>
      <c r="S776" s="58"/>
      <c r="AC776" s="58"/>
      <c r="AD776" s="58"/>
      <c r="AE776" s="60"/>
      <c r="AF776" s="60"/>
      <c r="AG776" s="60"/>
      <c r="AH776" s="60"/>
      <c r="AU776" s="76"/>
      <c r="AW776" s="66"/>
      <c r="AX776" s="66" t="s">
        <v>261</v>
      </c>
      <c r="AY776" s="58">
        <v>11</v>
      </c>
    </row>
    <row r="777" spans="1:51" ht="15.75">
      <c r="A777" s="57">
        <f t="shared" si="145"/>
        <v>775</v>
      </c>
      <c r="B777" s="64" t="s">
        <v>267</v>
      </c>
      <c r="E777" s="59">
        <f aca="true" t="shared" si="146" ref="E777:E784">Z777</f>
        <v>24</v>
      </c>
      <c r="G777" s="59">
        <f aca="true" t="shared" si="147" ref="G777:G784">E777*$G$814/$E$814</f>
        <v>24.175633060849545</v>
      </c>
      <c r="I777" s="69">
        <v>8.92</v>
      </c>
      <c r="K777" s="66">
        <f aca="true" t="shared" si="148" ref="K777:K784">ROUND(I777*$E777,0)</f>
        <v>214</v>
      </c>
      <c r="M777" s="66">
        <f aca="true" t="shared" si="149" ref="M777:M784">ROUND(I777*$G777,0)</f>
        <v>216</v>
      </c>
      <c r="O777" s="69">
        <v>9.94</v>
      </c>
      <c r="Q777" s="66">
        <f aca="true" t="shared" si="150" ref="Q777:Q784">ROUND(O777*$G777,0)</f>
        <v>240</v>
      </c>
      <c r="R777" s="69">
        <f aca="true" t="shared" si="151" ref="R777:R783">ROUND(L777*(1+$R$773),2)</f>
        <v>0</v>
      </c>
      <c r="S777" s="58"/>
      <c r="T777" s="95">
        <f aca="true" t="shared" si="152" ref="T777:T784">S777/AU777-1</f>
        <v>-1</v>
      </c>
      <c r="U777" s="55">
        <f aca="true" t="shared" si="153" ref="U777:U784">S777-I777</f>
        <v>-8.92</v>
      </c>
      <c r="W777" s="33"/>
      <c r="Z777" s="55">
        <v>24</v>
      </c>
      <c r="AA777" s="55">
        <v>1</v>
      </c>
      <c r="AC777" s="59">
        <v>17</v>
      </c>
      <c r="AD777" s="58">
        <f aca="true" t="shared" si="154" ref="AD777:AD784">AC777*E777</f>
        <v>408</v>
      </c>
      <c r="AE777" s="60">
        <f aca="true" t="shared" si="155" ref="AE777:AE810">G777*AC777</f>
        <v>410.98576203444225</v>
      </c>
      <c r="AF777" s="120"/>
      <c r="AG777" s="60"/>
      <c r="AH777" s="60"/>
      <c r="AU777" s="69">
        <v>8.31</v>
      </c>
      <c r="AW777" s="66">
        <f aca="true" t="shared" si="156" ref="AW777:AW784">ROUND(AU777*$E777,0)</f>
        <v>199</v>
      </c>
      <c r="AX777" s="66" t="s">
        <v>261</v>
      </c>
      <c r="AY777" s="58">
        <v>11</v>
      </c>
    </row>
    <row r="778" spans="1:51" ht="15.75">
      <c r="A778" s="57">
        <f t="shared" si="145"/>
        <v>776</v>
      </c>
      <c r="B778" s="64" t="s">
        <v>268</v>
      </c>
      <c r="E778" s="59">
        <f t="shared" si="146"/>
        <v>144</v>
      </c>
      <c r="G778" s="59">
        <f t="shared" si="147"/>
        <v>145.0537983650973</v>
      </c>
      <c r="I778" s="69">
        <v>3.16</v>
      </c>
      <c r="K778" s="66">
        <f t="shared" si="148"/>
        <v>455</v>
      </c>
      <c r="M778" s="66">
        <f t="shared" si="149"/>
        <v>458</v>
      </c>
      <c r="O778" s="69">
        <v>3.52</v>
      </c>
      <c r="Q778" s="66">
        <f t="shared" si="150"/>
        <v>511</v>
      </c>
      <c r="R778" s="69">
        <f t="shared" si="151"/>
        <v>0</v>
      </c>
      <c r="S778" s="58"/>
      <c r="T778" s="95">
        <f t="shared" si="152"/>
        <v>-1</v>
      </c>
      <c r="U778" s="55">
        <f t="shared" si="153"/>
        <v>-3.16</v>
      </c>
      <c r="W778" s="33"/>
      <c r="Z778" s="55">
        <v>144</v>
      </c>
      <c r="AA778" s="55">
        <v>3</v>
      </c>
      <c r="AC778" s="59">
        <v>24</v>
      </c>
      <c r="AD778" s="58">
        <f t="shared" si="154"/>
        <v>3456</v>
      </c>
      <c r="AE778" s="60">
        <f t="shared" si="155"/>
        <v>3481.291160762335</v>
      </c>
      <c r="AF778" s="120"/>
      <c r="AG778" s="60"/>
      <c r="AH778" s="60"/>
      <c r="AU778" s="69">
        <v>2.94</v>
      </c>
      <c r="AW778" s="66">
        <f t="shared" si="156"/>
        <v>423</v>
      </c>
      <c r="AX778" s="66" t="s">
        <v>261</v>
      </c>
      <c r="AY778" s="58">
        <v>11</v>
      </c>
    </row>
    <row r="779" spans="1:51" ht="15.75">
      <c r="A779" s="57">
        <f t="shared" si="145"/>
        <v>777</v>
      </c>
      <c r="B779" s="64" t="s">
        <v>269</v>
      </c>
      <c r="E779" s="59">
        <f t="shared" si="146"/>
        <v>96</v>
      </c>
      <c r="G779" s="59">
        <f t="shared" si="147"/>
        <v>96.70253224339818</v>
      </c>
      <c r="I779" s="69">
        <v>10.59</v>
      </c>
      <c r="K779" s="66">
        <f t="shared" si="148"/>
        <v>1017</v>
      </c>
      <c r="M779" s="66">
        <f t="shared" si="149"/>
        <v>1024</v>
      </c>
      <c r="O779" s="69">
        <v>11.8</v>
      </c>
      <c r="Q779" s="66">
        <f t="shared" si="150"/>
        <v>1141</v>
      </c>
      <c r="R779" s="69">
        <f t="shared" si="151"/>
        <v>0</v>
      </c>
      <c r="S779" s="58"/>
      <c r="T779" s="95">
        <f t="shared" si="152"/>
        <v>-1</v>
      </c>
      <c r="U779" s="55">
        <f t="shared" si="153"/>
        <v>-10.59</v>
      </c>
      <c r="W779" s="33"/>
      <c r="Z779" s="55">
        <v>96</v>
      </c>
      <c r="AA779" s="55">
        <v>4</v>
      </c>
      <c r="AC779" s="59">
        <v>31</v>
      </c>
      <c r="AD779" s="58">
        <f t="shared" si="154"/>
        <v>2976</v>
      </c>
      <c r="AE779" s="60">
        <f t="shared" si="155"/>
        <v>2997.7784995453435</v>
      </c>
      <c r="AF779" s="120"/>
      <c r="AG779" s="60"/>
      <c r="AH779" s="60"/>
      <c r="AU779" s="69">
        <v>9.86</v>
      </c>
      <c r="AW779" s="66">
        <f t="shared" si="156"/>
        <v>947</v>
      </c>
      <c r="AX779" s="66" t="s">
        <v>261</v>
      </c>
      <c r="AY779" s="58">
        <v>11</v>
      </c>
    </row>
    <row r="780" spans="1:51" ht="15.75">
      <c r="A780" s="57">
        <f t="shared" si="145"/>
        <v>778</v>
      </c>
      <c r="B780" s="64" t="s">
        <v>270</v>
      </c>
      <c r="E780" s="59">
        <f t="shared" si="146"/>
        <v>336.1</v>
      </c>
      <c r="G780" s="59">
        <f t="shared" si="147"/>
        <v>338.5595946563139</v>
      </c>
      <c r="I780" s="69">
        <v>12.73</v>
      </c>
      <c r="K780" s="66">
        <f t="shared" si="148"/>
        <v>4279</v>
      </c>
      <c r="M780" s="66">
        <f t="shared" si="149"/>
        <v>4310</v>
      </c>
      <c r="O780" s="69">
        <v>14.18</v>
      </c>
      <c r="Q780" s="66">
        <f t="shared" si="150"/>
        <v>4801</v>
      </c>
      <c r="R780" s="69">
        <f t="shared" si="151"/>
        <v>0</v>
      </c>
      <c r="S780" s="58"/>
      <c r="T780" s="95">
        <f t="shared" si="152"/>
        <v>-1</v>
      </c>
      <c r="U780" s="55">
        <f t="shared" si="153"/>
        <v>-12.73</v>
      </c>
      <c r="W780" s="33"/>
      <c r="Z780" s="55">
        <v>336.1</v>
      </c>
      <c r="AA780" s="55">
        <v>6</v>
      </c>
      <c r="AC780" s="59">
        <v>64</v>
      </c>
      <c r="AD780" s="58">
        <f t="shared" si="154"/>
        <v>21510.4</v>
      </c>
      <c r="AE780" s="60">
        <f t="shared" si="155"/>
        <v>21667.81405800409</v>
      </c>
      <c r="AF780" s="120"/>
      <c r="AG780" s="60"/>
      <c r="AH780" s="60"/>
      <c r="AU780" s="69">
        <v>11.85</v>
      </c>
      <c r="AW780" s="66">
        <f t="shared" si="156"/>
        <v>3983</v>
      </c>
      <c r="AX780" s="66" t="s">
        <v>261</v>
      </c>
      <c r="AY780" s="58">
        <v>11</v>
      </c>
    </row>
    <row r="781" spans="1:51" ht="15.75">
      <c r="A781" s="57">
        <f t="shared" si="145"/>
        <v>779</v>
      </c>
      <c r="B781" s="64" t="s">
        <v>271</v>
      </c>
      <c r="E781" s="59">
        <f t="shared" si="146"/>
        <v>1416</v>
      </c>
      <c r="G781" s="59">
        <f t="shared" si="147"/>
        <v>1426.3623505901232</v>
      </c>
      <c r="I781" s="69">
        <v>15.2</v>
      </c>
      <c r="K781" s="66">
        <f t="shared" si="148"/>
        <v>21523</v>
      </c>
      <c r="M781" s="66">
        <f t="shared" si="149"/>
        <v>21681</v>
      </c>
      <c r="O781" s="69">
        <v>16.93</v>
      </c>
      <c r="Q781" s="66">
        <f t="shared" si="150"/>
        <v>24148</v>
      </c>
      <c r="R781" s="69">
        <f t="shared" si="151"/>
        <v>0</v>
      </c>
      <c r="S781" s="58"/>
      <c r="T781" s="95">
        <f t="shared" si="152"/>
        <v>-1</v>
      </c>
      <c r="U781" s="55">
        <f t="shared" si="153"/>
        <v>-15.2</v>
      </c>
      <c r="W781" s="33"/>
      <c r="Z781" s="55">
        <v>1416</v>
      </c>
      <c r="AA781" s="55">
        <v>8</v>
      </c>
      <c r="AC781" s="59">
        <v>99</v>
      </c>
      <c r="AD781" s="58">
        <f t="shared" si="154"/>
        <v>140184</v>
      </c>
      <c r="AE781" s="60">
        <f t="shared" si="155"/>
        <v>141209.8727084222</v>
      </c>
      <c r="AF781" s="120"/>
      <c r="AG781" s="60"/>
      <c r="AH781" s="60"/>
      <c r="AU781" s="69">
        <v>14.15</v>
      </c>
      <c r="AW781" s="66">
        <f t="shared" si="156"/>
        <v>20036</v>
      </c>
      <c r="AX781" s="66" t="s">
        <v>261</v>
      </c>
      <c r="AY781" s="58">
        <v>11</v>
      </c>
    </row>
    <row r="782" spans="1:51" ht="15.75">
      <c r="A782" s="57">
        <f t="shared" si="145"/>
        <v>780</v>
      </c>
      <c r="B782" s="64" t="s">
        <v>272</v>
      </c>
      <c r="E782" s="59">
        <f t="shared" si="146"/>
        <v>24</v>
      </c>
      <c r="G782" s="59">
        <f t="shared" si="147"/>
        <v>24.175633060849545</v>
      </c>
      <c r="I782" s="69">
        <v>17.72</v>
      </c>
      <c r="K782" s="66">
        <f t="shared" si="148"/>
        <v>425</v>
      </c>
      <c r="M782" s="66">
        <f t="shared" si="149"/>
        <v>428</v>
      </c>
      <c r="O782" s="69">
        <v>19.74</v>
      </c>
      <c r="Q782" s="66">
        <f t="shared" si="150"/>
        <v>477</v>
      </c>
      <c r="R782" s="69">
        <f t="shared" si="151"/>
        <v>0</v>
      </c>
      <c r="S782" s="58"/>
      <c r="T782" s="95">
        <f t="shared" si="152"/>
        <v>-1</v>
      </c>
      <c r="U782" s="55">
        <f t="shared" si="153"/>
        <v>-17.72</v>
      </c>
      <c r="W782" s="33"/>
      <c r="Z782" s="55">
        <v>24</v>
      </c>
      <c r="AA782" s="55">
        <v>10</v>
      </c>
      <c r="AC782" s="59">
        <v>136</v>
      </c>
      <c r="AD782" s="58">
        <f t="shared" si="154"/>
        <v>3264</v>
      </c>
      <c r="AE782" s="60">
        <f t="shared" si="155"/>
        <v>3287.886096275538</v>
      </c>
      <c r="AF782" s="120"/>
      <c r="AG782" s="60"/>
      <c r="AH782" s="60"/>
      <c r="AU782" s="69">
        <v>16.5</v>
      </c>
      <c r="AW782" s="66">
        <f t="shared" si="156"/>
        <v>396</v>
      </c>
      <c r="AX782" s="66" t="s">
        <v>261</v>
      </c>
      <c r="AY782" s="58">
        <v>11</v>
      </c>
    </row>
    <row r="783" spans="1:51" ht="15.75">
      <c r="A783" s="57">
        <f t="shared" si="145"/>
        <v>781</v>
      </c>
      <c r="B783" s="64" t="s">
        <v>273</v>
      </c>
      <c r="E783" s="59">
        <f t="shared" si="146"/>
        <v>24</v>
      </c>
      <c r="G783" s="59">
        <f t="shared" si="147"/>
        <v>24.175633060849545</v>
      </c>
      <c r="I783" s="69">
        <v>23.41</v>
      </c>
      <c r="K783" s="66">
        <f t="shared" si="148"/>
        <v>562</v>
      </c>
      <c r="M783" s="66">
        <f t="shared" si="149"/>
        <v>566</v>
      </c>
      <c r="O783" s="69">
        <v>26.08</v>
      </c>
      <c r="Q783" s="66">
        <f t="shared" si="150"/>
        <v>631</v>
      </c>
      <c r="R783" s="69">
        <f t="shared" si="151"/>
        <v>0</v>
      </c>
      <c r="S783" s="58"/>
      <c r="T783" s="95">
        <f t="shared" si="152"/>
        <v>-1</v>
      </c>
      <c r="U783" s="55">
        <f t="shared" si="153"/>
        <v>-23.41</v>
      </c>
      <c r="W783" s="33"/>
      <c r="Z783" s="55">
        <v>24</v>
      </c>
      <c r="AA783" s="55">
        <v>12</v>
      </c>
      <c r="AC783" s="59">
        <v>209</v>
      </c>
      <c r="AD783" s="58">
        <f t="shared" si="154"/>
        <v>5016</v>
      </c>
      <c r="AE783" s="60">
        <f t="shared" si="155"/>
        <v>5052.707309717555</v>
      </c>
      <c r="AF783" s="120"/>
      <c r="AG783" s="60"/>
      <c r="AH783" s="60"/>
      <c r="AU783" s="69">
        <v>21.8</v>
      </c>
      <c r="AW783" s="66">
        <f t="shared" si="156"/>
        <v>523</v>
      </c>
      <c r="AX783" s="66" t="s">
        <v>261</v>
      </c>
      <c r="AY783" s="58">
        <v>11</v>
      </c>
    </row>
    <row r="784" spans="1:51" ht="15.75">
      <c r="A784" s="57">
        <f t="shared" si="145"/>
        <v>782</v>
      </c>
      <c r="B784" s="64" t="s">
        <v>274</v>
      </c>
      <c r="E784" s="59">
        <f t="shared" si="146"/>
        <v>0</v>
      </c>
      <c r="G784" s="59">
        <f t="shared" si="147"/>
        <v>0</v>
      </c>
      <c r="I784" s="24">
        <f>ROUND(I783*0.9,2)</f>
        <v>21.07</v>
      </c>
      <c r="K784" s="66">
        <f t="shared" si="148"/>
        <v>0</v>
      </c>
      <c r="M784" s="66">
        <f t="shared" si="149"/>
        <v>0</v>
      </c>
      <c r="O784" s="24">
        <v>23.47</v>
      </c>
      <c r="Q784" s="66">
        <f t="shared" si="150"/>
        <v>0</v>
      </c>
      <c r="R784" s="24">
        <f>ROUND(R783*0.9,2)</f>
        <v>0</v>
      </c>
      <c r="S784" s="58"/>
      <c r="T784" s="95">
        <f t="shared" si="152"/>
        <v>-1</v>
      </c>
      <c r="U784" s="55">
        <f t="shared" si="153"/>
        <v>-21.07</v>
      </c>
      <c r="W784" s="33"/>
      <c r="Z784" s="55">
        <v>0</v>
      </c>
      <c r="AA784" s="55">
        <v>13</v>
      </c>
      <c r="AC784" s="59">
        <v>136</v>
      </c>
      <c r="AD784" s="58">
        <f t="shared" si="154"/>
        <v>0</v>
      </c>
      <c r="AE784" s="60">
        <f t="shared" si="155"/>
        <v>0</v>
      </c>
      <c r="AF784" s="120"/>
      <c r="AG784" s="60"/>
      <c r="AH784" s="60"/>
      <c r="AU784" s="24">
        <f>ROUND(AU783*0.9,2)</f>
        <v>19.62</v>
      </c>
      <c r="AW784" s="66">
        <f t="shared" si="156"/>
        <v>0</v>
      </c>
      <c r="AX784" s="66" t="s">
        <v>261</v>
      </c>
      <c r="AY784" s="58">
        <v>11</v>
      </c>
    </row>
    <row r="785" spans="1:51" ht="15.75">
      <c r="A785" s="57">
        <f t="shared" si="145"/>
        <v>783</v>
      </c>
      <c r="B785" s="64" t="s">
        <v>275</v>
      </c>
      <c r="E785" s="78"/>
      <c r="G785" s="78"/>
      <c r="I785" s="127"/>
      <c r="J785" s="125"/>
      <c r="K785" s="81"/>
      <c r="M785" s="81"/>
      <c r="O785" s="127"/>
      <c r="P785" s="125"/>
      <c r="Q785" s="81"/>
      <c r="R785" s="127"/>
      <c r="S785" s="58"/>
      <c r="T785" s="95"/>
      <c r="W785" s="33"/>
      <c r="AC785" s="58"/>
      <c r="AD785" s="58"/>
      <c r="AE785" s="60">
        <f t="shared" si="155"/>
        <v>0</v>
      </c>
      <c r="AF785" s="60"/>
      <c r="AG785" s="60"/>
      <c r="AH785" s="60"/>
      <c r="AU785" s="127"/>
      <c r="AV785" s="125"/>
      <c r="AW785" s="81"/>
      <c r="AX785" s="66" t="s">
        <v>261</v>
      </c>
      <c r="AY785" s="58">
        <v>11</v>
      </c>
    </row>
    <row r="786" spans="1:51" ht="15.75">
      <c r="A786" s="57">
        <f t="shared" si="145"/>
        <v>784</v>
      </c>
      <c r="B786" s="64" t="s">
        <v>271</v>
      </c>
      <c r="E786" s="59">
        <f>Z786</f>
        <v>14855.3</v>
      </c>
      <c r="G786" s="59">
        <f>E786*$G$814/$E$814</f>
        <v>14964.011742034927</v>
      </c>
      <c r="I786" s="69">
        <v>8.25</v>
      </c>
      <c r="K786" s="66">
        <f>ROUND(I786*$E786,0)</f>
        <v>122556</v>
      </c>
      <c r="M786" s="66">
        <f>ROUND(I786*$G786,0)</f>
        <v>123453</v>
      </c>
      <c r="O786" s="69">
        <v>9.19</v>
      </c>
      <c r="Q786" s="66">
        <f>ROUND(O786*$G786,0)</f>
        <v>137519</v>
      </c>
      <c r="R786" s="69">
        <f>ROUND(L786*(1+$R$773),2)</f>
        <v>0</v>
      </c>
      <c r="S786" s="58"/>
      <c r="T786" s="95">
        <f>S786/AU786-1</f>
        <v>-1</v>
      </c>
      <c r="U786" s="55">
        <f>S786-I786</f>
        <v>-8.25</v>
      </c>
      <c r="W786" s="33"/>
      <c r="Z786" s="55">
        <v>14855.3</v>
      </c>
      <c r="AA786" s="55">
        <v>14</v>
      </c>
      <c r="AC786" s="59">
        <v>39</v>
      </c>
      <c r="AD786" s="58">
        <f>AC786*E786</f>
        <v>579356.7</v>
      </c>
      <c r="AE786" s="60">
        <f t="shared" si="155"/>
        <v>583596.4579393622</v>
      </c>
      <c r="AF786" s="120"/>
      <c r="AG786" s="60"/>
      <c r="AH786" s="60"/>
      <c r="AU786" s="69">
        <v>7.68</v>
      </c>
      <c r="AW786" s="66">
        <f>ROUND(AU786*$E786,0)</f>
        <v>114089</v>
      </c>
      <c r="AX786" s="66" t="s">
        <v>261</v>
      </c>
      <c r="AY786" s="58">
        <v>11</v>
      </c>
    </row>
    <row r="787" spans="1:51" ht="15.75">
      <c r="A787" s="57">
        <f t="shared" si="145"/>
        <v>785</v>
      </c>
      <c r="B787" s="64" t="s">
        <v>162</v>
      </c>
      <c r="E787" s="59">
        <f>Z787</f>
        <v>22938.57</v>
      </c>
      <c r="G787" s="59">
        <f>E787*$G$814/$E$814</f>
        <v>23106.435469192147</v>
      </c>
      <c r="I787" s="69">
        <v>10.25</v>
      </c>
      <c r="K787" s="66">
        <f>ROUND(I787*$E787,0)</f>
        <v>235120</v>
      </c>
      <c r="M787" s="66">
        <f>ROUND(I787*$G787,0)</f>
        <v>236841</v>
      </c>
      <c r="O787" s="69">
        <v>11.42</v>
      </c>
      <c r="Q787" s="66">
        <f>ROUND(O787*$G787,0)</f>
        <v>263875</v>
      </c>
      <c r="R787" s="69">
        <f>ROUND(L787*(1+$R$773),2)</f>
        <v>0</v>
      </c>
      <c r="S787" s="58"/>
      <c r="T787" s="95">
        <f>S787/AU787-1</f>
        <v>-1</v>
      </c>
      <c r="U787" s="55">
        <f>S787-I787</f>
        <v>-10.25</v>
      </c>
      <c r="W787" s="33"/>
      <c r="Z787" s="55">
        <v>22938.57</v>
      </c>
      <c r="AA787" s="55">
        <v>16</v>
      </c>
      <c r="AC787" s="59">
        <v>69</v>
      </c>
      <c r="AD787" s="58">
        <f>AC787*E787</f>
        <v>1582761.33</v>
      </c>
      <c r="AE787" s="60">
        <f t="shared" si="155"/>
        <v>1594344.047374258</v>
      </c>
      <c r="AF787" s="120"/>
      <c r="AG787" s="60"/>
      <c r="AH787" s="60"/>
      <c r="AU787" s="69">
        <v>9.54</v>
      </c>
      <c r="AW787" s="66">
        <f>ROUND(AU787*$E787,0)</f>
        <v>218834</v>
      </c>
      <c r="AX787" s="66" t="s">
        <v>261</v>
      </c>
      <c r="AY787" s="58">
        <v>11</v>
      </c>
    </row>
    <row r="788" spans="1:51" ht="15.75">
      <c r="A788" s="57">
        <f t="shared" si="145"/>
        <v>786</v>
      </c>
      <c r="B788" s="64" t="s">
        <v>273</v>
      </c>
      <c r="E788" s="59">
        <f>Z788</f>
        <v>588</v>
      </c>
      <c r="G788" s="59">
        <f>E788*$G$814/$E$814</f>
        <v>592.3030099908138</v>
      </c>
      <c r="I788" s="69">
        <v>14.43</v>
      </c>
      <c r="K788" s="66">
        <f>ROUND(I788*$E788,0)</f>
        <v>8485</v>
      </c>
      <c r="M788" s="66">
        <f>ROUND(I788*$G788,0)</f>
        <v>8547</v>
      </c>
      <c r="O788" s="69">
        <v>16.07</v>
      </c>
      <c r="Q788" s="66">
        <f>ROUND(O788*$G788,0)</f>
        <v>9518</v>
      </c>
      <c r="R788" s="69">
        <f>ROUND(L788*(1+$R$773),2)</f>
        <v>0</v>
      </c>
      <c r="S788" s="58"/>
      <c r="T788" s="95">
        <f>S788/AU788-1</f>
        <v>-1</v>
      </c>
      <c r="U788" s="55">
        <f>S788-I788</f>
        <v>-14.43</v>
      </c>
      <c r="W788" s="33"/>
      <c r="Z788" s="55">
        <v>588</v>
      </c>
      <c r="AA788" s="55">
        <v>18</v>
      </c>
      <c r="AC788" s="59">
        <v>93</v>
      </c>
      <c r="AD788" s="58">
        <f>AC788*E788</f>
        <v>54684</v>
      </c>
      <c r="AE788" s="60">
        <f t="shared" si="155"/>
        <v>55084.179929145685</v>
      </c>
      <c r="AF788" s="120"/>
      <c r="AG788" s="60"/>
      <c r="AH788" s="60"/>
      <c r="AU788" s="69">
        <v>13.44</v>
      </c>
      <c r="AW788" s="66">
        <f>ROUND(AU788*$E788,0)</f>
        <v>7903</v>
      </c>
      <c r="AX788" s="66" t="s">
        <v>261</v>
      </c>
      <c r="AY788" s="58">
        <v>11</v>
      </c>
    </row>
    <row r="789" spans="1:51" ht="15.75">
      <c r="A789" s="57">
        <f t="shared" si="145"/>
        <v>787</v>
      </c>
      <c r="B789" s="64" t="s">
        <v>164</v>
      </c>
      <c r="E789" s="59">
        <f>Z789</f>
        <v>3910.87</v>
      </c>
      <c r="G789" s="59">
        <f>E789*$G$814/$E$814</f>
        <v>3939.489919528528</v>
      </c>
      <c r="I789" s="69">
        <v>18.18</v>
      </c>
      <c r="K789" s="66">
        <f>ROUND(I789*$E789,0)</f>
        <v>71100</v>
      </c>
      <c r="M789" s="66">
        <f>ROUND(I789*$G789,0)</f>
        <v>71620</v>
      </c>
      <c r="O789" s="69">
        <v>20.25</v>
      </c>
      <c r="Q789" s="66">
        <f>ROUND(O789*$G789,0)</f>
        <v>79775</v>
      </c>
      <c r="R789" s="69">
        <f>ROUND(L789*(1+$R$773),2)</f>
        <v>0</v>
      </c>
      <c r="S789" s="58"/>
      <c r="T789" s="95">
        <f>S789/AU789-1</f>
        <v>-1</v>
      </c>
      <c r="U789" s="55">
        <f>S789-I789</f>
        <v>-18.18</v>
      </c>
      <c r="W789" s="33"/>
      <c r="Z789" s="55">
        <v>3910.87</v>
      </c>
      <c r="AA789" s="55">
        <v>20</v>
      </c>
      <c r="AC789" s="59">
        <v>145</v>
      </c>
      <c r="AD789" s="58">
        <f>AC789*E789</f>
        <v>567076.15</v>
      </c>
      <c r="AE789" s="60">
        <f t="shared" si="155"/>
        <v>571226.0383316366</v>
      </c>
      <c r="AF789" s="120"/>
      <c r="AG789" s="60"/>
      <c r="AH789" s="60"/>
      <c r="AU789" s="69">
        <v>16.93</v>
      </c>
      <c r="AW789" s="66">
        <f>ROUND(AU789*$E789,0)</f>
        <v>66211</v>
      </c>
      <c r="AX789" s="66" t="s">
        <v>261</v>
      </c>
      <c r="AY789" s="58">
        <v>11</v>
      </c>
    </row>
    <row r="790" spans="1:51" ht="15.75">
      <c r="A790" s="57">
        <f t="shared" si="145"/>
        <v>788</v>
      </c>
      <c r="B790" s="64" t="s">
        <v>276</v>
      </c>
      <c r="E790" s="59">
        <f>Z790</f>
        <v>0</v>
      </c>
      <c r="G790" s="59">
        <f>E790*$G$814/$E$814</f>
        <v>0</v>
      </c>
      <c r="I790" s="24">
        <f>ROUND(I789*0.9,2)</f>
        <v>16.36</v>
      </c>
      <c r="K790" s="66">
        <f>ROUND(I790*$E790,0)</f>
        <v>0</v>
      </c>
      <c r="M790" s="66">
        <f>ROUND(I790*$G790,0)</f>
        <v>0</v>
      </c>
      <c r="O790" s="24">
        <v>18.23</v>
      </c>
      <c r="Q790" s="66"/>
      <c r="R790" s="24">
        <f>ROUND(R789*0.9,2)</f>
        <v>0</v>
      </c>
      <c r="S790" s="58"/>
      <c r="T790" s="95">
        <f>S790/AU790-1</f>
        <v>-1</v>
      </c>
      <c r="U790" s="55">
        <f>S790-I790</f>
        <v>-16.36</v>
      </c>
      <c r="W790" s="33"/>
      <c r="Z790" s="55">
        <v>0</v>
      </c>
      <c r="AA790" s="55">
        <v>21</v>
      </c>
      <c r="AC790" s="59">
        <v>94</v>
      </c>
      <c r="AD790" s="58">
        <f>AC790*E790</f>
        <v>0</v>
      </c>
      <c r="AE790" s="60">
        <f t="shared" si="155"/>
        <v>0</v>
      </c>
      <c r="AF790" s="120"/>
      <c r="AG790" s="60"/>
      <c r="AH790" s="60"/>
      <c r="AU790" s="24">
        <f>ROUND(AU789*0.9,2)</f>
        <v>15.24</v>
      </c>
      <c r="AW790" s="66">
        <f>ROUND(AU790*$E790,0)</f>
        <v>0</v>
      </c>
      <c r="AX790" s="66" t="s">
        <v>261</v>
      </c>
      <c r="AY790" s="58">
        <v>11</v>
      </c>
    </row>
    <row r="791" spans="1:51" ht="15.75">
      <c r="A791" s="57">
        <f t="shared" si="145"/>
        <v>789</v>
      </c>
      <c r="B791" s="64" t="s">
        <v>277</v>
      </c>
      <c r="E791" s="78"/>
      <c r="G791" s="78"/>
      <c r="I791" s="127"/>
      <c r="J791" s="125"/>
      <c r="K791" s="81"/>
      <c r="M791" s="81"/>
      <c r="O791" s="127"/>
      <c r="P791" s="125"/>
      <c r="Q791" s="81"/>
      <c r="R791" s="127"/>
      <c r="S791" s="58"/>
      <c r="T791" s="95"/>
      <c r="W791" s="33"/>
      <c r="AC791" s="58"/>
      <c r="AD791" s="58"/>
      <c r="AE791" s="60">
        <f t="shared" si="155"/>
        <v>0</v>
      </c>
      <c r="AF791" s="60"/>
      <c r="AG791" s="60"/>
      <c r="AH791" s="60"/>
      <c r="AU791" s="127"/>
      <c r="AV791" s="125"/>
      <c r="AW791" s="81"/>
      <c r="AX791" s="66" t="s">
        <v>261</v>
      </c>
      <c r="AY791" s="58">
        <v>11</v>
      </c>
    </row>
    <row r="792" spans="1:51" ht="15.75">
      <c r="A792" s="57">
        <f t="shared" si="145"/>
        <v>790</v>
      </c>
      <c r="B792" s="64" t="s">
        <v>278</v>
      </c>
      <c r="E792" s="59">
        <f aca="true" t="shared" si="157" ref="E792:E804">Z792</f>
        <v>92972.94</v>
      </c>
      <c r="G792" s="59">
        <f aca="true" t="shared" si="158" ref="G792:G804">E792*$G$814/$E$814</f>
        <v>93653.32008451589</v>
      </c>
      <c r="I792" s="69">
        <v>8.79</v>
      </c>
      <c r="K792" s="66">
        <f aca="true" t="shared" si="159" ref="K792:K804">ROUND(I792*$E792,0)</f>
        <v>817232</v>
      </c>
      <c r="M792" s="66">
        <f aca="true" t="shared" si="160" ref="M792:M804">ROUND(I792*$G792,0)</f>
        <v>823213</v>
      </c>
      <c r="O792" s="69">
        <v>9.79</v>
      </c>
      <c r="Q792" s="66">
        <f aca="true" t="shared" si="161" ref="Q792:Q804">ROUND(O792*$G792,0)</f>
        <v>916866</v>
      </c>
      <c r="R792" s="69">
        <f>ROUND(L792*(1+$R$773),2)</f>
        <v>0</v>
      </c>
      <c r="S792" s="58"/>
      <c r="T792" s="95">
        <f aca="true" t="shared" si="162" ref="T792:T804">S792/AU792-1</f>
        <v>-1</v>
      </c>
      <c r="U792" s="55">
        <f aca="true" t="shared" si="163" ref="U792:U804">S792-I792</f>
        <v>-8.79</v>
      </c>
      <c r="W792" s="33"/>
      <c r="Z792" s="55">
        <v>92972.94</v>
      </c>
      <c r="AA792" s="55">
        <v>22</v>
      </c>
      <c r="AC792" s="59">
        <v>28</v>
      </c>
      <c r="AD792" s="58">
        <f aca="true" t="shared" si="164" ref="AD792:AD804">AC792*E792</f>
        <v>2603242.3200000003</v>
      </c>
      <c r="AE792" s="60">
        <f t="shared" si="155"/>
        <v>2622292.962366445</v>
      </c>
      <c r="AF792" s="120"/>
      <c r="AG792" s="60"/>
      <c r="AH792" s="60"/>
      <c r="AU792" s="69">
        <v>8.18</v>
      </c>
      <c r="AW792" s="66">
        <f aca="true" t="shared" si="165" ref="AW792:AW804">ROUND(AU792*$E792,0)</f>
        <v>760519</v>
      </c>
      <c r="AX792" s="66" t="s">
        <v>261</v>
      </c>
      <c r="AY792" s="58">
        <v>11</v>
      </c>
    </row>
    <row r="793" spans="1:51" ht="15.75">
      <c r="A793" s="57">
        <f t="shared" si="145"/>
        <v>791</v>
      </c>
      <c r="B793" s="64" t="s">
        <v>279</v>
      </c>
      <c r="E793" s="59">
        <f t="shared" si="157"/>
        <v>156</v>
      </c>
      <c r="G793" s="59">
        <f t="shared" si="158"/>
        <v>157.14161489552205</v>
      </c>
      <c r="I793" s="24">
        <f>ROUND(I792*0.9,2)</f>
        <v>7.91</v>
      </c>
      <c r="K793" s="66">
        <f t="shared" si="159"/>
        <v>1234</v>
      </c>
      <c r="M793" s="66">
        <f t="shared" si="160"/>
        <v>1243</v>
      </c>
      <c r="O793" s="24">
        <v>8.81</v>
      </c>
      <c r="Q793" s="66">
        <f t="shared" si="161"/>
        <v>1384</v>
      </c>
      <c r="R793" s="24">
        <f>ROUND(R792*0.9,2)</f>
        <v>0</v>
      </c>
      <c r="S793" s="58"/>
      <c r="T793" s="95">
        <f t="shared" si="162"/>
        <v>-1</v>
      </c>
      <c r="U793" s="55">
        <f t="shared" si="163"/>
        <v>-7.91</v>
      </c>
      <c r="W793" s="33"/>
      <c r="Z793" s="55">
        <v>156</v>
      </c>
      <c r="AA793" s="55">
        <v>23</v>
      </c>
      <c r="AC793" s="128">
        <v>28</v>
      </c>
      <c r="AD793" s="58">
        <f t="shared" si="164"/>
        <v>4368</v>
      </c>
      <c r="AE793" s="60">
        <f t="shared" si="155"/>
        <v>4399.965217074618</v>
      </c>
      <c r="AF793" s="120"/>
      <c r="AG793" s="60"/>
      <c r="AH793" s="60"/>
      <c r="AU793" s="24">
        <f>ROUND(AU792*0.9,2)</f>
        <v>7.36</v>
      </c>
      <c r="AW793" s="66">
        <f t="shared" si="165"/>
        <v>1148</v>
      </c>
      <c r="AX793" s="66" t="s">
        <v>261</v>
      </c>
      <c r="AY793" s="58">
        <v>11</v>
      </c>
    </row>
    <row r="794" spans="1:51" ht="15.75">
      <c r="A794" s="57">
        <f t="shared" si="145"/>
        <v>792</v>
      </c>
      <c r="B794" s="64" t="s">
        <v>280</v>
      </c>
      <c r="E794" s="59">
        <f t="shared" si="157"/>
        <v>197722.03</v>
      </c>
      <c r="G794" s="59">
        <f t="shared" si="158"/>
        <v>199168.9685552619</v>
      </c>
      <c r="I794" s="69">
        <v>9.52</v>
      </c>
      <c r="K794" s="66">
        <f t="shared" si="159"/>
        <v>1882314</v>
      </c>
      <c r="M794" s="66">
        <f t="shared" si="160"/>
        <v>1896089</v>
      </c>
      <c r="O794" s="69">
        <v>10.6</v>
      </c>
      <c r="Q794" s="66">
        <f t="shared" si="161"/>
        <v>2111191</v>
      </c>
      <c r="R794" s="69">
        <f>ROUND(L794*(1+$R$773),2)</f>
        <v>0</v>
      </c>
      <c r="S794" s="58"/>
      <c r="T794" s="95">
        <f t="shared" si="162"/>
        <v>-1</v>
      </c>
      <c r="U794" s="55">
        <f t="shared" si="163"/>
        <v>-9.52</v>
      </c>
      <c r="W794" s="33"/>
      <c r="Z794" s="55">
        <v>197722.03</v>
      </c>
      <c r="AA794" s="55">
        <v>24</v>
      </c>
      <c r="AC794" s="59">
        <v>39</v>
      </c>
      <c r="AD794" s="58">
        <f t="shared" si="164"/>
        <v>7711159.17</v>
      </c>
      <c r="AE794" s="60">
        <f t="shared" si="155"/>
        <v>7767589.773655214</v>
      </c>
      <c r="AF794" s="120"/>
      <c r="AG794" s="60"/>
      <c r="AH794" s="60"/>
      <c r="AU794" s="69">
        <v>8.86</v>
      </c>
      <c r="AW794" s="66">
        <f t="shared" si="165"/>
        <v>1751817</v>
      </c>
      <c r="AX794" s="66" t="s">
        <v>261</v>
      </c>
      <c r="AY794" s="58">
        <v>11</v>
      </c>
    </row>
    <row r="795" spans="1:51" ht="15.75">
      <c r="A795" s="57">
        <f t="shared" si="145"/>
        <v>793</v>
      </c>
      <c r="B795" s="64" t="s">
        <v>281</v>
      </c>
      <c r="E795" s="59">
        <f t="shared" si="157"/>
        <v>816.9</v>
      </c>
      <c r="G795" s="59">
        <f t="shared" si="158"/>
        <v>822.8781103086664</v>
      </c>
      <c r="I795" s="24">
        <f>ROUND(I794*0.9,2)</f>
        <v>8.57</v>
      </c>
      <c r="K795" s="66">
        <f t="shared" si="159"/>
        <v>7001</v>
      </c>
      <c r="M795" s="66">
        <f t="shared" si="160"/>
        <v>7052</v>
      </c>
      <c r="O795" s="24">
        <v>9.54</v>
      </c>
      <c r="Q795" s="66">
        <f t="shared" si="161"/>
        <v>7850</v>
      </c>
      <c r="R795" s="24">
        <f>ROUND(R794*0.9,2)</f>
        <v>0</v>
      </c>
      <c r="S795" s="58"/>
      <c r="T795" s="95">
        <f t="shared" si="162"/>
        <v>-1</v>
      </c>
      <c r="U795" s="55">
        <f t="shared" si="163"/>
        <v>-8.57</v>
      </c>
      <c r="W795" s="33"/>
      <c r="Z795" s="55">
        <v>816.9</v>
      </c>
      <c r="AA795" s="55">
        <v>25</v>
      </c>
      <c r="AC795" s="59">
        <v>39</v>
      </c>
      <c r="AD795" s="58">
        <f t="shared" si="164"/>
        <v>31859.1</v>
      </c>
      <c r="AE795" s="60">
        <f t="shared" si="155"/>
        <v>32092.246302037987</v>
      </c>
      <c r="AF795" s="120"/>
      <c r="AG795" s="60"/>
      <c r="AH795" s="60"/>
      <c r="AU795" s="24">
        <f>ROUND(AU794*0.9,2)</f>
        <v>7.97</v>
      </c>
      <c r="AW795" s="66">
        <f t="shared" si="165"/>
        <v>6511</v>
      </c>
      <c r="AX795" s="66" t="s">
        <v>261</v>
      </c>
      <c r="AY795" s="58">
        <v>11</v>
      </c>
    </row>
    <row r="796" spans="1:51" ht="15.75">
      <c r="A796" s="57">
        <f t="shared" si="145"/>
        <v>794</v>
      </c>
      <c r="B796" s="64" t="s">
        <v>282</v>
      </c>
      <c r="E796" s="59">
        <f t="shared" si="157"/>
        <v>41745.63</v>
      </c>
      <c r="G796" s="59">
        <f t="shared" si="158"/>
        <v>42051.126365583026</v>
      </c>
      <c r="I796" s="69">
        <v>12.6</v>
      </c>
      <c r="K796" s="66">
        <f t="shared" si="159"/>
        <v>525995</v>
      </c>
      <c r="M796" s="66">
        <f t="shared" si="160"/>
        <v>529844</v>
      </c>
      <c r="O796" s="69">
        <v>14.04</v>
      </c>
      <c r="Q796" s="66">
        <f t="shared" si="161"/>
        <v>590398</v>
      </c>
      <c r="R796" s="69">
        <f>ROUND(L796*(1+$R$773),2)</f>
        <v>0</v>
      </c>
      <c r="S796" s="58"/>
      <c r="T796" s="95">
        <f t="shared" si="162"/>
        <v>-1</v>
      </c>
      <c r="U796" s="55">
        <f t="shared" si="163"/>
        <v>-12.6</v>
      </c>
      <c r="W796" s="33"/>
      <c r="Z796" s="55">
        <v>41745.63</v>
      </c>
      <c r="AA796" s="55">
        <v>26</v>
      </c>
      <c r="AC796" s="59">
        <v>59</v>
      </c>
      <c r="AD796" s="58">
        <f t="shared" si="164"/>
        <v>2462992.17</v>
      </c>
      <c r="AE796" s="60">
        <f t="shared" si="155"/>
        <v>2481016.4555693986</v>
      </c>
      <c r="AF796" s="120"/>
      <c r="AG796" s="60"/>
      <c r="AH796" s="60"/>
      <c r="AU796" s="69">
        <v>11.73</v>
      </c>
      <c r="AW796" s="66">
        <f t="shared" si="165"/>
        <v>489676</v>
      </c>
      <c r="AX796" s="66" t="s">
        <v>261</v>
      </c>
      <c r="AY796" s="58">
        <v>11</v>
      </c>
    </row>
    <row r="797" spans="1:51" ht="15.75">
      <c r="A797" s="57">
        <f t="shared" si="145"/>
        <v>795</v>
      </c>
      <c r="B797" s="64" t="s">
        <v>283</v>
      </c>
      <c r="E797" s="59">
        <f t="shared" si="157"/>
        <v>108</v>
      </c>
      <c r="G797" s="59">
        <f t="shared" si="158"/>
        <v>108.79034877382296</v>
      </c>
      <c r="I797" s="24">
        <f>ROUND(I796*0.9,2)</f>
        <v>11.34</v>
      </c>
      <c r="K797" s="66">
        <f t="shared" si="159"/>
        <v>1225</v>
      </c>
      <c r="M797" s="66">
        <f t="shared" si="160"/>
        <v>1234</v>
      </c>
      <c r="O797" s="24">
        <v>12.64</v>
      </c>
      <c r="Q797" s="66">
        <f t="shared" si="161"/>
        <v>1375</v>
      </c>
      <c r="R797" s="24">
        <f>ROUND(R796*0.9,2)</f>
        <v>0</v>
      </c>
      <c r="S797" s="58"/>
      <c r="T797" s="95">
        <f t="shared" si="162"/>
        <v>-1</v>
      </c>
      <c r="U797" s="55">
        <f t="shared" si="163"/>
        <v>-11.34</v>
      </c>
      <c r="W797" s="33"/>
      <c r="Z797" s="55">
        <v>108</v>
      </c>
      <c r="AA797" s="55">
        <v>27</v>
      </c>
      <c r="AC797" s="59">
        <v>38</v>
      </c>
      <c r="AD797" s="58">
        <f t="shared" si="164"/>
        <v>4104</v>
      </c>
      <c r="AE797" s="60">
        <f t="shared" si="155"/>
        <v>4134.033253405272</v>
      </c>
      <c r="AF797" s="120"/>
      <c r="AG797" s="60"/>
      <c r="AH797" s="60"/>
      <c r="AU797" s="24">
        <f>ROUND(AU796*0.9,2)</f>
        <v>10.56</v>
      </c>
      <c r="AW797" s="66">
        <f t="shared" si="165"/>
        <v>1140</v>
      </c>
      <c r="AX797" s="66" t="s">
        <v>261</v>
      </c>
      <c r="AY797" s="58">
        <v>11</v>
      </c>
    </row>
    <row r="798" spans="1:51" ht="15.75">
      <c r="A798" s="57">
        <f t="shared" si="145"/>
        <v>796</v>
      </c>
      <c r="B798" s="64" t="s">
        <v>284</v>
      </c>
      <c r="E798" s="59">
        <f t="shared" si="157"/>
        <v>38316.87</v>
      </c>
      <c r="G798" s="59">
        <f t="shared" si="158"/>
        <v>38597.27454834476</v>
      </c>
      <c r="I798" s="69">
        <v>15.73</v>
      </c>
      <c r="K798" s="66">
        <f t="shared" si="159"/>
        <v>602724</v>
      </c>
      <c r="M798" s="66">
        <f t="shared" si="160"/>
        <v>607135</v>
      </c>
      <c r="O798" s="69">
        <v>17.52</v>
      </c>
      <c r="Q798" s="66">
        <f t="shared" si="161"/>
        <v>676224</v>
      </c>
      <c r="R798" s="69">
        <f>ROUND(L798*(1+$R$773),2)</f>
        <v>0</v>
      </c>
      <c r="S798" s="58"/>
      <c r="T798" s="95">
        <f t="shared" si="162"/>
        <v>-1</v>
      </c>
      <c r="U798" s="55">
        <f t="shared" si="163"/>
        <v>-15.73</v>
      </c>
      <c r="W798" s="33"/>
      <c r="Z798" s="55">
        <v>38316.87</v>
      </c>
      <c r="AA798" s="55">
        <v>28</v>
      </c>
      <c r="AC798" s="59">
        <v>96</v>
      </c>
      <c r="AD798" s="58">
        <f t="shared" si="164"/>
        <v>3678419.5200000005</v>
      </c>
      <c r="AE798" s="60">
        <f t="shared" si="155"/>
        <v>3705338.356641097</v>
      </c>
      <c r="AF798" s="120"/>
      <c r="AG798" s="60"/>
      <c r="AH798" s="60"/>
      <c r="AU798" s="69">
        <v>14.65</v>
      </c>
      <c r="AW798" s="66">
        <f t="shared" si="165"/>
        <v>561342</v>
      </c>
      <c r="AX798" s="66" t="s">
        <v>261</v>
      </c>
      <c r="AY798" s="58">
        <v>11</v>
      </c>
    </row>
    <row r="799" spans="1:51" ht="15.75">
      <c r="A799" s="57">
        <f t="shared" si="145"/>
        <v>797</v>
      </c>
      <c r="B799" s="64" t="s">
        <v>285</v>
      </c>
      <c r="E799" s="59">
        <f t="shared" si="157"/>
        <v>168</v>
      </c>
      <c r="G799" s="59">
        <f t="shared" si="158"/>
        <v>169.2294314259468</v>
      </c>
      <c r="I799" s="24">
        <f>ROUND(I798*0.9,2)</f>
        <v>14.16</v>
      </c>
      <c r="K799" s="66">
        <f t="shared" si="159"/>
        <v>2379</v>
      </c>
      <c r="M799" s="66">
        <f t="shared" si="160"/>
        <v>2396</v>
      </c>
      <c r="O799" s="24">
        <v>15.77</v>
      </c>
      <c r="Q799" s="66">
        <f t="shared" si="161"/>
        <v>2669</v>
      </c>
      <c r="R799" s="24">
        <f>ROUND(R798*0.9,2)</f>
        <v>0</v>
      </c>
      <c r="S799" s="58"/>
      <c r="T799" s="95">
        <f t="shared" si="162"/>
        <v>-1</v>
      </c>
      <c r="U799" s="55">
        <f t="shared" si="163"/>
        <v>-14.16</v>
      </c>
      <c r="W799" s="33"/>
      <c r="Z799" s="55">
        <v>168</v>
      </c>
      <c r="AA799" s="55">
        <v>29</v>
      </c>
      <c r="AC799" s="59">
        <v>62</v>
      </c>
      <c r="AD799" s="58">
        <f t="shared" si="164"/>
        <v>10416</v>
      </c>
      <c r="AE799" s="60">
        <f t="shared" si="155"/>
        <v>10492.224748408702</v>
      </c>
      <c r="AF799" s="120"/>
      <c r="AG799" s="60"/>
      <c r="AH799" s="60"/>
      <c r="AU799" s="24">
        <f>ROUND(AU798*0.9,2)</f>
        <v>13.19</v>
      </c>
      <c r="AW799" s="66">
        <f t="shared" si="165"/>
        <v>2216</v>
      </c>
      <c r="AX799" s="66" t="s">
        <v>261</v>
      </c>
      <c r="AY799" s="58">
        <v>11</v>
      </c>
    </row>
    <row r="800" spans="1:51" ht="15.75">
      <c r="A800" s="57">
        <f t="shared" si="145"/>
        <v>798</v>
      </c>
      <c r="B800" s="64" t="s">
        <v>286</v>
      </c>
      <c r="E800" s="59">
        <f t="shared" si="157"/>
        <v>18296.63</v>
      </c>
      <c r="G800" s="59">
        <f t="shared" si="158"/>
        <v>18430.52554708882</v>
      </c>
      <c r="I800" s="69">
        <v>19.36</v>
      </c>
      <c r="K800" s="66">
        <f t="shared" si="159"/>
        <v>354223</v>
      </c>
      <c r="M800" s="66">
        <f t="shared" si="160"/>
        <v>356815</v>
      </c>
      <c r="O800" s="69">
        <v>21.57</v>
      </c>
      <c r="Q800" s="66">
        <f t="shared" si="161"/>
        <v>397546</v>
      </c>
      <c r="R800" s="69">
        <f>ROUND(L800*(1+$R$773),2)</f>
        <v>0</v>
      </c>
      <c r="S800" s="58"/>
      <c r="T800" s="95">
        <f t="shared" si="162"/>
        <v>-1</v>
      </c>
      <c r="U800" s="55">
        <f t="shared" si="163"/>
        <v>-19.36</v>
      </c>
      <c r="W800" s="33"/>
      <c r="Z800" s="55">
        <v>18296.63</v>
      </c>
      <c r="AA800" s="55">
        <v>30</v>
      </c>
      <c r="AC800" s="59">
        <v>148</v>
      </c>
      <c r="AD800" s="58">
        <f t="shared" si="164"/>
        <v>2707901.24</v>
      </c>
      <c r="AE800" s="60">
        <f t="shared" si="155"/>
        <v>2727717.7809691452</v>
      </c>
      <c r="AF800" s="120"/>
      <c r="AG800" s="60"/>
      <c r="AH800" s="60"/>
      <c r="AU800" s="69">
        <v>18.03</v>
      </c>
      <c r="AW800" s="66">
        <f t="shared" si="165"/>
        <v>329888</v>
      </c>
      <c r="AX800" s="66" t="s">
        <v>261</v>
      </c>
      <c r="AY800" s="58">
        <v>11</v>
      </c>
    </row>
    <row r="801" spans="1:51" ht="15.75">
      <c r="A801" s="57">
        <f t="shared" si="145"/>
        <v>799</v>
      </c>
      <c r="B801" s="64" t="s">
        <v>287</v>
      </c>
      <c r="E801" s="59">
        <f t="shared" si="157"/>
        <v>0</v>
      </c>
      <c r="G801" s="59">
        <f t="shared" si="158"/>
        <v>0</v>
      </c>
      <c r="I801" s="24">
        <f>ROUND(I800*0.9,2)</f>
        <v>17.42</v>
      </c>
      <c r="K801" s="66">
        <f t="shared" si="159"/>
        <v>0</v>
      </c>
      <c r="M801" s="66">
        <f t="shared" si="160"/>
        <v>0</v>
      </c>
      <c r="O801" s="24">
        <v>19.41</v>
      </c>
      <c r="Q801" s="66">
        <f t="shared" si="161"/>
        <v>0</v>
      </c>
      <c r="R801" s="24">
        <f>ROUND(R800*0.9,2)</f>
        <v>0</v>
      </c>
      <c r="S801" s="58"/>
      <c r="T801" s="95">
        <f t="shared" si="162"/>
        <v>-1</v>
      </c>
      <c r="U801" s="55">
        <f t="shared" si="163"/>
        <v>-17.42</v>
      </c>
      <c r="W801" s="33"/>
      <c r="Z801" s="55">
        <v>0</v>
      </c>
      <c r="AA801" s="55">
        <v>31</v>
      </c>
      <c r="AC801" s="59">
        <v>96</v>
      </c>
      <c r="AD801" s="58">
        <f t="shared" si="164"/>
        <v>0</v>
      </c>
      <c r="AE801" s="60">
        <f t="shared" si="155"/>
        <v>0</v>
      </c>
      <c r="AF801" s="120"/>
      <c r="AG801" s="60"/>
      <c r="AH801" s="60"/>
      <c r="AU801" s="24">
        <f>ROUND(AU800*0.9,2)</f>
        <v>16.23</v>
      </c>
      <c r="AW801" s="66">
        <f t="shared" si="165"/>
        <v>0</v>
      </c>
      <c r="AX801" s="66" t="s">
        <v>261</v>
      </c>
      <c r="AY801" s="58">
        <v>11</v>
      </c>
    </row>
    <row r="802" spans="1:51" ht="15.75">
      <c r="A802" s="57">
        <f t="shared" si="145"/>
        <v>800</v>
      </c>
      <c r="B802" s="64" t="s">
        <v>288</v>
      </c>
      <c r="E802" s="59">
        <f t="shared" si="157"/>
        <v>0</v>
      </c>
      <c r="G802" s="59">
        <f t="shared" si="158"/>
        <v>0</v>
      </c>
      <c r="I802" s="69">
        <v>28.97</v>
      </c>
      <c r="K802" s="66">
        <f t="shared" si="159"/>
        <v>0</v>
      </c>
      <c r="M802" s="66">
        <f t="shared" si="160"/>
        <v>0</v>
      </c>
      <c r="O802" s="69">
        <v>32.27</v>
      </c>
      <c r="Q802" s="66">
        <f t="shared" si="161"/>
        <v>0</v>
      </c>
      <c r="R802" s="69">
        <f>ROUND(L802*(1+$R$773),2)</f>
        <v>0</v>
      </c>
      <c r="S802" s="58"/>
      <c r="T802" s="95">
        <f t="shared" si="162"/>
        <v>-1</v>
      </c>
      <c r="U802" s="55">
        <f t="shared" si="163"/>
        <v>-28.97</v>
      </c>
      <c r="W802" s="33"/>
      <c r="Z802" s="55">
        <v>0</v>
      </c>
      <c r="AA802" s="55">
        <v>34</v>
      </c>
      <c r="AC802" s="59">
        <v>241</v>
      </c>
      <c r="AD802" s="58">
        <f t="shared" si="164"/>
        <v>0</v>
      </c>
      <c r="AE802" s="60">
        <f t="shared" si="155"/>
        <v>0</v>
      </c>
      <c r="AF802" s="120"/>
      <c r="AG802" s="60"/>
      <c r="AH802" s="60"/>
      <c r="AU802" s="69">
        <v>26.97</v>
      </c>
      <c r="AW802" s="66">
        <f t="shared" si="165"/>
        <v>0</v>
      </c>
      <c r="AX802" s="66" t="s">
        <v>261</v>
      </c>
      <c r="AY802" s="58">
        <v>11</v>
      </c>
    </row>
    <row r="803" spans="1:51" ht="15.75">
      <c r="A803" s="57">
        <f t="shared" si="145"/>
        <v>801</v>
      </c>
      <c r="B803" s="64" t="s">
        <v>289</v>
      </c>
      <c r="E803" s="59">
        <f t="shared" si="157"/>
        <v>1442.73</v>
      </c>
      <c r="G803" s="59">
        <f t="shared" si="158"/>
        <v>1453.2879619116445</v>
      </c>
      <c r="I803" s="69">
        <v>29.04</v>
      </c>
      <c r="K803" s="66">
        <f t="shared" si="159"/>
        <v>41897</v>
      </c>
      <c r="M803" s="66">
        <f t="shared" si="160"/>
        <v>42203</v>
      </c>
      <c r="O803" s="69">
        <v>32.35</v>
      </c>
      <c r="Q803" s="66">
        <f t="shared" si="161"/>
        <v>47014</v>
      </c>
      <c r="R803" s="69">
        <f>ROUND(L803*(1+$R$773),2)</f>
        <v>0</v>
      </c>
      <c r="S803" s="58"/>
      <c r="T803" s="95">
        <f t="shared" si="162"/>
        <v>-1</v>
      </c>
      <c r="U803" s="55">
        <f t="shared" si="163"/>
        <v>-29.04</v>
      </c>
      <c r="W803" s="33"/>
      <c r="Z803" s="55">
        <v>1442.73</v>
      </c>
      <c r="AA803" s="55">
        <v>41</v>
      </c>
      <c r="AC803" s="59">
        <v>148</v>
      </c>
      <c r="AD803" s="58">
        <f t="shared" si="164"/>
        <v>213524.04</v>
      </c>
      <c r="AE803" s="60">
        <f t="shared" si="155"/>
        <v>215086.6183629234</v>
      </c>
      <c r="AF803" s="120"/>
      <c r="AG803" s="60"/>
      <c r="AH803" s="60"/>
      <c r="AU803" s="69">
        <v>27.04</v>
      </c>
      <c r="AW803" s="66">
        <f t="shared" si="165"/>
        <v>39011</v>
      </c>
      <c r="AX803" s="66" t="s">
        <v>261</v>
      </c>
      <c r="AY803" s="58">
        <v>11</v>
      </c>
    </row>
    <row r="804" spans="1:51" ht="15.75">
      <c r="A804" s="57">
        <f t="shared" si="145"/>
        <v>802</v>
      </c>
      <c r="B804" s="64" t="s">
        <v>290</v>
      </c>
      <c r="E804" s="59">
        <f t="shared" si="157"/>
        <v>0</v>
      </c>
      <c r="G804" s="59">
        <f t="shared" si="158"/>
        <v>0</v>
      </c>
      <c r="I804" s="69">
        <v>38.34</v>
      </c>
      <c r="K804" s="66">
        <f t="shared" si="159"/>
        <v>0</v>
      </c>
      <c r="M804" s="66">
        <f t="shared" si="160"/>
        <v>0</v>
      </c>
      <c r="O804" s="69">
        <v>42.71</v>
      </c>
      <c r="Q804" s="66">
        <f t="shared" si="161"/>
        <v>0</v>
      </c>
      <c r="R804" s="69">
        <f>ROUND(L804*(1+$R$773),2)</f>
        <v>0</v>
      </c>
      <c r="S804" s="58"/>
      <c r="T804" s="95">
        <f t="shared" si="162"/>
        <v>-1</v>
      </c>
      <c r="U804" s="55">
        <f t="shared" si="163"/>
        <v>-38.34</v>
      </c>
      <c r="W804" s="33"/>
      <c r="Z804" s="55">
        <v>0</v>
      </c>
      <c r="AA804" s="55">
        <v>33</v>
      </c>
      <c r="AC804" s="59">
        <v>371</v>
      </c>
      <c r="AD804" s="58">
        <f t="shared" si="164"/>
        <v>0</v>
      </c>
      <c r="AE804" s="60">
        <f t="shared" si="155"/>
        <v>0</v>
      </c>
      <c r="AF804" s="120"/>
      <c r="AG804" s="60"/>
      <c r="AH804" s="60"/>
      <c r="AU804" s="69">
        <v>35.7</v>
      </c>
      <c r="AW804" s="66">
        <f t="shared" si="165"/>
        <v>0</v>
      </c>
      <c r="AX804" s="66" t="s">
        <v>261</v>
      </c>
      <c r="AY804" s="58">
        <v>11</v>
      </c>
    </row>
    <row r="805" spans="1:51" ht="15.75">
      <c r="A805" s="57">
        <f t="shared" si="145"/>
        <v>803</v>
      </c>
      <c r="B805" s="64" t="s">
        <v>291</v>
      </c>
      <c r="E805" s="78"/>
      <c r="G805" s="78"/>
      <c r="I805" s="127"/>
      <c r="J805" s="125"/>
      <c r="K805" s="81"/>
      <c r="M805" s="81"/>
      <c r="O805" s="127"/>
      <c r="P805" s="125"/>
      <c r="Q805" s="81"/>
      <c r="R805" s="127"/>
      <c r="S805" s="58"/>
      <c r="T805" s="95"/>
      <c r="W805" s="33"/>
      <c r="AC805" s="58"/>
      <c r="AD805" s="58"/>
      <c r="AE805" s="60">
        <f t="shared" si="155"/>
        <v>0</v>
      </c>
      <c r="AF805" s="60"/>
      <c r="AG805" s="60"/>
      <c r="AH805" s="60"/>
      <c r="AU805" s="127"/>
      <c r="AV805" s="125"/>
      <c r="AW805" s="81"/>
      <c r="AX805" s="66" t="s">
        <v>261</v>
      </c>
      <c r="AY805" s="58">
        <v>11</v>
      </c>
    </row>
    <row r="806" spans="1:51" ht="15.75">
      <c r="A806" s="57">
        <f t="shared" si="145"/>
        <v>804</v>
      </c>
      <c r="B806" s="64" t="s">
        <v>292</v>
      </c>
      <c r="E806" s="59">
        <f>Z806</f>
        <v>12</v>
      </c>
      <c r="G806" s="59">
        <f>E806*$G$814/$E$814</f>
        <v>12.087816530424773</v>
      </c>
      <c r="I806" s="69">
        <v>20.72</v>
      </c>
      <c r="K806" s="66">
        <f>ROUND(I806*$E806,0)</f>
        <v>249</v>
      </c>
      <c r="M806" s="66">
        <f>ROUND(I806*$G806,0)</f>
        <v>250</v>
      </c>
      <c r="O806" s="69">
        <v>23.08</v>
      </c>
      <c r="Q806" s="66">
        <f>ROUND(O806*$G806,0)</f>
        <v>279</v>
      </c>
      <c r="R806" s="69">
        <f>ROUND(L806*(1+$R$773),2)</f>
        <v>0</v>
      </c>
      <c r="S806" s="58"/>
      <c r="T806" s="95">
        <f>S806/AU806-1</f>
        <v>-1</v>
      </c>
      <c r="U806" s="55">
        <f>S806-I806</f>
        <v>-20.72</v>
      </c>
      <c r="W806" s="33"/>
      <c r="Z806" s="55">
        <v>12</v>
      </c>
      <c r="AA806" s="55">
        <v>35</v>
      </c>
      <c r="AC806" s="59">
        <v>154</v>
      </c>
      <c r="AD806" s="58">
        <f>AC806*E806</f>
        <v>1848</v>
      </c>
      <c r="AE806" s="60">
        <f t="shared" si="155"/>
        <v>1861.523745685415</v>
      </c>
      <c r="AF806" s="120"/>
      <c r="AG806" s="60"/>
      <c r="AH806" s="60"/>
      <c r="AU806" s="69">
        <v>19.29</v>
      </c>
      <c r="AW806" s="66">
        <f>ROUND(AU806*$E806,0)</f>
        <v>231</v>
      </c>
      <c r="AX806" s="66" t="s">
        <v>261</v>
      </c>
      <c r="AY806" s="58">
        <v>11</v>
      </c>
    </row>
    <row r="807" spans="1:51" ht="15.75">
      <c r="A807" s="57">
        <f t="shared" si="145"/>
        <v>805</v>
      </c>
      <c r="B807" s="64" t="s">
        <v>293</v>
      </c>
      <c r="E807" s="59">
        <f>Z807</f>
        <v>0</v>
      </c>
      <c r="G807" s="59">
        <f>E807*$G$814/$E$814</f>
        <v>0</v>
      </c>
      <c r="I807" s="69">
        <v>19.89</v>
      </c>
      <c r="K807" s="66">
        <f>ROUND(I807*$E807,0)</f>
        <v>0</v>
      </c>
      <c r="M807" s="66">
        <f>ROUND(I807*$G807,0)</f>
        <v>0</v>
      </c>
      <c r="O807" s="69">
        <v>22.16</v>
      </c>
      <c r="Q807" s="66">
        <f>ROUND(O807*$G807,0)</f>
        <v>0</v>
      </c>
      <c r="R807" s="69">
        <f>ROUND(L807*(1+$R$773),2)</f>
        <v>0</v>
      </c>
      <c r="S807" s="58"/>
      <c r="T807" s="95">
        <f>S807/AU807-1</f>
        <v>-1</v>
      </c>
      <c r="U807" s="55">
        <f>S807-I807</f>
        <v>-19.89</v>
      </c>
      <c r="W807" s="33"/>
      <c r="Z807" s="55">
        <v>0</v>
      </c>
      <c r="AA807" s="55">
        <v>37</v>
      </c>
      <c r="AC807" s="59">
        <v>135</v>
      </c>
      <c r="AD807" s="58">
        <f>AC807*E807</f>
        <v>0</v>
      </c>
      <c r="AE807" s="60">
        <f t="shared" si="155"/>
        <v>0</v>
      </c>
      <c r="AF807" s="120"/>
      <c r="AG807" s="60"/>
      <c r="AH807" s="60"/>
      <c r="AU807" s="69">
        <v>18.52</v>
      </c>
      <c r="AW807" s="66">
        <f>ROUND(AU807*$E807,0)</f>
        <v>0</v>
      </c>
      <c r="AX807" s="66" t="s">
        <v>261</v>
      </c>
      <c r="AY807" s="58">
        <v>11</v>
      </c>
    </row>
    <row r="808" spans="1:51" ht="15.75">
      <c r="A808" s="57">
        <f t="shared" si="145"/>
        <v>806</v>
      </c>
      <c r="B808" s="64" t="s">
        <v>294</v>
      </c>
      <c r="E808" s="59">
        <f>Z808</f>
        <v>0</v>
      </c>
      <c r="G808" s="59">
        <f>E808*$G$814/$E$814</f>
        <v>0</v>
      </c>
      <c r="I808" s="24">
        <f>ROUND(I807*0.9,2)</f>
        <v>17.9</v>
      </c>
      <c r="K808" s="66">
        <f>ROUND(I808*$E808,0)</f>
        <v>0</v>
      </c>
      <c r="M808" s="66">
        <f>ROUND(I808*$G808,0)</f>
        <v>0</v>
      </c>
      <c r="O808" s="24">
        <v>19.94</v>
      </c>
      <c r="Q808" s="66">
        <f>ROUND(O808*$G808,0)</f>
        <v>0</v>
      </c>
      <c r="R808" s="24">
        <f>ROUND(R807*0.9,2)</f>
        <v>0</v>
      </c>
      <c r="S808" s="58"/>
      <c r="T808" s="95">
        <f>S808/AU808-1</f>
        <v>-1</v>
      </c>
      <c r="U808" s="55">
        <f>S808-I808</f>
        <v>-17.9</v>
      </c>
      <c r="W808" s="33"/>
      <c r="Z808" s="55">
        <v>0</v>
      </c>
      <c r="AA808" s="55">
        <v>38</v>
      </c>
      <c r="AC808" s="59">
        <v>88</v>
      </c>
      <c r="AD808" s="58">
        <f>AC808*E808</f>
        <v>0</v>
      </c>
      <c r="AE808" s="60">
        <f t="shared" si="155"/>
        <v>0</v>
      </c>
      <c r="AF808" s="120"/>
      <c r="AG808" s="60"/>
      <c r="AH808" s="60"/>
      <c r="AU808" s="24">
        <f>ROUND(AU807*0.9,2)</f>
        <v>16.67</v>
      </c>
      <c r="AW808" s="66">
        <f>ROUND(AU808*$E808,0)</f>
        <v>0</v>
      </c>
      <c r="AX808" s="66" t="s">
        <v>261</v>
      </c>
      <c r="AY808" s="58">
        <v>11</v>
      </c>
    </row>
    <row r="809" spans="1:51" ht="15.75">
      <c r="A809" s="57">
        <f t="shared" si="145"/>
        <v>807</v>
      </c>
      <c r="B809" s="64" t="s">
        <v>295</v>
      </c>
      <c r="E809" s="59">
        <f>Z809</f>
        <v>0</v>
      </c>
      <c r="G809" s="59">
        <f>E809*$G$814/$E$814</f>
        <v>0</v>
      </c>
      <c r="I809" s="69">
        <v>31.05</v>
      </c>
      <c r="K809" s="66">
        <f>ROUND(I809*$E809,0)</f>
        <v>0</v>
      </c>
      <c r="M809" s="66">
        <f>ROUND(I809*$G809,0)</f>
        <v>0</v>
      </c>
      <c r="O809" s="69">
        <v>34.59</v>
      </c>
      <c r="Q809" s="66">
        <f>ROUND(O809*$G809,0)</f>
        <v>0</v>
      </c>
      <c r="R809" s="69">
        <f>ROUND(L809*(1+$R$773),2)</f>
        <v>0</v>
      </c>
      <c r="S809" s="58"/>
      <c r="T809" s="95">
        <f>S809/AU809-1</f>
        <v>-1</v>
      </c>
      <c r="U809" s="55">
        <f>S809-I809</f>
        <v>-31.05</v>
      </c>
      <c r="W809" s="33"/>
      <c r="Z809" s="55">
        <v>0</v>
      </c>
      <c r="AA809" s="55">
        <v>39</v>
      </c>
      <c r="AC809" s="59">
        <v>271</v>
      </c>
      <c r="AD809" s="58">
        <f>AC809*E809</f>
        <v>0</v>
      </c>
      <c r="AE809" s="60">
        <f t="shared" si="155"/>
        <v>0</v>
      </c>
      <c r="AF809" s="120"/>
      <c r="AG809" s="60"/>
      <c r="AH809" s="60"/>
      <c r="AU809" s="69">
        <v>28.91</v>
      </c>
      <c r="AW809" s="66">
        <f>ROUND(AU809*$E809,0)</f>
        <v>0</v>
      </c>
      <c r="AX809" s="66" t="s">
        <v>261</v>
      </c>
      <c r="AY809" s="58">
        <v>11</v>
      </c>
    </row>
    <row r="810" spans="1:51" ht="15.75">
      <c r="A810" s="57">
        <f t="shared" si="145"/>
        <v>808</v>
      </c>
      <c r="B810" s="64" t="s">
        <v>296</v>
      </c>
      <c r="E810" s="59">
        <f>Z810</f>
        <v>0</v>
      </c>
      <c r="G810" s="59">
        <f>E810*$G$814/$E$814</f>
        <v>0</v>
      </c>
      <c r="I810" s="24">
        <f>ROUND(I809*0.9,2)</f>
        <v>27.95</v>
      </c>
      <c r="K810" s="66">
        <f>ROUND(I810*$E810,0)</f>
        <v>0</v>
      </c>
      <c r="M810" s="66">
        <f>ROUND(I810*$G810,0)</f>
        <v>0</v>
      </c>
      <c r="O810" s="24">
        <v>31.13</v>
      </c>
      <c r="Q810" s="66">
        <f>ROUND(O810*$G810,0)</f>
        <v>0</v>
      </c>
      <c r="R810" s="24">
        <f>ROUND(R809*0.9,2)</f>
        <v>0</v>
      </c>
      <c r="S810" s="58"/>
      <c r="T810" s="95">
        <f>S810/AU810-1</f>
        <v>-1</v>
      </c>
      <c r="U810" s="55">
        <f>S810-I810</f>
        <v>-27.95</v>
      </c>
      <c r="W810" s="33"/>
      <c r="Z810" s="55">
        <v>0</v>
      </c>
      <c r="AA810" s="55">
        <v>40</v>
      </c>
      <c r="AC810" s="59">
        <v>176</v>
      </c>
      <c r="AD810" s="58">
        <f>AC810*E810</f>
        <v>0</v>
      </c>
      <c r="AE810" s="60">
        <f t="shared" si="155"/>
        <v>0</v>
      </c>
      <c r="AF810" s="120"/>
      <c r="AG810" s="60"/>
      <c r="AH810" s="60"/>
      <c r="AU810" s="24">
        <f>ROUND(AU809*0.9,2)</f>
        <v>26.02</v>
      </c>
      <c r="AW810" s="66">
        <f>ROUND(AU810*$E810,0)</f>
        <v>0</v>
      </c>
      <c r="AX810" s="66" t="s">
        <v>261</v>
      </c>
      <c r="AY810" s="58">
        <v>11</v>
      </c>
    </row>
    <row r="811" spans="1:51" ht="15.75">
      <c r="A811" s="57">
        <f t="shared" si="145"/>
        <v>809</v>
      </c>
      <c r="B811" s="64" t="s">
        <v>297</v>
      </c>
      <c r="E811" s="78"/>
      <c r="G811" s="78"/>
      <c r="I811" s="127"/>
      <c r="J811" s="125"/>
      <c r="K811" s="81">
        <f>AW811</f>
        <v>0</v>
      </c>
      <c r="M811" s="81">
        <v>0</v>
      </c>
      <c r="O811" s="127"/>
      <c r="P811" s="125"/>
      <c r="Q811" s="81">
        <v>0</v>
      </c>
      <c r="S811" s="58"/>
      <c r="T811" s="95"/>
      <c r="AC811" s="58"/>
      <c r="AD811" s="58"/>
      <c r="AE811" s="60"/>
      <c r="AF811" s="60"/>
      <c r="AG811" s="60"/>
      <c r="AH811" s="60"/>
      <c r="AU811" s="127"/>
      <c r="AV811" s="125"/>
      <c r="AW811" s="129">
        <v>0</v>
      </c>
      <c r="AX811" s="66" t="s">
        <v>261</v>
      </c>
      <c r="AY811" s="58">
        <v>11</v>
      </c>
    </row>
    <row r="812" spans="1:51" ht="15.75">
      <c r="A812" s="57">
        <f aca="true" t="shared" si="166" ref="A812:A875">A811+1</f>
        <v>810</v>
      </c>
      <c r="B812" s="64" t="s">
        <v>298</v>
      </c>
      <c r="E812" s="78">
        <f>SUM(E777:E811)</f>
        <v>436114.57</v>
      </c>
      <c r="G812" s="78">
        <f>SUM(G777:G811)</f>
        <v>439306.0757004243</v>
      </c>
      <c r="I812" s="125"/>
      <c r="J812" s="125"/>
      <c r="K812" s="81">
        <f>SUM(K777:K811)</f>
        <v>4702209</v>
      </c>
      <c r="M812" s="81">
        <f>SUM(M777:M811)</f>
        <v>4736618</v>
      </c>
      <c r="O812" s="125"/>
      <c r="P812" s="125"/>
      <c r="Q812" s="81">
        <f>SUM(Q777:Q811)</f>
        <v>5275432</v>
      </c>
      <c r="S812" s="58"/>
      <c r="T812" s="95"/>
      <c r="Z812" s="58"/>
      <c r="AC812" s="58" t="s">
        <v>59</v>
      </c>
      <c r="AD812" s="58">
        <f>SUM(AD777:AD810)</f>
        <v>22390526.14</v>
      </c>
      <c r="AE812" s="58">
        <f>SUM(AE777:AE810)</f>
        <v>22554381</v>
      </c>
      <c r="AF812" s="60"/>
      <c r="AG812" s="60"/>
      <c r="AH812" s="60"/>
      <c r="AU812" s="125"/>
      <c r="AV812" s="125"/>
      <c r="AW812" s="81">
        <f>SUM(AW777:AW811)</f>
        <v>4377043</v>
      </c>
      <c r="AX812" s="66" t="s">
        <v>261</v>
      </c>
      <c r="AY812" s="58">
        <v>11</v>
      </c>
    </row>
    <row r="813" spans="1:51" ht="15.75">
      <c r="A813" s="57">
        <f t="shared" si="166"/>
        <v>811</v>
      </c>
      <c r="E813" s="59"/>
      <c r="G813" s="59"/>
      <c r="S813" s="58"/>
      <c r="T813" s="95"/>
      <c r="AC813" s="58" t="s">
        <v>299</v>
      </c>
      <c r="AD813" s="120">
        <f>AD812-E814</f>
        <v>0</v>
      </c>
      <c r="AE813" s="120">
        <f>AE812-G814</f>
        <v>0</v>
      </c>
      <c r="AF813" s="60"/>
      <c r="AG813" s="60"/>
      <c r="AH813" s="60"/>
      <c r="AX813" s="66" t="s">
        <v>261</v>
      </c>
      <c r="AY813" s="58">
        <v>11</v>
      </c>
    </row>
    <row r="814" spans="1:51" ht="16.5" thickBot="1">
      <c r="A814" s="57">
        <f t="shared" si="166"/>
        <v>812</v>
      </c>
      <c r="B814" s="64" t="s">
        <v>188</v>
      </c>
      <c r="E814" s="35">
        <f>SUM(AD777:AD810)</f>
        <v>22390526.14</v>
      </c>
      <c r="G814" s="35">
        <v>22554381</v>
      </c>
      <c r="I814" s="96"/>
      <c r="J814" s="96"/>
      <c r="K814" s="96"/>
      <c r="M814" s="96"/>
      <c r="O814" s="96"/>
      <c r="P814" s="96"/>
      <c r="Q814" s="96"/>
      <c r="S814" s="58"/>
      <c r="T814" s="95"/>
      <c r="AC814" s="58"/>
      <c r="AD814" s="58"/>
      <c r="AE814" s="60"/>
      <c r="AF814" s="60"/>
      <c r="AG814" s="60"/>
      <c r="AH814" s="60"/>
      <c r="AU814" s="96"/>
      <c r="AV814" s="96"/>
      <c r="AW814" s="96"/>
      <c r="AX814" s="66" t="s">
        <v>261</v>
      </c>
      <c r="AY814" s="58">
        <v>11</v>
      </c>
    </row>
    <row r="815" spans="1:51" ht="16.5" thickTop="1">
      <c r="A815" s="57">
        <f t="shared" si="166"/>
        <v>813</v>
      </c>
      <c r="B815" s="64" t="s">
        <v>3</v>
      </c>
      <c r="E815" s="130">
        <f>1.08+2+1+4+6+1+1+20+72+5+45.08+94.33+1+521.17+39.17+116.42+4.08+131.17+6+92.83+1+8.33</f>
        <v>1173.6599999999999</v>
      </c>
      <c r="G815" s="130">
        <v>1211.5833333333333</v>
      </c>
      <c r="S815" s="58"/>
      <c r="T815" s="95"/>
      <c r="AC815" s="58"/>
      <c r="AD815" s="58"/>
      <c r="AE815" s="60"/>
      <c r="AF815" s="60"/>
      <c r="AG815" s="60"/>
      <c r="AH815" s="60"/>
      <c r="AX815" s="66" t="s">
        <v>261</v>
      </c>
      <c r="AY815" s="58">
        <v>11</v>
      </c>
    </row>
    <row r="816" spans="1:51" ht="15.75">
      <c r="A816" s="57">
        <f t="shared" si="166"/>
        <v>814</v>
      </c>
      <c r="B816" s="64" t="s">
        <v>189</v>
      </c>
      <c r="E816" s="39">
        <v>-184662</v>
      </c>
      <c r="G816" s="39">
        <v>0</v>
      </c>
      <c r="I816" s="78"/>
      <c r="J816" s="125"/>
      <c r="K816" s="81">
        <f>AW816</f>
        <v>139583</v>
      </c>
      <c r="M816" s="81">
        <v>0</v>
      </c>
      <c r="O816" s="78"/>
      <c r="P816" s="125"/>
      <c r="Q816" s="81">
        <v>0</v>
      </c>
      <c r="S816" s="58"/>
      <c r="T816" s="95"/>
      <c r="AC816" s="58"/>
      <c r="AD816" s="58"/>
      <c r="AE816" s="60"/>
      <c r="AF816" s="60"/>
      <c r="AG816" s="60"/>
      <c r="AH816" s="60"/>
      <c r="AU816" s="78"/>
      <c r="AV816" s="125"/>
      <c r="AW816" s="81">
        <v>139583</v>
      </c>
      <c r="AX816" s="66" t="s">
        <v>261</v>
      </c>
      <c r="AY816" s="58">
        <v>11</v>
      </c>
    </row>
    <row r="817" spans="1:51" ht="16.5" thickBot="1">
      <c r="A817" s="57">
        <f t="shared" si="166"/>
        <v>815</v>
      </c>
      <c r="B817" s="64" t="s">
        <v>59</v>
      </c>
      <c r="E817" s="35">
        <f>E816+E814</f>
        <v>22205864.14</v>
      </c>
      <c r="G817" s="35">
        <f>G816+G814</f>
        <v>22554381</v>
      </c>
      <c r="I817" s="131"/>
      <c r="J817" s="131"/>
      <c r="K817" s="131">
        <f>K816+K812</f>
        <v>4841792</v>
      </c>
      <c r="M817" s="131">
        <f>M816+M812</f>
        <v>4736618</v>
      </c>
      <c r="O817" s="131"/>
      <c r="P817" s="131"/>
      <c r="Q817" s="131">
        <f>Q816+Q812</f>
        <v>5275432</v>
      </c>
      <c r="R817" s="85" t="s">
        <v>59</v>
      </c>
      <c r="S817" s="86">
        <f>Q817</f>
        <v>5275432</v>
      </c>
      <c r="T817" s="95"/>
      <c r="U817" s="60"/>
      <c r="V817" s="60"/>
      <c r="AC817" s="58"/>
      <c r="AD817" s="58"/>
      <c r="AE817" s="60"/>
      <c r="AF817" s="60"/>
      <c r="AG817" s="60"/>
      <c r="AH817" s="60"/>
      <c r="AU817" s="131"/>
      <c r="AV817" s="131"/>
      <c r="AW817" s="131">
        <f>AW816+AW812</f>
        <v>4516626</v>
      </c>
      <c r="AX817" s="66" t="s">
        <v>261</v>
      </c>
      <c r="AY817" s="58">
        <v>11</v>
      </c>
    </row>
    <row r="818" spans="1:51" ht="16.5" thickTop="1">
      <c r="A818" s="57">
        <f t="shared" si="166"/>
        <v>816</v>
      </c>
      <c r="B818" s="64" t="s">
        <v>60</v>
      </c>
      <c r="E818" s="59"/>
      <c r="G818" s="59"/>
      <c r="I818" s="76"/>
      <c r="J818" s="26">
        <v>0</v>
      </c>
      <c r="K818" s="81">
        <f>ROUND(SUM(K812)*J818,0)</f>
        <v>0</v>
      </c>
      <c r="M818" s="81">
        <f>ROUND(SUM(M812)*J818,0)</f>
        <v>0</v>
      </c>
      <c r="O818" s="76"/>
      <c r="P818" s="26">
        <v>0</v>
      </c>
      <c r="Q818" s="81">
        <f>ROUND(SUM(Q812)*P818,0)</f>
        <v>0</v>
      </c>
      <c r="R818" s="88" t="s">
        <v>61</v>
      </c>
      <c r="S818" s="89">
        <v>5276274.072946179</v>
      </c>
      <c r="T818" s="95"/>
      <c r="U818" s="60"/>
      <c r="V818" s="60"/>
      <c r="AE818" s="60"/>
      <c r="AF818" s="60"/>
      <c r="AG818" s="60"/>
      <c r="AH818" s="60"/>
      <c r="AU818" s="76"/>
      <c r="AV818" s="26">
        <v>0.0352</v>
      </c>
      <c r="AW818" s="81">
        <f>ROUND(SUM(AW812)*AV818,0)</f>
        <v>154072</v>
      </c>
      <c r="AX818" s="66" t="s">
        <v>261</v>
      </c>
      <c r="AY818" s="58">
        <v>11</v>
      </c>
    </row>
    <row r="819" spans="1:51" ht="15.75">
      <c r="A819" s="57">
        <f t="shared" si="166"/>
        <v>817</v>
      </c>
      <c r="B819" s="64" t="s">
        <v>62</v>
      </c>
      <c r="E819" s="59"/>
      <c r="G819" s="59"/>
      <c r="I819" s="76"/>
      <c r="J819" s="26">
        <v>0.0289</v>
      </c>
      <c r="K819" s="81">
        <f>ROUND(SUM(K812,K818)*J819,0)</f>
        <v>135894</v>
      </c>
      <c r="M819" s="81">
        <f>ROUND(SUM(M812,M818)*J819,0)</f>
        <v>136888</v>
      </c>
      <c r="O819" s="76"/>
      <c r="P819" s="26">
        <v>0.0289</v>
      </c>
      <c r="Q819" s="81">
        <f>ROUND(SUM(Q812,Q818)*P819,0)</f>
        <v>152460</v>
      </c>
      <c r="R819" s="90" t="s">
        <v>515</v>
      </c>
      <c r="S819" s="91">
        <f>S818-S817</f>
        <v>842.0729461787269</v>
      </c>
      <c r="T819" s="60"/>
      <c r="U819" s="60"/>
      <c r="V819" s="60"/>
      <c r="AG819" s="60"/>
      <c r="AH819" s="60"/>
      <c r="AU819" s="76"/>
      <c r="AV819" s="26"/>
      <c r="AW819" s="81">
        <f>ROUND(SUM(AW812,AW818)*AV819,0)</f>
        <v>0</v>
      </c>
      <c r="AX819" s="66" t="s">
        <v>261</v>
      </c>
      <c r="AY819" s="58">
        <v>11</v>
      </c>
    </row>
    <row r="820" spans="1:51" ht="15.75">
      <c r="A820" s="57">
        <f t="shared" si="166"/>
        <v>818</v>
      </c>
      <c r="E820" s="59"/>
      <c r="G820" s="59"/>
      <c r="R820" s="55"/>
      <c r="T820" s="95"/>
      <c r="AC820" s="58"/>
      <c r="AD820" s="58"/>
      <c r="AE820" s="60"/>
      <c r="AF820" s="60"/>
      <c r="AG820" s="60"/>
      <c r="AH820" s="60"/>
      <c r="AX820" s="66" t="s">
        <v>261</v>
      </c>
      <c r="AY820" s="58">
        <v>11</v>
      </c>
    </row>
    <row r="821" spans="1:51" ht="15.75">
      <c r="A821" s="57">
        <f t="shared" si="166"/>
        <v>819</v>
      </c>
      <c r="B821" s="64" t="s">
        <v>300</v>
      </c>
      <c r="E821" s="59"/>
      <c r="G821" s="59"/>
      <c r="S821" s="58"/>
      <c r="T821" s="95"/>
      <c r="AC821" s="58"/>
      <c r="AD821" s="58"/>
      <c r="AE821" s="60"/>
      <c r="AF821" s="60"/>
      <c r="AG821" s="60"/>
      <c r="AH821" s="60"/>
      <c r="AX821" s="66" t="s">
        <v>261</v>
      </c>
      <c r="AY821" s="107" t="s">
        <v>301</v>
      </c>
    </row>
    <row r="822" spans="1:51" ht="15.75">
      <c r="A822" s="57">
        <f t="shared" si="166"/>
        <v>820</v>
      </c>
      <c r="B822" s="64" t="s">
        <v>262</v>
      </c>
      <c r="E822" s="59"/>
      <c r="G822" s="59"/>
      <c r="S822" s="58"/>
      <c r="T822" s="95"/>
      <c r="AC822" s="58"/>
      <c r="AD822" s="58"/>
      <c r="AE822" s="60"/>
      <c r="AF822" s="60"/>
      <c r="AG822" s="60"/>
      <c r="AH822" s="60"/>
      <c r="AX822" s="66" t="s">
        <v>261</v>
      </c>
      <c r="AY822" s="107" t="s">
        <v>301</v>
      </c>
    </row>
    <row r="823" spans="1:51" ht="15.75">
      <c r="A823" s="57">
        <f t="shared" si="166"/>
        <v>821</v>
      </c>
      <c r="B823" s="64" t="s">
        <v>302</v>
      </c>
      <c r="E823" s="59"/>
      <c r="G823" s="59"/>
      <c r="R823" s="58" t="s">
        <v>148</v>
      </c>
      <c r="T823" s="95"/>
      <c r="AC823" s="58"/>
      <c r="AD823" s="58"/>
      <c r="AE823" s="60"/>
      <c r="AF823" s="60"/>
      <c r="AG823" s="60"/>
      <c r="AH823" s="60"/>
      <c r="AX823" s="66" t="s">
        <v>261</v>
      </c>
      <c r="AY823" s="107" t="s">
        <v>301</v>
      </c>
    </row>
    <row r="824" spans="1:51" ht="15.75">
      <c r="A824" s="57">
        <f t="shared" si="166"/>
        <v>822</v>
      </c>
      <c r="B824" s="64" t="s">
        <v>303</v>
      </c>
      <c r="E824" s="59"/>
      <c r="G824" s="59"/>
      <c r="R824" s="117">
        <v>0.1139</v>
      </c>
      <c r="S824" s="87">
        <f>ABS(S931)</f>
        <v>74.69849656941369</v>
      </c>
      <c r="T824" s="95"/>
      <c r="AC824" s="58"/>
      <c r="AD824" s="58"/>
      <c r="AE824" s="60"/>
      <c r="AF824" s="60"/>
      <c r="AG824" s="60"/>
      <c r="AH824" s="60"/>
      <c r="AX824" s="66" t="s">
        <v>261</v>
      </c>
      <c r="AY824" s="107" t="s">
        <v>301</v>
      </c>
    </row>
    <row r="825" spans="1:51" ht="15.75">
      <c r="A825" s="57">
        <f t="shared" si="166"/>
        <v>823</v>
      </c>
      <c r="B825" s="98" t="s">
        <v>304</v>
      </c>
      <c r="E825" s="59"/>
      <c r="G825" s="59"/>
      <c r="S825" s="58"/>
      <c r="T825" s="95"/>
      <c r="AC825" s="58"/>
      <c r="AD825" s="58"/>
      <c r="AE825" s="60"/>
      <c r="AF825" s="60"/>
      <c r="AG825" s="60"/>
      <c r="AH825" s="60"/>
      <c r="AX825" s="66" t="s">
        <v>261</v>
      </c>
      <c r="AY825" s="107" t="s">
        <v>301</v>
      </c>
    </row>
    <row r="826" spans="1:51" ht="15.75">
      <c r="A826" s="57">
        <f t="shared" si="166"/>
        <v>824</v>
      </c>
      <c r="B826" s="64" t="s">
        <v>305</v>
      </c>
      <c r="E826" s="59"/>
      <c r="G826" s="59"/>
      <c r="R826" s="58" t="s">
        <v>0</v>
      </c>
      <c r="S826" s="58"/>
      <c r="T826" s="95">
        <f>AVERAGE(T828:T923)</f>
        <v>-1</v>
      </c>
      <c r="U826" s="55">
        <f>SUM(U828:U923)</f>
        <v>-800.26</v>
      </c>
      <c r="V826" s="95">
        <f>AVERAGE(V828:V923)</f>
        <v>0.06983590748302358</v>
      </c>
      <c r="Z826" s="55" t="s">
        <v>30</v>
      </c>
      <c r="AA826" s="55" t="s">
        <v>158</v>
      </c>
      <c r="AC826" s="58" t="s">
        <v>306</v>
      </c>
      <c r="AD826" s="58" t="s">
        <v>307</v>
      </c>
      <c r="AE826" s="58" t="s">
        <v>151</v>
      </c>
      <c r="AF826" s="60"/>
      <c r="AG826" s="60"/>
      <c r="AH826" s="60"/>
      <c r="AX826" s="66" t="s">
        <v>261</v>
      </c>
      <c r="AY826" s="107" t="s">
        <v>301</v>
      </c>
    </row>
    <row r="827" spans="1:51" ht="15.75">
      <c r="A827" s="57">
        <f t="shared" si="166"/>
        <v>825</v>
      </c>
      <c r="B827" s="64" t="s">
        <v>266</v>
      </c>
      <c r="E827" s="59"/>
      <c r="G827" s="59"/>
      <c r="I827" s="76"/>
      <c r="K827" s="66"/>
      <c r="M827" s="66"/>
      <c r="O827" s="76"/>
      <c r="Q827" s="66"/>
      <c r="S827" s="58"/>
      <c r="T827" s="95"/>
      <c r="V827" s="95"/>
      <c r="AC827" s="58"/>
      <c r="AD827" s="58"/>
      <c r="AE827" s="60"/>
      <c r="AF827" s="60"/>
      <c r="AG827" s="60"/>
      <c r="AH827" s="60"/>
      <c r="AU827" s="76"/>
      <c r="AW827" s="66"/>
      <c r="AX827" s="66" t="s">
        <v>261</v>
      </c>
      <c r="AY827" s="107" t="s">
        <v>301</v>
      </c>
    </row>
    <row r="828" spans="1:51" ht="15.75">
      <c r="A828" s="57">
        <f t="shared" si="166"/>
        <v>826</v>
      </c>
      <c r="B828" s="64" t="s">
        <v>308</v>
      </c>
      <c r="E828" s="17">
        <f aca="true" t="shared" si="167" ref="E828:E834">Z828</f>
        <v>132</v>
      </c>
      <c r="G828" s="17">
        <f aca="true" t="shared" si="168" ref="G828:G834">E828*$G$926/$E$926</f>
        <v>135.22529296740223</v>
      </c>
      <c r="I828" s="69">
        <v>6.67</v>
      </c>
      <c r="K828" s="66">
        <f aca="true" t="shared" si="169" ref="K828:K834">ROUND(I828*$E828,0)</f>
        <v>880</v>
      </c>
      <c r="M828" s="66">
        <f aca="true" t="shared" si="170" ref="M828:M834">ROUND(I828*$G828,0)</f>
        <v>902</v>
      </c>
      <c r="O828" s="69">
        <v>7.43</v>
      </c>
      <c r="Q828" s="66">
        <f aca="true" t="shared" si="171" ref="Q828:Q834">ROUND(O828*$G828,0)</f>
        <v>1005</v>
      </c>
      <c r="R828" s="69">
        <f>ROUND($I828*(1+$R$824),2)</f>
        <v>7.43</v>
      </c>
      <c r="S828" s="58"/>
      <c r="T828" s="95">
        <f aca="true" t="shared" si="172" ref="T828:T834">S828/AU828-1</f>
        <v>-1</v>
      </c>
      <c r="U828" s="55">
        <f aca="true" t="shared" si="173" ref="U828:U834">S828-I828</f>
        <v>-6.67</v>
      </c>
      <c r="V828" s="95">
        <f aca="true" t="shared" si="174" ref="V828:V834">IF(AW828=0,"",K828/AW828-1)</f>
        <v>0.07055961070559613</v>
      </c>
      <c r="W828" s="33"/>
      <c r="Z828" s="33">
        <v>132</v>
      </c>
      <c r="AA828" s="55">
        <v>1</v>
      </c>
      <c r="AC828" s="59">
        <v>64</v>
      </c>
      <c r="AD828" s="58">
        <f aca="true" t="shared" si="175" ref="AD828:AD834">AC828*E828</f>
        <v>8448</v>
      </c>
      <c r="AE828" s="60">
        <f aca="true" t="shared" si="176" ref="AE828:AE834">AC828*G828</f>
        <v>8654.418749913742</v>
      </c>
      <c r="AF828" s="60"/>
      <c r="AG828" s="60"/>
      <c r="AH828" s="60"/>
      <c r="AU828" s="69">
        <v>6.23</v>
      </c>
      <c r="AW828" s="66">
        <f aca="true" t="shared" si="177" ref="AW828:AW834">ROUND(AU828*$E828,0)</f>
        <v>822</v>
      </c>
      <c r="AX828" s="66" t="s">
        <v>261</v>
      </c>
      <c r="AY828" s="107" t="s">
        <v>301</v>
      </c>
    </row>
    <row r="829" spans="1:51" ht="15.75">
      <c r="A829" s="57">
        <f t="shared" si="166"/>
        <v>827</v>
      </c>
      <c r="B829" s="64" t="s">
        <v>309</v>
      </c>
      <c r="E829" s="17">
        <f t="shared" si="167"/>
        <v>24</v>
      </c>
      <c r="G829" s="17">
        <f t="shared" si="168"/>
        <v>24.58641690316404</v>
      </c>
      <c r="I829" s="24">
        <f>ROUND(I828*0.85,2)</f>
        <v>5.67</v>
      </c>
      <c r="K829" s="66">
        <f t="shared" si="169"/>
        <v>136</v>
      </c>
      <c r="M829" s="66">
        <f t="shared" si="170"/>
        <v>139</v>
      </c>
      <c r="O829" s="24">
        <v>6.32</v>
      </c>
      <c r="Q829" s="66">
        <f t="shared" si="171"/>
        <v>155</v>
      </c>
      <c r="R829" s="24">
        <f>ROUND(R828*0.85,2)</f>
        <v>6.32</v>
      </c>
      <c r="S829" s="58"/>
      <c r="T829" s="95">
        <f t="shared" si="172"/>
        <v>-1</v>
      </c>
      <c r="U829" s="55">
        <f t="shared" si="173"/>
        <v>-5.67</v>
      </c>
      <c r="V829" s="95">
        <f t="shared" si="174"/>
        <v>0.07086614173228356</v>
      </c>
      <c r="W829" s="33"/>
      <c r="Z829" s="33">
        <v>24</v>
      </c>
      <c r="AA829" s="55">
        <v>2</v>
      </c>
      <c r="AC829" s="59">
        <v>41</v>
      </c>
      <c r="AD829" s="58">
        <f t="shared" si="175"/>
        <v>984</v>
      </c>
      <c r="AE829" s="60">
        <f t="shared" si="176"/>
        <v>1008.0430930297256</v>
      </c>
      <c r="AF829" s="60"/>
      <c r="AG829" s="60"/>
      <c r="AH829" s="60"/>
      <c r="AU829" s="24">
        <f>ROUND(AU828*0.85,2)</f>
        <v>5.3</v>
      </c>
      <c r="AW829" s="66">
        <f t="shared" si="177"/>
        <v>127</v>
      </c>
      <c r="AX829" s="66" t="s">
        <v>261</v>
      </c>
      <c r="AY829" s="107" t="s">
        <v>301</v>
      </c>
    </row>
    <row r="830" spans="1:51" ht="15.75">
      <c r="A830" s="57">
        <f t="shared" si="166"/>
        <v>828</v>
      </c>
      <c r="B830" s="64" t="s">
        <v>271</v>
      </c>
      <c r="E830" s="17">
        <f t="shared" si="167"/>
        <v>36.3</v>
      </c>
      <c r="G830" s="17">
        <f t="shared" si="168"/>
        <v>37.18695556603561</v>
      </c>
      <c r="I830" s="69">
        <v>9.06</v>
      </c>
      <c r="K830" s="66">
        <f t="shared" si="169"/>
        <v>329</v>
      </c>
      <c r="M830" s="66">
        <f t="shared" si="170"/>
        <v>337</v>
      </c>
      <c r="O830" s="69">
        <v>10.09</v>
      </c>
      <c r="Q830" s="66">
        <f t="shared" si="171"/>
        <v>375</v>
      </c>
      <c r="R830" s="69">
        <f>ROUND($I830*(1+$R$824),2)</f>
        <v>10.09</v>
      </c>
      <c r="S830" s="58"/>
      <c r="T830" s="95">
        <f t="shared" si="172"/>
        <v>-1</v>
      </c>
      <c r="U830" s="55">
        <f t="shared" si="173"/>
        <v>-9.06</v>
      </c>
      <c r="V830" s="95">
        <f t="shared" si="174"/>
        <v>0.07166123778501632</v>
      </c>
      <c r="W830" s="33"/>
      <c r="Z830" s="33">
        <v>36.3</v>
      </c>
      <c r="AA830" s="55">
        <v>3</v>
      </c>
      <c r="AC830" s="59">
        <v>99</v>
      </c>
      <c r="AD830" s="58">
        <f t="shared" si="175"/>
        <v>3593.7</v>
      </c>
      <c r="AE830" s="60">
        <f t="shared" si="176"/>
        <v>3681.5086010375253</v>
      </c>
      <c r="AF830" s="60"/>
      <c r="AG830" s="60"/>
      <c r="AH830" s="60"/>
      <c r="AU830" s="69">
        <v>8.47</v>
      </c>
      <c r="AW830" s="66">
        <f t="shared" si="177"/>
        <v>307</v>
      </c>
      <c r="AX830" s="66" t="s">
        <v>261</v>
      </c>
      <c r="AY830" s="107" t="s">
        <v>301</v>
      </c>
    </row>
    <row r="831" spans="1:51" ht="15.75">
      <c r="A831" s="57">
        <f t="shared" si="166"/>
        <v>829</v>
      </c>
      <c r="B831" s="64" t="s">
        <v>310</v>
      </c>
      <c r="E831" s="17">
        <f t="shared" si="167"/>
        <v>0</v>
      </c>
      <c r="G831" s="17">
        <f t="shared" si="168"/>
        <v>0</v>
      </c>
      <c r="I831" s="24">
        <f>ROUND(I830*0.85,2)</f>
        <v>7.7</v>
      </c>
      <c r="K831" s="66">
        <f t="shared" si="169"/>
        <v>0</v>
      </c>
      <c r="M831" s="66">
        <f t="shared" si="170"/>
        <v>0</v>
      </c>
      <c r="O831" s="24">
        <v>8.58</v>
      </c>
      <c r="Q831" s="66">
        <f t="shared" si="171"/>
        <v>0</v>
      </c>
      <c r="R831" s="24">
        <f>ROUND(R830*0.85,2)</f>
        <v>8.58</v>
      </c>
      <c r="S831" s="58"/>
      <c r="T831" s="95">
        <f t="shared" si="172"/>
        <v>-1</v>
      </c>
      <c r="U831" s="55">
        <f t="shared" si="173"/>
        <v>-7.7</v>
      </c>
      <c r="V831" s="95">
        <f t="shared" si="174"/>
      </c>
      <c r="W831" s="33"/>
      <c r="Z831" s="33">
        <v>0</v>
      </c>
      <c r="AA831" s="55">
        <v>4</v>
      </c>
      <c r="AC831" s="59">
        <v>65</v>
      </c>
      <c r="AD831" s="58">
        <f t="shared" si="175"/>
        <v>0</v>
      </c>
      <c r="AE831" s="60">
        <f t="shared" si="176"/>
        <v>0</v>
      </c>
      <c r="AF831" s="60"/>
      <c r="AG831" s="60"/>
      <c r="AH831" s="60"/>
      <c r="AU831" s="24">
        <f>ROUND(AU830*0.85,2)</f>
        <v>7.2</v>
      </c>
      <c r="AW831" s="66">
        <f t="shared" si="177"/>
        <v>0</v>
      </c>
      <c r="AX831" s="66" t="s">
        <v>261</v>
      </c>
      <c r="AY831" s="107" t="s">
        <v>301</v>
      </c>
    </row>
    <row r="832" spans="1:51" ht="15.75">
      <c r="A832" s="57">
        <f t="shared" si="166"/>
        <v>830</v>
      </c>
      <c r="B832" s="64" t="s">
        <v>272</v>
      </c>
      <c r="E832" s="17">
        <f t="shared" si="167"/>
        <v>0</v>
      </c>
      <c r="G832" s="17">
        <f t="shared" si="168"/>
        <v>0</v>
      </c>
      <c r="I832" s="69">
        <v>11.49</v>
      </c>
      <c r="K832" s="66">
        <f t="shared" si="169"/>
        <v>0</v>
      </c>
      <c r="M832" s="66">
        <f t="shared" si="170"/>
        <v>0</v>
      </c>
      <c r="O832" s="69">
        <v>12.8</v>
      </c>
      <c r="Q832" s="66">
        <f t="shared" si="171"/>
        <v>0</v>
      </c>
      <c r="R832" s="69">
        <f>ROUND($I832*(1+$R$824),2)</f>
        <v>12.8</v>
      </c>
      <c r="S832" s="58"/>
      <c r="T832" s="95">
        <f t="shared" si="172"/>
        <v>-1</v>
      </c>
      <c r="U832" s="55">
        <f t="shared" si="173"/>
        <v>-11.49</v>
      </c>
      <c r="V832" s="95">
        <f t="shared" si="174"/>
      </c>
      <c r="W832" s="33"/>
      <c r="Z832" s="33">
        <v>0</v>
      </c>
      <c r="AA832" s="55">
        <v>5</v>
      </c>
      <c r="AC832" s="59">
        <v>136</v>
      </c>
      <c r="AD832" s="58">
        <f t="shared" si="175"/>
        <v>0</v>
      </c>
      <c r="AE832" s="60">
        <f t="shared" si="176"/>
        <v>0</v>
      </c>
      <c r="AF832" s="60"/>
      <c r="AG832" s="60"/>
      <c r="AH832" s="60"/>
      <c r="AU832" s="69">
        <v>10.74</v>
      </c>
      <c r="AW832" s="66">
        <f t="shared" si="177"/>
        <v>0</v>
      </c>
      <c r="AX832" s="66" t="s">
        <v>261</v>
      </c>
      <c r="AY832" s="107" t="s">
        <v>301</v>
      </c>
    </row>
    <row r="833" spans="1:51" ht="15.75">
      <c r="A833" s="57">
        <f t="shared" si="166"/>
        <v>831</v>
      </c>
      <c r="B833" s="64" t="s">
        <v>311</v>
      </c>
      <c r="E833" s="17">
        <f t="shared" si="167"/>
        <v>0</v>
      </c>
      <c r="G833" s="17">
        <f t="shared" si="168"/>
        <v>0</v>
      </c>
      <c r="I833" s="24">
        <f>ROUND(I832*0.85,2)</f>
        <v>9.77</v>
      </c>
      <c r="K833" s="66">
        <f t="shared" si="169"/>
        <v>0</v>
      </c>
      <c r="M833" s="66">
        <f t="shared" si="170"/>
        <v>0</v>
      </c>
      <c r="O833" s="24">
        <v>10.88</v>
      </c>
      <c r="Q833" s="66">
        <f t="shared" si="171"/>
        <v>0</v>
      </c>
      <c r="R833" s="24">
        <f>ROUND(R832*0.85,2)</f>
        <v>10.88</v>
      </c>
      <c r="S833" s="58"/>
      <c r="T833" s="95">
        <f t="shared" si="172"/>
        <v>-1</v>
      </c>
      <c r="U833" s="55">
        <f t="shared" si="173"/>
        <v>-9.77</v>
      </c>
      <c r="V833" s="95">
        <f t="shared" si="174"/>
      </c>
      <c r="W833" s="33"/>
      <c r="Z833" s="33">
        <v>0</v>
      </c>
      <c r="AA833" s="55">
        <v>6</v>
      </c>
      <c r="AC833" s="59">
        <v>89</v>
      </c>
      <c r="AD833" s="58">
        <f t="shared" si="175"/>
        <v>0</v>
      </c>
      <c r="AE833" s="60">
        <f t="shared" si="176"/>
        <v>0</v>
      </c>
      <c r="AF833" s="60"/>
      <c r="AG833" s="60"/>
      <c r="AH833" s="60"/>
      <c r="AU833" s="24">
        <f>ROUND(AU832*0.85,2)</f>
        <v>9.13</v>
      </c>
      <c r="AW833" s="66">
        <f t="shared" si="177"/>
        <v>0</v>
      </c>
      <c r="AX833" s="66" t="s">
        <v>261</v>
      </c>
      <c r="AY833" s="107" t="s">
        <v>301</v>
      </c>
    </row>
    <row r="834" spans="1:51" ht="15.75">
      <c r="A834" s="57">
        <f t="shared" si="166"/>
        <v>832</v>
      </c>
      <c r="B834" s="64" t="s">
        <v>273</v>
      </c>
      <c r="E834" s="22">
        <f t="shared" si="167"/>
        <v>0</v>
      </c>
      <c r="G834" s="22">
        <f t="shared" si="168"/>
        <v>0</v>
      </c>
      <c r="I834" s="127">
        <v>15.21</v>
      </c>
      <c r="J834" s="125"/>
      <c r="K834" s="81">
        <f t="shared" si="169"/>
        <v>0</v>
      </c>
      <c r="M834" s="81">
        <f t="shared" si="170"/>
        <v>0</v>
      </c>
      <c r="O834" s="127">
        <v>16.94</v>
      </c>
      <c r="P834" s="125"/>
      <c r="Q834" s="81">
        <f t="shared" si="171"/>
        <v>0</v>
      </c>
      <c r="R834" s="127">
        <f>ROUND($I834*(1+$R$824),2)</f>
        <v>16.94</v>
      </c>
      <c r="S834" s="58"/>
      <c r="T834" s="95">
        <f t="shared" si="172"/>
        <v>-1</v>
      </c>
      <c r="U834" s="55">
        <f t="shared" si="173"/>
        <v>-15.21</v>
      </c>
      <c r="V834" s="95">
        <f t="shared" si="174"/>
      </c>
      <c r="W834" s="33"/>
      <c r="Z834" s="33">
        <v>0</v>
      </c>
      <c r="AA834" s="55">
        <v>7</v>
      </c>
      <c r="AC834" s="59">
        <v>209</v>
      </c>
      <c r="AD834" s="58">
        <f t="shared" si="175"/>
        <v>0</v>
      </c>
      <c r="AE834" s="60">
        <f t="shared" si="176"/>
        <v>0</v>
      </c>
      <c r="AF834" s="60"/>
      <c r="AG834" s="60"/>
      <c r="AH834" s="60"/>
      <c r="AU834" s="127">
        <v>14.21</v>
      </c>
      <c r="AV834" s="125"/>
      <c r="AW834" s="81">
        <f t="shared" si="177"/>
        <v>0</v>
      </c>
      <c r="AX834" s="66" t="s">
        <v>261</v>
      </c>
      <c r="AY834" s="107" t="s">
        <v>301</v>
      </c>
    </row>
    <row r="835" spans="1:51" ht="15.75">
      <c r="A835" s="57">
        <f t="shared" si="166"/>
        <v>833</v>
      </c>
      <c r="B835" s="64" t="s">
        <v>275</v>
      </c>
      <c r="E835" s="17"/>
      <c r="G835" s="17"/>
      <c r="I835" s="69"/>
      <c r="O835" s="69"/>
      <c r="R835" s="69"/>
      <c r="S835" s="58"/>
      <c r="T835" s="95"/>
      <c r="V835" s="95"/>
      <c r="W835" s="33"/>
      <c r="Z835" s="33"/>
      <c r="AC835" s="58"/>
      <c r="AD835" s="58"/>
      <c r="AE835" s="60"/>
      <c r="AF835" s="60"/>
      <c r="AG835" s="60"/>
      <c r="AH835" s="60"/>
      <c r="AU835" s="69"/>
      <c r="AX835" s="66" t="s">
        <v>261</v>
      </c>
      <c r="AY835" s="107" t="s">
        <v>301</v>
      </c>
    </row>
    <row r="836" spans="1:51" ht="15.75">
      <c r="A836" s="57">
        <f t="shared" si="166"/>
        <v>834</v>
      </c>
      <c r="B836" s="64" t="s">
        <v>271</v>
      </c>
      <c r="E836" s="17">
        <f aca="true" t="shared" si="178" ref="E836:E843">Z836</f>
        <v>984</v>
      </c>
      <c r="G836" s="17">
        <f aca="true" t="shared" si="179" ref="G836:G843">E836*$G$926/$E$926</f>
        <v>1008.0430930297256</v>
      </c>
      <c r="I836" s="69">
        <v>3.45</v>
      </c>
      <c r="K836" s="66">
        <f aca="true" t="shared" si="180" ref="K836:K843">ROUND(I836*$E836,0)</f>
        <v>3395</v>
      </c>
      <c r="M836" s="66">
        <f aca="true" t="shared" si="181" ref="M836:M843">ROUND(I836*$G836,0)</f>
        <v>3478</v>
      </c>
      <c r="O836" s="69">
        <v>3.84</v>
      </c>
      <c r="Q836" s="66">
        <f aca="true" t="shared" si="182" ref="Q836:Q843">ROUND(O836*$G836,0)</f>
        <v>3871</v>
      </c>
      <c r="R836" s="69">
        <f>ROUND($I836*(1+$R$824),2)</f>
        <v>3.84</v>
      </c>
      <c r="S836" s="58"/>
      <c r="T836" s="95">
        <f aca="true" t="shared" si="183" ref="T836:T843">S836/AU836-1</f>
        <v>-1</v>
      </c>
      <c r="U836" s="55">
        <f aca="true" t="shared" si="184" ref="U836:U843">S836-I836</f>
        <v>-3.45</v>
      </c>
      <c r="V836" s="95">
        <f aca="true" t="shared" si="185" ref="V836:V843">IF(AW836=0,"",K836/AW836-1)</f>
        <v>0.07165404040404044</v>
      </c>
      <c r="W836" s="33"/>
      <c r="Z836" s="33">
        <v>984</v>
      </c>
      <c r="AA836" s="55">
        <v>9</v>
      </c>
      <c r="AC836" s="59">
        <v>39</v>
      </c>
      <c r="AD836" s="58">
        <f aca="true" t="shared" si="186" ref="AD836:AD843">AC836*E836</f>
        <v>38376</v>
      </c>
      <c r="AE836" s="60">
        <f aca="true" t="shared" si="187" ref="AE836:AE863">AC836*G836</f>
        <v>39313.680628159294</v>
      </c>
      <c r="AF836" s="60"/>
      <c r="AG836" s="60"/>
      <c r="AH836" s="60"/>
      <c r="AU836" s="69">
        <v>3.22</v>
      </c>
      <c r="AW836" s="66">
        <f aca="true" t="shared" si="188" ref="AW836:AW843">ROUND(AU836*$E836,0)</f>
        <v>3168</v>
      </c>
      <c r="AX836" s="66" t="s">
        <v>261</v>
      </c>
      <c r="AY836" s="107" t="s">
        <v>301</v>
      </c>
    </row>
    <row r="837" spans="1:51" ht="15.75">
      <c r="A837" s="57">
        <f t="shared" si="166"/>
        <v>835</v>
      </c>
      <c r="B837" s="64" t="s">
        <v>162</v>
      </c>
      <c r="E837" s="17">
        <f t="shared" si="178"/>
        <v>372</v>
      </c>
      <c r="G837" s="17">
        <f t="shared" si="179"/>
        <v>381.0894619990426</v>
      </c>
      <c r="I837" s="69">
        <v>5.21</v>
      </c>
      <c r="K837" s="66">
        <f t="shared" si="180"/>
        <v>1938</v>
      </c>
      <c r="M837" s="66">
        <f t="shared" si="181"/>
        <v>1985</v>
      </c>
      <c r="O837" s="69">
        <v>5.8</v>
      </c>
      <c r="Q837" s="66">
        <f t="shared" si="182"/>
        <v>2210</v>
      </c>
      <c r="R837" s="69">
        <f>ROUND($I837*(1+$R$824),2)</f>
        <v>5.8</v>
      </c>
      <c r="S837" s="58"/>
      <c r="T837" s="95">
        <f t="shared" si="183"/>
        <v>-1</v>
      </c>
      <c r="U837" s="55">
        <f t="shared" si="184"/>
        <v>-5.21</v>
      </c>
      <c r="V837" s="95">
        <f t="shared" si="185"/>
        <v>0.06953642384105962</v>
      </c>
      <c r="W837" s="33"/>
      <c r="Z837" s="33">
        <v>372</v>
      </c>
      <c r="AA837" s="55">
        <v>11</v>
      </c>
      <c r="AC837" s="59">
        <v>69</v>
      </c>
      <c r="AD837" s="58">
        <f t="shared" si="186"/>
        <v>25668</v>
      </c>
      <c r="AE837" s="60">
        <f t="shared" si="187"/>
        <v>26295.17287793394</v>
      </c>
      <c r="AF837" s="60"/>
      <c r="AG837" s="60"/>
      <c r="AH837" s="60"/>
      <c r="AU837" s="69">
        <v>4.87</v>
      </c>
      <c r="AW837" s="66">
        <f t="shared" si="188"/>
        <v>1812</v>
      </c>
      <c r="AX837" s="66" t="s">
        <v>261</v>
      </c>
      <c r="AY837" s="107" t="s">
        <v>301</v>
      </c>
    </row>
    <row r="838" spans="1:51" ht="15.75">
      <c r="A838" s="57">
        <f t="shared" si="166"/>
        <v>836</v>
      </c>
      <c r="B838" s="64" t="s">
        <v>273</v>
      </c>
      <c r="E838" s="17">
        <f t="shared" si="178"/>
        <v>144</v>
      </c>
      <c r="G838" s="17">
        <f t="shared" si="179"/>
        <v>147.51850141898424</v>
      </c>
      <c r="I838" s="69">
        <v>6.75</v>
      </c>
      <c r="K838" s="66">
        <f t="shared" si="180"/>
        <v>972</v>
      </c>
      <c r="M838" s="66">
        <f t="shared" si="181"/>
        <v>996</v>
      </c>
      <c r="O838" s="69">
        <v>7.52</v>
      </c>
      <c r="Q838" s="66">
        <f t="shared" si="182"/>
        <v>1109</v>
      </c>
      <c r="R838" s="69">
        <f>ROUND($I838*(1+$R$824),2)</f>
        <v>7.52</v>
      </c>
      <c r="S838" s="58"/>
      <c r="T838" s="95">
        <f t="shared" si="183"/>
        <v>-1</v>
      </c>
      <c r="U838" s="55">
        <f t="shared" si="184"/>
        <v>-6.75</v>
      </c>
      <c r="V838" s="95">
        <f t="shared" si="185"/>
        <v>0.06930693069306937</v>
      </c>
      <c r="W838" s="33"/>
      <c r="Z838" s="33">
        <v>144</v>
      </c>
      <c r="AA838" s="55">
        <v>13</v>
      </c>
      <c r="AC838" s="59">
        <v>93</v>
      </c>
      <c r="AD838" s="58">
        <f t="shared" si="186"/>
        <v>13392</v>
      </c>
      <c r="AE838" s="60">
        <f t="shared" si="187"/>
        <v>13719.220631965534</v>
      </c>
      <c r="AF838" s="60"/>
      <c r="AG838" s="60"/>
      <c r="AH838" s="60"/>
      <c r="AU838" s="69">
        <v>6.31</v>
      </c>
      <c r="AW838" s="66">
        <f t="shared" si="188"/>
        <v>909</v>
      </c>
      <c r="AX838" s="66" t="s">
        <v>261</v>
      </c>
      <c r="AY838" s="107" t="s">
        <v>301</v>
      </c>
    </row>
    <row r="839" spans="1:51" ht="15.75">
      <c r="A839" s="57">
        <f t="shared" si="166"/>
        <v>837</v>
      </c>
      <c r="B839" s="64" t="s">
        <v>312</v>
      </c>
      <c r="E839" s="17">
        <f t="shared" si="178"/>
        <v>0</v>
      </c>
      <c r="G839" s="17">
        <f t="shared" si="179"/>
        <v>0</v>
      </c>
      <c r="I839" s="24">
        <f>ROUND(I838*0.85,2)</f>
        <v>5.74</v>
      </c>
      <c r="K839" s="66">
        <f t="shared" si="180"/>
        <v>0</v>
      </c>
      <c r="M839" s="66">
        <f t="shared" si="181"/>
        <v>0</v>
      </c>
      <c r="O839" s="24">
        <v>6.39</v>
      </c>
      <c r="Q839" s="66">
        <f t="shared" si="182"/>
        <v>0</v>
      </c>
      <c r="R839" s="24">
        <f>ROUND(R838*0.85,2)</f>
        <v>6.39</v>
      </c>
      <c r="S839" s="58"/>
      <c r="T839" s="95">
        <f t="shared" si="183"/>
        <v>-1</v>
      </c>
      <c r="U839" s="55">
        <f t="shared" si="184"/>
        <v>-5.74</v>
      </c>
      <c r="V839" s="95">
        <f t="shared" si="185"/>
      </c>
      <c r="W839" s="33"/>
      <c r="Z839" s="33">
        <v>0</v>
      </c>
      <c r="AA839" s="55">
        <v>14</v>
      </c>
      <c r="AC839" s="59">
        <v>60</v>
      </c>
      <c r="AD839" s="58">
        <f t="shared" si="186"/>
        <v>0</v>
      </c>
      <c r="AE839" s="60">
        <f t="shared" si="187"/>
        <v>0</v>
      </c>
      <c r="AF839" s="60"/>
      <c r="AG839" s="60"/>
      <c r="AH839" s="60"/>
      <c r="AU839" s="24">
        <f>ROUND(AU838*0.85,2)</f>
        <v>5.36</v>
      </c>
      <c r="AW839" s="66">
        <f t="shared" si="188"/>
        <v>0</v>
      </c>
      <c r="AX839" s="66" t="s">
        <v>261</v>
      </c>
      <c r="AY839" s="107" t="s">
        <v>301</v>
      </c>
    </row>
    <row r="840" spans="1:51" ht="15.75">
      <c r="A840" s="57">
        <f t="shared" si="166"/>
        <v>838</v>
      </c>
      <c r="B840" s="64" t="s">
        <v>164</v>
      </c>
      <c r="E840" s="17">
        <f t="shared" si="178"/>
        <v>1788</v>
      </c>
      <c r="G840" s="17">
        <f t="shared" si="179"/>
        <v>1831.6880592857208</v>
      </c>
      <c r="I840" s="69">
        <v>9.91</v>
      </c>
      <c r="K840" s="66">
        <f t="shared" si="180"/>
        <v>17719</v>
      </c>
      <c r="M840" s="66">
        <f t="shared" si="181"/>
        <v>18152</v>
      </c>
      <c r="O840" s="69">
        <v>11.04</v>
      </c>
      <c r="Q840" s="66">
        <f t="shared" si="182"/>
        <v>20222</v>
      </c>
      <c r="R840" s="69">
        <f>ROUND($I840*(1+$R$824),2)</f>
        <v>11.04</v>
      </c>
      <c r="S840" s="58"/>
      <c r="T840" s="95">
        <f t="shared" si="183"/>
        <v>-1</v>
      </c>
      <c r="U840" s="55">
        <f t="shared" si="184"/>
        <v>-9.91</v>
      </c>
      <c r="V840" s="95">
        <f t="shared" si="185"/>
        <v>0.0701817962191218</v>
      </c>
      <c r="W840" s="33"/>
      <c r="Z840" s="33">
        <v>1788</v>
      </c>
      <c r="AA840" s="55">
        <v>15</v>
      </c>
      <c r="AC840" s="59">
        <v>145</v>
      </c>
      <c r="AD840" s="58">
        <f t="shared" si="186"/>
        <v>259260</v>
      </c>
      <c r="AE840" s="60">
        <f t="shared" si="187"/>
        <v>265594.7685964295</v>
      </c>
      <c r="AF840" s="60"/>
      <c r="AG840" s="60"/>
      <c r="AH840" s="60"/>
      <c r="AU840" s="69">
        <v>9.26</v>
      </c>
      <c r="AW840" s="66">
        <f t="shared" si="188"/>
        <v>16557</v>
      </c>
      <c r="AX840" s="66" t="s">
        <v>261</v>
      </c>
      <c r="AY840" s="107" t="s">
        <v>301</v>
      </c>
    </row>
    <row r="841" spans="1:51" ht="15.75">
      <c r="A841" s="57">
        <f t="shared" si="166"/>
        <v>839</v>
      </c>
      <c r="B841" s="64" t="s">
        <v>313</v>
      </c>
      <c r="E841" s="17">
        <f t="shared" si="178"/>
        <v>0</v>
      </c>
      <c r="G841" s="17">
        <f t="shared" si="179"/>
        <v>0</v>
      </c>
      <c r="I841" s="69">
        <v>17.11</v>
      </c>
      <c r="K841" s="66">
        <f t="shared" si="180"/>
        <v>0</v>
      </c>
      <c r="M841" s="66">
        <f t="shared" si="181"/>
        <v>0</v>
      </c>
      <c r="O841" s="69">
        <v>19.06</v>
      </c>
      <c r="Q841" s="66">
        <f t="shared" si="182"/>
        <v>0</v>
      </c>
      <c r="R841" s="69">
        <f>ROUND($I841*(1+$R$824),2)</f>
        <v>19.06</v>
      </c>
      <c r="S841" s="58"/>
      <c r="T841" s="95">
        <f t="shared" si="183"/>
        <v>-1</v>
      </c>
      <c r="U841" s="55">
        <f t="shared" si="184"/>
        <v>-17.11</v>
      </c>
      <c r="V841" s="95">
        <f t="shared" si="185"/>
      </c>
      <c r="W841" s="33"/>
      <c r="Z841" s="33">
        <v>0</v>
      </c>
      <c r="AA841" s="55">
        <v>17</v>
      </c>
      <c r="AC841" s="59">
        <v>248</v>
      </c>
      <c r="AD841" s="58">
        <f t="shared" si="186"/>
        <v>0</v>
      </c>
      <c r="AE841" s="60">
        <f t="shared" si="187"/>
        <v>0</v>
      </c>
      <c r="AF841" s="60"/>
      <c r="AG841" s="60"/>
      <c r="AH841" s="60"/>
      <c r="AU841" s="69">
        <v>15.99</v>
      </c>
      <c r="AW841" s="66">
        <f t="shared" si="188"/>
        <v>0</v>
      </c>
      <c r="AX841" s="66" t="s">
        <v>261</v>
      </c>
      <c r="AY841" s="107" t="s">
        <v>301</v>
      </c>
    </row>
    <row r="842" spans="1:51" ht="15.75">
      <c r="A842" s="57">
        <f t="shared" si="166"/>
        <v>840</v>
      </c>
      <c r="B842" s="64" t="s">
        <v>314</v>
      </c>
      <c r="E842" s="17">
        <f t="shared" si="178"/>
        <v>0</v>
      </c>
      <c r="G842" s="17">
        <f t="shared" si="179"/>
        <v>0</v>
      </c>
      <c r="I842" s="69">
        <v>21.1</v>
      </c>
      <c r="K842" s="66">
        <f t="shared" si="180"/>
        <v>0</v>
      </c>
      <c r="M842" s="66">
        <f t="shared" si="181"/>
        <v>0</v>
      </c>
      <c r="O842" s="69">
        <v>23.5</v>
      </c>
      <c r="Q842" s="66">
        <f t="shared" si="182"/>
        <v>0</v>
      </c>
      <c r="R842" s="69">
        <f>ROUND($I842*(1+$R$824),2)</f>
        <v>23.5</v>
      </c>
      <c r="S842" s="58"/>
      <c r="T842" s="95">
        <f t="shared" si="183"/>
        <v>-1</v>
      </c>
      <c r="U842" s="55">
        <f t="shared" si="184"/>
        <v>-21.1</v>
      </c>
      <c r="V842" s="95">
        <f t="shared" si="185"/>
      </c>
      <c r="W842" s="33"/>
      <c r="Z842" s="33">
        <v>0</v>
      </c>
      <c r="AA842" s="55">
        <v>19</v>
      </c>
      <c r="AC842" s="59">
        <v>352</v>
      </c>
      <c r="AD842" s="58">
        <f t="shared" si="186"/>
        <v>0</v>
      </c>
      <c r="AE842" s="60">
        <f t="shared" si="187"/>
        <v>0</v>
      </c>
      <c r="AF842" s="60"/>
      <c r="AG842" s="60"/>
      <c r="AH842" s="60"/>
      <c r="AU842" s="69">
        <v>19.72</v>
      </c>
      <c r="AW842" s="66">
        <f t="shared" si="188"/>
        <v>0</v>
      </c>
      <c r="AX842" s="66" t="s">
        <v>261</v>
      </c>
      <c r="AY842" s="107" t="s">
        <v>301</v>
      </c>
    </row>
    <row r="843" spans="1:51" ht="15.75">
      <c r="A843" s="57">
        <f t="shared" si="166"/>
        <v>841</v>
      </c>
      <c r="B843" s="64" t="s">
        <v>315</v>
      </c>
      <c r="E843" s="22">
        <f t="shared" si="178"/>
        <v>0</v>
      </c>
      <c r="G843" s="22">
        <f t="shared" si="179"/>
        <v>0</v>
      </c>
      <c r="I843" s="40">
        <f>ROUND(I842*0.85,2)</f>
        <v>17.94</v>
      </c>
      <c r="J843" s="125"/>
      <c r="K843" s="81">
        <f t="shared" si="180"/>
        <v>0</v>
      </c>
      <c r="M843" s="81">
        <f t="shared" si="181"/>
        <v>0</v>
      </c>
      <c r="O843" s="40">
        <v>19.98</v>
      </c>
      <c r="P843" s="125"/>
      <c r="Q843" s="81">
        <f t="shared" si="182"/>
        <v>0</v>
      </c>
      <c r="R843" s="40">
        <f>ROUND(R842*0.85,2)</f>
        <v>19.98</v>
      </c>
      <c r="S843" s="58"/>
      <c r="T843" s="95">
        <f t="shared" si="183"/>
        <v>-1</v>
      </c>
      <c r="U843" s="55">
        <f t="shared" si="184"/>
        <v>-17.94</v>
      </c>
      <c r="V843" s="95">
        <f t="shared" si="185"/>
      </c>
      <c r="W843" s="33"/>
      <c r="Z843" s="33">
        <v>0</v>
      </c>
      <c r="AA843" s="55">
        <v>20</v>
      </c>
      <c r="AC843" s="59">
        <v>229</v>
      </c>
      <c r="AD843" s="58">
        <f t="shared" si="186"/>
        <v>0</v>
      </c>
      <c r="AE843" s="60">
        <f t="shared" si="187"/>
        <v>0</v>
      </c>
      <c r="AF843" s="60"/>
      <c r="AG843" s="60"/>
      <c r="AH843" s="60"/>
      <c r="AU843" s="40">
        <f>ROUND(AU842*0.85,2)</f>
        <v>16.76</v>
      </c>
      <c r="AV843" s="125"/>
      <c r="AW843" s="81">
        <f t="shared" si="188"/>
        <v>0</v>
      </c>
      <c r="AX843" s="66" t="s">
        <v>261</v>
      </c>
      <c r="AY843" s="107" t="s">
        <v>301</v>
      </c>
    </row>
    <row r="844" spans="1:51" ht="15.75">
      <c r="A844" s="57">
        <f t="shared" si="166"/>
        <v>842</v>
      </c>
      <c r="B844" s="64" t="s">
        <v>277</v>
      </c>
      <c r="E844" s="17"/>
      <c r="G844" s="17"/>
      <c r="I844" s="69"/>
      <c r="K844" s="66"/>
      <c r="M844" s="66"/>
      <c r="O844" s="69"/>
      <c r="Q844" s="66"/>
      <c r="R844" s="69"/>
      <c r="S844" s="58"/>
      <c r="T844" s="95"/>
      <c r="V844" s="95"/>
      <c r="W844" s="33"/>
      <c r="Z844" s="33"/>
      <c r="AC844" s="58"/>
      <c r="AD844" s="58"/>
      <c r="AE844" s="60">
        <f t="shared" si="187"/>
        <v>0</v>
      </c>
      <c r="AF844" s="60"/>
      <c r="AG844" s="60"/>
      <c r="AH844" s="60"/>
      <c r="AU844" s="69"/>
      <c r="AW844" s="66"/>
      <c r="AX844" s="66" t="s">
        <v>261</v>
      </c>
      <c r="AY844" s="107" t="s">
        <v>301</v>
      </c>
    </row>
    <row r="845" spans="1:51" ht="15.75">
      <c r="A845" s="57">
        <f t="shared" si="166"/>
        <v>843</v>
      </c>
      <c r="B845" s="64" t="s">
        <v>271</v>
      </c>
      <c r="E845" s="17">
        <f aca="true" t="shared" si="189" ref="E845:E857">Z845</f>
        <v>0</v>
      </c>
      <c r="G845" s="17">
        <f aca="true" t="shared" si="190" ref="G845:G857">E845*$G$926/$E$926</f>
        <v>0</v>
      </c>
      <c r="I845" s="69">
        <v>3.01</v>
      </c>
      <c r="K845" s="66">
        <f aca="true" t="shared" si="191" ref="K845:K857">ROUND(I845*$E845,0)</f>
        <v>0</v>
      </c>
      <c r="M845" s="66">
        <f aca="true" t="shared" si="192" ref="M845:M857">ROUND(I845*$G845,0)</f>
        <v>0</v>
      </c>
      <c r="O845" s="69">
        <v>3.35</v>
      </c>
      <c r="Q845" s="66">
        <f aca="true" t="shared" si="193" ref="Q845:Q857">ROUND(O845*$G845,0)</f>
        <v>0</v>
      </c>
      <c r="R845" s="69">
        <f>ROUND($I845*(1+$R$824),2)</f>
        <v>3.35</v>
      </c>
      <c r="S845" s="58"/>
      <c r="T845" s="95">
        <f aca="true" t="shared" si="194" ref="T845:T857">S845/AU845-1</f>
        <v>-1</v>
      </c>
      <c r="U845" s="55">
        <f aca="true" t="shared" si="195" ref="U845:U857">S845-I845</f>
        <v>-3.01</v>
      </c>
      <c r="V845" s="95">
        <f aca="true" t="shared" si="196" ref="V845:V857">IF(AW845=0,"",K845/AW845-1)</f>
      </c>
      <c r="W845" s="33"/>
      <c r="Z845" s="33">
        <v>0</v>
      </c>
      <c r="AA845" s="55">
        <v>21</v>
      </c>
      <c r="AC845" s="59">
        <v>20</v>
      </c>
      <c r="AD845" s="58">
        <f aca="true" t="shared" si="197" ref="AD845:AD857">AC845*E845</f>
        <v>0</v>
      </c>
      <c r="AE845" s="60">
        <f t="shared" si="187"/>
        <v>0</v>
      </c>
      <c r="AF845" s="60"/>
      <c r="AG845" s="60"/>
      <c r="AH845" s="60"/>
      <c r="AU845" s="69">
        <v>2.81</v>
      </c>
      <c r="AW845" s="66">
        <f aca="true" t="shared" si="198" ref="AW845:AW857">ROUND(AU845*$E845,0)</f>
        <v>0</v>
      </c>
      <c r="AX845" s="66" t="s">
        <v>261</v>
      </c>
      <c r="AY845" s="107" t="s">
        <v>301</v>
      </c>
    </row>
    <row r="846" spans="1:51" ht="15.75">
      <c r="A846" s="57">
        <f t="shared" si="166"/>
        <v>844</v>
      </c>
      <c r="B846" s="64" t="s">
        <v>278</v>
      </c>
      <c r="E846" s="17">
        <f t="shared" si="189"/>
        <v>53521.74</v>
      </c>
      <c r="G846" s="17">
        <f t="shared" si="190"/>
        <v>54829.492209281285</v>
      </c>
      <c r="I846" s="69">
        <v>3.03</v>
      </c>
      <c r="K846" s="66">
        <f t="shared" si="191"/>
        <v>162171</v>
      </c>
      <c r="M846" s="66">
        <f t="shared" si="192"/>
        <v>166133</v>
      </c>
      <c r="O846" s="69">
        <v>3.38</v>
      </c>
      <c r="Q846" s="66">
        <f t="shared" si="193"/>
        <v>185324</v>
      </c>
      <c r="R846" s="69">
        <f>ROUND($I846*(1+$R$824),2)</f>
        <v>3.38</v>
      </c>
      <c r="S846" s="58"/>
      <c r="T846" s="95">
        <f t="shared" si="194"/>
        <v>-1</v>
      </c>
      <c r="U846" s="55">
        <f t="shared" si="195"/>
        <v>-3.03</v>
      </c>
      <c r="V846" s="95">
        <f t="shared" si="196"/>
        <v>0.07066885856325134</v>
      </c>
      <c r="W846" s="33"/>
      <c r="Z846" s="33">
        <v>53521.74</v>
      </c>
      <c r="AA846" s="55">
        <v>22</v>
      </c>
      <c r="AC846" s="59">
        <v>28</v>
      </c>
      <c r="AD846" s="58">
        <f t="shared" si="197"/>
        <v>1498608.72</v>
      </c>
      <c r="AE846" s="60">
        <f t="shared" si="187"/>
        <v>1535225.781859876</v>
      </c>
      <c r="AF846" s="60"/>
      <c r="AG846" s="60"/>
      <c r="AH846" s="60"/>
      <c r="AU846" s="69">
        <v>2.83</v>
      </c>
      <c r="AW846" s="66">
        <f t="shared" si="198"/>
        <v>151467</v>
      </c>
      <c r="AX846" s="66" t="s">
        <v>261</v>
      </c>
      <c r="AY846" s="107" t="s">
        <v>301</v>
      </c>
    </row>
    <row r="847" spans="1:51" ht="15.75">
      <c r="A847" s="57">
        <f t="shared" si="166"/>
        <v>845</v>
      </c>
      <c r="B847" s="64" t="s">
        <v>316</v>
      </c>
      <c r="E847" s="17">
        <f t="shared" si="189"/>
        <v>0</v>
      </c>
      <c r="G847" s="17">
        <f t="shared" si="190"/>
        <v>0</v>
      </c>
      <c r="I847" s="24">
        <f>ROUND(I846*0.85,2)</f>
        <v>2.58</v>
      </c>
      <c r="K847" s="66">
        <f t="shared" si="191"/>
        <v>0</v>
      </c>
      <c r="M847" s="66">
        <f t="shared" si="192"/>
        <v>0</v>
      </c>
      <c r="O847" s="24">
        <v>2.87</v>
      </c>
      <c r="Q847" s="66">
        <f t="shared" si="193"/>
        <v>0</v>
      </c>
      <c r="R847" s="24">
        <f>ROUND(R846*0.85,2)</f>
        <v>2.87</v>
      </c>
      <c r="S847" s="58"/>
      <c r="T847" s="95">
        <f t="shared" si="194"/>
        <v>-1</v>
      </c>
      <c r="U847" s="55">
        <f t="shared" si="195"/>
        <v>-2.58</v>
      </c>
      <c r="V847" s="95">
        <f t="shared" si="196"/>
      </c>
      <c r="W847" s="33"/>
      <c r="Z847" s="33">
        <v>0</v>
      </c>
      <c r="AA847" s="55">
        <v>23</v>
      </c>
      <c r="AC847" s="59">
        <v>28</v>
      </c>
      <c r="AD847" s="58">
        <f t="shared" si="197"/>
        <v>0</v>
      </c>
      <c r="AE847" s="60">
        <f t="shared" si="187"/>
        <v>0</v>
      </c>
      <c r="AF847" s="60"/>
      <c r="AG847" s="60"/>
      <c r="AH847" s="60"/>
      <c r="AU847" s="24">
        <f>ROUND(AU846*0.85,2)</f>
        <v>2.41</v>
      </c>
      <c r="AW847" s="66">
        <f t="shared" si="198"/>
        <v>0</v>
      </c>
      <c r="AX847" s="66" t="s">
        <v>261</v>
      </c>
      <c r="AY847" s="107" t="s">
        <v>301</v>
      </c>
    </row>
    <row r="848" spans="1:51" ht="15.75">
      <c r="A848" s="57">
        <f t="shared" si="166"/>
        <v>846</v>
      </c>
      <c r="B848" s="64" t="s">
        <v>280</v>
      </c>
      <c r="E848" s="17">
        <f t="shared" si="189"/>
        <v>15330.43</v>
      </c>
      <c r="G848" s="17">
        <f t="shared" si="190"/>
        <v>15705.01430353221</v>
      </c>
      <c r="I848" s="69">
        <v>3.99</v>
      </c>
      <c r="K848" s="66">
        <f t="shared" si="191"/>
        <v>61168</v>
      </c>
      <c r="M848" s="66">
        <f t="shared" si="192"/>
        <v>62663</v>
      </c>
      <c r="O848" s="69">
        <v>4.44</v>
      </c>
      <c r="Q848" s="66">
        <f t="shared" si="193"/>
        <v>69730</v>
      </c>
      <c r="R848" s="69">
        <f>ROUND($I848*(1+$R$824),2)</f>
        <v>4.44</v>
      </c>
      <c r="S848" s="58"/>
      <c r="T848" s="95">
        <f t="shared" si="194"/>
        <v>-1</v>
      </c>
      <c r="U848" s="55">
        <f t="shared" si="195"/>
        <v>-3.99</v>
      </c>
      <c r="V848" s="95">
        <f t="shared" si="196"/>
        <v>0.06968854379798195</v>
      </c>
      <c r="W848" s="33"/>
      <c r="Z848" s="33">
        <v>15330.43</v>
      </c>
      <c r="AA848" s="55">
        <v>25</v>
      </c>
      <c r="AC848" s="59">
        <v>39</v>
      </c>
      <c r="AD848" s="58">
        <f t="shared" si="197"/>
        <v>597886.77</v>
      </c>
      <c r="AE848" s="60">
        <f t="shared" si="187"/>
        <v>612495.5578377562</v>
      </c>
      <c r="AF848" s="60"/>
      <c r="AG848" s="60"/>
      <c r="AH848" s="60"/>
      <c r="AU848" s="69">
        <v>3.73</v>
      </c>
      <c r="AW848" s="66">
        <f t="shared" si="198"/>
        <v>57183</v>
      </c>
      <c r="AX848" s="66" t="s">
        <v>261</v>
      </c>
      <c r="AY848" s="107" t="s">
        <v>301</v>
      </c>
    </row>
    <row r="849" spans="1:51" ht="15.75">
      <c r="A849" s="57">
        <f t="shared" si="166"/>
        <v>847</v>
      </c>
      <c r="B849" s="64" t="s">
        <v>317</v>
      </c>
      <c r="E849" s="17">
        <f t="shared" si="189"/>
        <v>192</v>
      </c>
      <c r="G849" s="17">
        <f t="shared" si="190"/>
        <v>196.69133522531232</v>
      </c>
      <c r="I849" s="24">
        <f>ROUND(I848*0.85,2)</f>
        <v>3.39</v>
      </c>
      <c r="K849" s="66">
        <f t="shared" si="191"/>
        <v>651</v>
      </c>
      <c r="M849" s="66">
        <f t="shared" si="192"/>
        <v>667</v>
      </c>
      <c r="O849" s="24">
        <v>3.77</v>
      </c>
      <c r="Q849" s="66">
        <f t="shared" si="193"/>
        <v>742</v>
      </c>
      <c r="R849" s="24">
        <f>ROUND(R848*0.85,2)</f>
        <v>3.77</v>
      </c>
      <c r="S849" s="58"/>
      <c r="T849" s="95">
        <f t="shared" si="194"/>
        <v>-1</v>
      </c>
      <c r="U849" s="55">
        <f t="shared" si="195"/>
        <v>-3.39</v>
      </c>
      <c r="V849" s="95">
        <f t="shared" si="196"/>
        <v>0.06896551724137923</v>
      </c>
      <c r="W849" s="33"/>
      <c r="Z849" s="33">
        <v>192</v>
      </c>
      <c r="AA849" s="55">
        <v>26</v>
      </c>
      <c r="AC849" s="59">
        <v>39</v>
      </c>
      <c r="AD849" s="58">
        <f t="shared" si="197"/>
        <v>7488</v>
      </c>
      <c r="AE849" s="60">
        <f t="shared" si="187"/>
        <v>7670.96207378718</v>
      </c>
      <c r="AF849" s="60"/>
      <c r="AG849" s="60"/>
      <c r="AH849" s="60"/>
      <c r="AU849" s="24">
        <f>ROUND(AU848*0.85,2)</f>
        <v>3.17</v>
      </c>
      <c r="AW849" s="66">
        <f t="shared" si="198"/>
        <v>609</v>
      </c>
      <c r="AX849" s="66" t="s">
        <v>261</v>
      </c>
      <c r="AY849" s="107" t="s">
        <v>301</v>
      </c>
    </row>
    <row r="850" spans="1:51" ht="15.75">
      <c r="A850" s="57">
        <f t="shared" si="166"/>
        <v>848</v>
      </c>
      <c r="B850" s="64" t="s">
        <v>282</v>
      </c>
      <c r="E850" s="17">
        <f t="shared" si="189"/>
        <v>19149.84</v>
      </c>
      <c r="G850" s="17">
        <f t="shared" si="190"/>
        <v>19617.74791120362</v>
      </c>
      <c r="I850" s="69">
        <v>4.85</v>
      </c>
      <c r="K850" s="66">
        <f t="shared" si="191"/>
        <v>92877</v>
      </c>
      <c r="M850" s="66">
        <f t="shared" si="192"/>
        <v>95146</v>
      </c>
      <c r="O850" s="69">
        <v>5.4</v>
      </c>
      <c r="Q850" s="66">
        <f t="shared" si="193"/>
        <v>105936</v>
      </c>
      <c r="R850" s="69">
        <f>ROUND($I850*(1+$R$824),2)</f>
        <v>5.4</v>
      </c>
      <c r="S850" s="58"/>
      <c r="T850" s="95">
        <f t="shared" si="194"/>
        <v>-1</v>
      </c>
      <c r="U850" s="55">
        <f t="shared" si="195"/>
        <v>-4.85</v>
      </c>
      <c r="V850" s="95">
        <f t="shared" si="196"/>
        <v>0.07064058375312676</v>
      </c>
      <c r="W850" s="33"/>
      <c r="Z850" s="33">
        <v>19149.84</v>
      </c>
      <c r="AA850" s="55">
        <v>27</v>
      </c>
      <c r="AC850" s="59">
        <v>59</v>
      </c>
      <c r="AD850" s="58">
        <f t="shared" si="197"/>
        <v>1129840.56</v>
      </c>
      <c r="AE850" s="60">
        <f t="shared" si="187"/>
        <v>1157447.1267610136</v>
      </c>
      <c r="AF850" s="60"/>
      <c r="AG850" s="60"/>
      <c r="AH850" s="60"/>
      <c r="AU850" s="69">
        <v>4.53</v>
      </c>
      <c r="AW850" s="66">
        <f t="shared" si="198"/>
        <v>86749</v>
      </c>
      <c r="AX850" s="66" t="s">
        <v>261</v>
      </c>
      <c r="AY850" s="107" t="s">
        <v>301</v>
      </c>
    </row>
    <row r="851" spans="1:51" ht="15.75">
      <c r="A851" s="57">
        <f t="shared" si="166"/>
        <v>849</v>
      </c>
      <c r="B851" s="64" t="s">
        <v>318</v>
      </c>
      <c r="E851" s="17">
        <f t="shared" si="189"/>
        <v>12</v>
      </c>
      <c r="G851" s="17">
        <f t="shared" si="190"/>
        <v>12.29320845158202</v>
      </c>
      <c r="I851" s="24">
        <f>ROUND(I850*0.85,2)</f>
        <v>4.12</v>
      </c>
      <c r="K851" s="66">
        <f t="shared" si="191"/>
        <v>49</v>
      </c>
      <c r="M851" s="66">
        <f t="shared" si="192"/>
        <v>51</v>
      </c>
      <c r="O851" s="24">
        <v>4.59</v>
      </c>
      <c r="Q851" s="66">
        <f t="shared" si="193"/>
        <v>56</v>
      </c>
      <c r="R851" s="24">
        <f>ROUND(R850*0.85,2)</f>
        <v>4.59</v>
      </c>
      <c r="S851" s="58"/>
      <c r="T851" s="95">
        <f t="shared" si="194"/>
        <v>-1</v>
      </c>
      <c r="U851" s="55">
        <f t="shared" si="195"/>
        <v>-4.12</v>
      </c>
      <c r="V851" s="95">
        <f t="shared" si="196"/>
        <v>0.0652173913043479</v>
      </c>
      <c r="W851" s="33"/>
      <c r="Z851" s="33">
        <v>12</v>
      </c>
      <c r="AA851" s="55">
        <v>28</v>
      </c>
      <c r="AC851" s="59">
        <v>38</v>
      </c>
      <c r="AD851" s="58">
        <f t="shared" si="197"/>
        <v>456</v>
      </c>
      <c r="AE851" s="60">
        <f t="shared" si="187"/>
        <v>467.14192116011674</v>
      </c>
      <c r="AF851" s="60"/>
      <c r="AG851" s="60"/>
      <c r="AH851" s="60"/>
      <c r="AU851" s="24">
        <f>ROUND(AU850*0.85,2)</f>
        <v>3.85</v>
      </c>
      <c r="AW851" s="66">
        <f t="shared" si="198"/>
        <v>46</v>
      </c>
      <c r="AX851" s="66" t="s">
        <v>261</v>
      </c>
      <c r="AY851" s="107" t="s">
        <v>301</v>
      </c>
    </row>
    <row r="852" spans="1:51" ht="15.75">
      <c r="A852" s="57">
        <f t="shared" si="166"/>
        <v>850</v>
      </c>
      <c r="B852" s="64" t="s">
        <v>319</v>
      </c>
      <c r="E852" s="17">
        <f t="shared" si="189"/>
        <v>36</v>
      </c>
      <c r="G852" s="17">
        <f t="shared" si="190"/>
        <v>36.87962535474606</v>
      </c>
      <c r="I852" s="69">
        <v>6.14</v>
      </c>
      <c r="K852" s="66">
        <f t="shared" si="191"/>
        <v>221</v>
      </c>
      <c r="M852" s="66">
        <f t="shared" si="192"/>
        <v>226</v>
      </c>
      <c r="O852" s="69">
        <v>6.84</v>
      </c>
      <c r="Q852" s="66">
        <f t="shared" si="193"/>
        <v>252</v>
      </c>
      <c r="R852" s="69">
        <f>ROUND($I852*(1+$R$824),2)</f>
        <v>6.84</v>
      </c>
      <c r="S852" s="58"/>
      <c r="T852" s="95">
        <f t="shared" si="194"/>
        <v>-1</v>
      </c>
      <c r="U852" s="55">
        <f t="shared" si="195"/>
        <v>-6.14</v>
      </c>
      <c r="V852" s="95">
        <f t="shared" si="196"/>
        <v>0.06763285024154597</v>
      </c>
      <c r="W852" s="33"/>
      <c r="Z852" s="33">
        <v>36</v>
      </c>
      <c r="AA852" s="55">
        <v>29</v>
      </c>
      <c r="AC852" s="59">
        <v>76</v>
      </c>
      <c r="AD852" s="58">
        <f t="shared" si="197"/>
        <v>2736</v>
      </c>
      <c r="AE852" s="60">
        <f t="shared" si="187"/>
        <v>2802.8515269607005</v>
      </c>
      <c r="AF852" s="60"/>
      <c r="AG852" s="60"/>
      <c r="AH852" s="60"/>
      <c r="AU852" s="69">
        <v>5.74</v>
      </c>
      <c r="AW852" s="66">
        <f t="shared" si="198"/>
        <v>207</v>
      </c>
      <c r="AX852" s="66" t="s">
        <v>261</v>
      </c>
      <c r="AY852" s="107" t="s">
        <v>301</v>
      </c>
    </row>
    <row r="853" spans="1:51" ht="15.75">
      <c r="A853" s="57">
        <f t="shared" si="166"/>
        <v>851</v>
      </c>
      <c r="B853" s="64" t="s">
        <v>284</v>
      </c>
      <c r="E853" s="17">
        <f t="shared" si="189"/>
        <v>14109.86</v>
      </c>
      <c r="G853" s="17">
        <f t="shared" si="190"/>
        <v>14454.620850219922</v>
      </c>
      <c r="I853" s="69">
        <v>7.13</v>
      </c>
      <c r="K853" s="66">
        <f t="shared" si="191"/>
        <v>100603</v>
      </c>
      <c r="M853" s="66">
        <f t="shared" si="192"/>
        <v>103061</v>
      </c>
      <c r="O853" s="69">
        <v>7.94</v>
      </c>
      <c r="Q853" s="66">
        <f t="shared" si="193"/>
        <v>114770</v>
      </c>
      <c r="R853" s="69">
        <f>ROUND($I853*(1+$R$824),2)</f>
        <v>7.94</v>
      </c>
      <c r="S853" s="58"/>
      <c r="T853" s="95">
        <f t="shared" si="194"/>
        <v>-1</v>
      </c>
      <c r="U853" s="55">
        <f t="shared" si="195"/>
        <v>-7.13</v>
      </c>
      <c r="V853" s="95">
        <f t="shared" si="196"/>
        <v>0.0705635721278679</v>
      </c>
      <c r="W853" s="33"/>
      <c r="Z853" s="33">
        <v>14109.86</v>
      </c>
      <c r="AA853" s="55">
        <v>31</v>
      </c>
      <c r="AC853" s="59">
        <v>96</v>
      </c>
      <c r="AD853" s="58">
        <f t="shared" si="197"/>
        <v>1354546.56</v>
      </c>
      <c r="AE853" s="60">
        <f t="shared" si="187"/>
        <v>1387643.6016211126</v>
      </c>
      <c r="AF853" s="60"/>
      <c r="AG853" s="60"/>
      <c r="AH853" s="60"/>
      <c r="AU853" s="69">
        <v>6.66</v>
      </c>
      <c r="AW853" s="66">
        <f t="shared" si="198"/>
        <v>93972</v>
      </c>
      <c r="AX853" s="66" t="s">
        <v>261</v>
      </c>
      <c r="AY853" s="107" t="s">
        <v>301</v>
      </c>
    </row>
    <row r="854" spans="1:51" ht="15.75">
      <c r="A854" s="57">
        <f t="shared" si="166"/>
        <v>852</v>
      </c>
      <c r="B854" s="64" t="s">
        <v>320</v>
      </c>
      <c r="E854" s="17">
        <f t="shared" si="189"/>
        <v>60</v>
      </c>
      <c r="G854" s="17">
        <f t="shared" si="190"/>
        <v>61.4660422579101</v>
      </c>
      <c r="I854" s="24">
        <f>ROUND(I853*0.85,2)</f>
        <v>6.06</v>
      </c>
      <c r="K854" s="66">
        <f t="shared" si="191"/>
        <v>364</v>
      </c>
      <c r="M854" s="66">
        <f t="shared" si="192"/>
        <v>372</v>
      </c>
      <c r="O854" s="24">
        <v>6.75</v>
      </c>
      <c r="Q854" s="66">
        <f t="shared" si="193"/>
        <v>415</v>
      </c>
      <c r="R854" s="24">
        <f>ROUND(R853*0.85,2)</f>
        <v>6.75</v>
      </c>
      <c r="S854" s="58"/>
      <c r="T854" s="95">
        <f t="shared" si="194"/>
        <v>-1</v>
      </c>
      <c r="U854" s="55">
        <f t="shared" si="195"/>
        <v>-6.06</v>
      </c>
      <c r="V854" s="95">
        <f t="shared" si="196"/>
        <v>0.07058823529411762</v>
      </c>
      <c r="W854" s="33"/>
      <c r="Z854" s="33">
        <v>60</v>
      </c>
      <c r="AA854" s="55">
        <v>32</v>
      </c>
      <c r="AC854" s="59">
        <v>62</v>
      </c>
      <c r="AD854" s="58">
        <f t="shared" si="197"/>
        <v>3720</v>
      </c>
      <c r="AE854" s="60">
        <f t="shared" si="187"/>
        <v>3810.894619990426</v>
      </c>
      <c r="AF854" s="60"/>
      <c r="AG854" s="60"/>
      <c r="AH854" s="60"/>
      <c r="AU854" s="24">
        <f>ROUND(AU853*0.85,2)</f>
        <v>5.66</v>
      </c>
      <c r="AW854" s="66">
        <f t="shared" si="198"/>
        <v>340</v>
      </c>
      <c r="AX854" s="66" t="s">
        <v>261</v>
      </c>
      <c r="AY854" s="107" t="s">
        <v>301</v>
      </c>
    </row>
    <row r="855" spans="1:51" ht="15.75">
      <c r="A855" s="57">
        <f t="shared" si="166"/>
        <v>853</v>
      </c>
      <c r="B855" s="64" t="s">
        <v>286</v>
      </c>
      <c r="E855" s="17">
        <f t="shared" si="189"/>
        <v>36414.53</v>
      </c>
      <c r="G855" s="17">
        <f t="shared" si="190"/>
        <v>37304.283996365586</v>
      </c>
      <c r="I855" s="69">
        <v>10.4</v>
      </c>
      <c r="K855" s="66">
        <f t="shared" si="191"/>
        <v>378711</v>
      </c>
      <c r="M855" s="66">
        <f t="shared" si="192"/>
        <v>387965</v>
      </c>
      <c r="O855" s="69">
        <v>11.58</v>
      </c>
      <c r="Q855" s="66">
        <f t="shared" si="193"/>
        <v>431984</v>
      </c>
      <c r="R855" s="69">
        <f>ROUND($I855*(1+$R$824),2)</f>
        <v>11.58</v>
      </c>
      <c r="S855" s="58"/>
      <c r="T855" s="95">
        <f t="shared" si="194"/>
        <v>-1</v>
      </c>
      <c r="U855" s="55">
        <f t="shared" si="195"/>
        <v>-10.4</v>
      </c>
      <c r="V855" s="95">
        <f t="shared" si="196"/>
        <v>0.06995923141469529</v>
      </c>
      <c r="W855" s="33"/>
      <c r="Z855" s="33">
        <v>36414.53</v>
      </c>
      <c r="AA855" s="55">
        <v>33</v>
      </c>
      <c r="AC855" s="59">
        <v>148</v>
      </c>
      <c r="AD855" s="58">
        <f t="shared" si="197"/>
        <v>5389350.4399999995</v>
      </c>
      <c r="AE855" s="60">
        <f t="shared" si="187"/>
        <v>5521034.031462107</v>
      </c>
      <c r="AF855" s="60"/>
      <c r="AG855" s="60"/>
      <c r="AH855" s="60"/>
      <c r="AU855" s="69">
        <v>9.72</v>
      </c>
      <c r="AW855" s="66">
        <f t="shared" si="198"/>
        <v>353949</v>
      </c>
      <c r="AX855" s="66" t="s">
        <v>261</v>
      </c>
      <c r="AY855" s="107" t="s">
        <v>301</v>
      </c>
    </row>
    <row r="856" spans="1:51" s="133" customFormat="1" ht="15.75">
      <c r="A856" s="57">
        <f t="shared" si="166"/>
        <v>854</v>
      </c>
      <c r="B856" s="132" t="s">
        <v>321</v>
      </c>
      <c r="C856" s="63"/>
      <c r="D856" s="63"/>
      <c r="E856" s="23">
        <f t="shared" si="189"/>
        <v>0</v>
      </c>
      <c r="F856" s="63"/>
      <c r="G856" s="23">
        <f t="shared" si="190"/>
        <v>0</v>
      </c>
      <c r="H856" s="63"/>
      <c r="I856" s="41">
        <f>ROUND(I855*0.85,2)</f>
        <v>8.84</v>
      </c>
      <c r="J856" s="63"/>
      <c r="K856" s="77">
        <f t="shared" si="191"/>
        <v>0</v>
      </c>
      <c r="L856" s="63"/>
      <c r="M856" s="77">
        <f t="shared" si="192"/>
        <v>0</v>
      </c>
      <c r="N856" s="63"/>
      <c r="O856" s="41">
        <v>9.84</v>
      </c>
      <c r="P856" s="63"/>
      <c r="Q856" s="77">
        <f t="shared" si="193"/>
        <v>0</v>
      </c>
      <c r="R856" s="41">
        <f>ROUND(R855*0.85,2)</f>
        <v>9.84</v>
      </c>
      <c r="S856" s="63"/>
      <c r="T856" s="95">
        <f t="shared" si="194"/>
        <v>-1</v>
      </c>
      <c r="U856" s="133">
        <f t="shared" si="195"/>
        <v>-8.84</v>
      </c>
      <c r="V856" s="95">
        <f t="shared" si="196"/>
      </c>
      <c r="W856" s="134"/>
      <c r="Z856" s="134">
        <v>0</v>
      </c>
      <c r="AA856" s="133">
        <v>36</v>
      </c>
      <c r="AC856" s="71">
        <v>96</v>
      </c>
      <c r="AD856" s="63">
        <f t="shared" si="197"/>
        <v>0</v>
      </c>
      <c r="AE856" s="60">
        <f t="shared" si="187"/>
        <v>0</v>
      </c>
      <c r="AF856" s="60"/>
      <c r="AG856" s="60"/>
      <c r="AH856" s="60"/>
      <c r="AO856" s="135"/>
      <c r="AP856" s="135"/>
      <c r="AQ856" s="135"/>
      <c r="AR856" s="135"/>
      <c r="AS856" s="135"/>
      <c r="AT856" s="63"/>
      <c r="AU856" s="41">
        <f>ROUND(AU855*0.85,2)</f>
        <v>8.26</v>
      </c>
      <c r="AV856" s="63"/>
      <c r="AW856" s="77">
        <f t="shared" si="198"/>
        <v>0</v>
      </c>
      <c r="AX856" s="66" t="s">
        <v>261</v>
      </c>
      <c r="AY856" s="107" t="s">
        <v>301</v>
      </c>
    </row>
    <row r="857" spans="1:51" ht="15.75">
      <c r="A857" s="57">
        <f t="shared" si="166"/>
        <v>855</v>
      </c>
      <c r="B857" s="64" t="s">
        <v>290</v>
      </c>
      <c r="E857" s="22">
        <f t="shared" si="189"/>
        <v>6248.4</v>
      </c>
      <c r="G857" s="22">
        <f t="shared" si="190"/>
        <v>6401.073640738757</v>
      </c>
      <c r="I857" s="127">
        <v>19.61</v>
      </c>
      <c r="J857" s="125"/>
      <c r="K857" s="81">
        <f t="shared" si="191"/>
        <v>122531</v>
      </c>
      <c r="M857" s="81">
        <f t="shared" si="192"/>
        <v>125525</v>
      </c>
      <c r="O857" s="127">
        <v>21.84</v>
      </c>
      <c r="P857" s="125"/>
      <c r="Q857" s="81">
        <f t="shared" si="193"/>
        <v>139799</v>
      </c>
      <c r="R857" s="127">
        <f>ROUND($I857*(1+$R$824),2)</f>
        <v>21.84</v>
      </c>
      <c r="S857" s="58"/>
      <c r="T857" s="95">
        <f t="shared" si="194"/>
        <v>-1</v>
      </c>
      <c r="U857" s="55">
        <f t="shared" si="195"/>
        <v>-19.61</v>
      </c>
      <c r="V857" s="95">
        <f t="shared" si="196"/>
        <v>0.06983140230326623</v>
      </c>
      <c r="W857" s="33"/>
      <c r="Z857" s="33">
        <v>6248.4</v>
      </c>
      <c r="AA857" s="55">
        <v>56</v>
      </c>
      <c r="AC857" s="59">
        <v>363</v>
      </c>
      <c r="AD857" s="58">
        <f t="shared" si="197"/>
        <v>2268169.1999999997</v>
      </c>
      <c r="AE857" s="60">
        <f t="shared" si="187"/>
        <v>2323589.7315881685</v>
      </c>
      <c r="AF857" s="60"/>
      <c r="AG857" s="60"/>
      <c r="AH857" s="60"/>
      <c r="AU857" s="127">
        <v>18.33</v>
      </c>
      <c r="AV857" s="125"/>
      <c r="AW857" s="81">
        <f t="shared" si="198"/>
        <v>114533</v>
      </c>
      <c r="AX857" s="66" t="s">
        <v>261</v>
      </c>
      <c r="AY857" s="107" t="s">
        <v>301</v>
      </c>
    </row>
    <row r="858" spans="1:51" ht="15.75">
      <c r="A858" s="57">
        <f t="shared" si="166"/>
        <v>856</v>
      </c>
      <c r="B858" s="64" t="s">
        <v>322</v>
      </c>
      <c r="E858" s="17"/>
      <c r="G858" s="17"/>
      <c r="I858" s="69"/>
      <c r="O858" s="69"/>
      <c r="R858" s="69"/>
      <c r="S858" s="58"/>
      <c r="T858" s="95"/>
      <c r="V858" s="95"/>
      <c r="W858" s="33"/>
      <c r="Z858" s="33"/>
      <c r="AC858" s="59"/>
      <c r="AD858" s="58"/>
      <c r="AE858" s="60">
        <f t="shared" si="187"/>
        <v>0</v>
      </c>
      <c r="AF858" s="60"/>
      <c r="AG858" s="60"/>
      <c r="AH858" s="60"/>
      <c r="AU858" s="69"/>
      <c r="AX858" s="66" t="s">
        <v>261</v>
      </c>
      <c r="AY858" s="107" t="s">
        <v>301</v>
      </c>
    </row>
    <row r="859" spans="1:51" ht="15.75">
      <c r="A859" s="57">
        <f t="shared" si="166"/>
        <v>857</v>
      </c>
      <c r="B859" s="64" t="s">
        <v>323</v>
      </c>
      <c r="E859" s="17">
        <f>Z859</f>
        <v>1200</v>
      </c>
      <c r="G859" s="17">
        <f>E859*$G$926/$E$926</f>
        <v>1229.3208451582018</v>
      </c>
      <c r="I859" s="69">
        <v>10.09</v>
      </c>
      <c r="K859" s="66">
        <f>ROUND(I859*$E859,0)</f>
        <v>12108</v>
      </c>
      <c r="M859" s="66">
        <f>ROUND(I859*$G859,0)</f>
        <v>12404</v>
      </c>
      <c r="O859" s="69">
        <v>11.24</v>
      </c>
      <c r="Q859" s="66">
        <f>ROUND(O859*$G859,0)</f>
        <v>13818</v>
      </c>
      <c r="R859" s="69">
        <f>ROUND($I859*(1+$R$824),2)</f>
        <v>11.24</v>
      </c>
      <c r="S859" s="16"/>
      <c r="T859" s="95">
        <f>S859/AU859-1</f>
        <v>-1</v>
      </c>
      <c r="U859" s="55">
        <f>S859-I859</f>
        <v>-10.09</v>
      </c>
      <c r="V859" s="95">
        <f>IF(AW859=0,"",K859/AW859-1)</f>
        <v>0.06998939554612948</v>
      </c>
      <c r="W859" s="33"/>
      <c r="Z859" s="33">
        <v>1200</v>
      </c>
      <c r="AA859" s="55">
        <v>37</v>
      </c>
      <c r="AC859" s="59">
        <v>69</v>
      </c>
      <c r="AD859" s="58">
        <f>AC859*E859</f>
        <v>82800</v>
      </c>
      <c r="AE859" s="60">
        <f t="shared" si="187"/>
        <v>84823.13831591593</v>
      </c>
      <c r="AF859" s="60"/>
      <c r="AG859" s="60"/>
      <c r="AH859" s="60"/>
      <c r="AU859" s="69">
        <v>9.43</v>
      </c>
      <c r="AW859" s="66">
        <f>ROUND(AU859*$E859,0)</f>
        <v>11316</v>
      </c>
      <c r="AX859" s="66" t="s">
        <v>261</v>
      </c>
      <c r="AY859" s="107" t="s">
        <v>301</v>
      </c>
    </row>
    <row r="860" spans="1:51" ht="15.75">
      <c r="A860" s="57">
        <f t="shared" si="166"/>
        <v>858</v>
      </c>
      <c r="B860" s="64" t="s">
        <v>324</v>
      </c>
      <c r="E860" s="17">
        <f>Z860</f>
        <v>192</v>
      </c>
      <c r="G860" s="17">
        <f>E860*$G$926/$E$926</f>
        <v>196.69133522531232</v>
      </c>
      <c r="I860" s="24">
        <f>ROUND(I859*0.85,2)</f>
        <v>8.58</v>
      </c>
      <c r="K860" s="66">
        <f>ROUND(I860*$E860,0)</f>
        <v>1647</v>
      </c>
      <c r="M860" s="66">
        <f>ROUND(I860*$G860,0)</f>
        <v>1688</v>
      </c>
      <c r="O860" s="24">
        <v>9.55</v>
      </c>
      <c r="Q860" s="66">
        <f>ROUND(O860*$G860,0)</f>
        <v>1878</v>
      </c>
      <c r="R860" s="24">
        <f>ROUND(R859*0.85,2)</f>
        <v>9.55</v>
      </c>
      <c r="S860" s="16"/>
      <c r="T860" s="95">
        <f>S860/AU860-1</f>
        <v>-1</v>
      </c>
      <c r="U860" s="55">
        <f>S860-I860</f>
        <v>-8.58</v>
      </c>
      <c r="V860" s="95">
        <f>IF(AW860=0,"",K860/AW860-1)</f>
        <v>0.06948051948051948</v>
      </c>
      <c r="W860" s="33"/>
      <c r="Z860" s="33">
        <v>192</v>
      </c>
      <c r="AA860" s="55">
        <v>38</v>
      </c>
      <c r="AC860" s="59">
        <v>45</v>
      </c>
      <c r="AD860" s="58">
        <f>AC860*E860</f>
        <v>8640</v>
      </c>
      <c r="AE860" s="60">
        <f t="shared" si="187"/>
        <v>8851.110085139055</v>
      </c>
      <c r="AF860" s="60"/>
      <c r="AG860" s="60"/>
      <c r="AH860" s="60"/>
      <c r="AU860" s="24">
        <f>ROUND(AU859*0.85,2)</f>
        <v>8.02</v>
      </c>
      <c r="AW860" s="66">
        <f>ROUND(AU860*$E860,0)</f>
        <v>1540</v>
      </c>
      <c r="AX860" s="66" t="s">
        <v>261</v>
      </c>
      <c r="AY860" s="107" t="s">
        <v>301</v>
      </c>
    </row>
    <row r="861" spans="1:51" ht="15.75">
      <c r="A861" s="57">
        <f t="shared" si="166"/>
        <v>859</v>
      </c>
      <c r="B861" s="64" t="s">
        <v>325</v>
      </c>
      <c r="E861" s="17">
        <f>Z861</f>
        <v>1839.73</v>
      </c>
      <c r="G861" s="17">
        <f>E861*$G$926/$E$926</f>
        <v>1884.682032052416</v>
      </c>
      <c r="I861" s="69">
        <v>10.19</v>
      </c>
      <c r="K861" s="66">
        <f>ROUND(I861*$E861,0)</f>
        <v>18747</v>
      </c>
      <c r="M861" s="66">
        <f>ROUND(I861*$G861,0)</f>
        <v>19205</v>
      </c>
      <c r="O861" s="69">
        <v>11.35</v>
      </c>
      <c r="Q861" s="66">
        <f>ROUND(O861*$G861,0)</f>
        <v>21391</v>
      </c>
      <c r="R861" s="69">
        <f>ROUND($I861*(1+$R$824),2)</f>
        <v>11.35</v>
      </c>
      <c r="S861" s="16"/>
      <c r="T861" s="95">
        <f>S861/AU861-1</f>
        <v>-1</v>
      </c>
      <c r="U861" s="55">
        <f>S861-I861</f>
        <v>-10.19</v>
      </c>
      <c r="V861" s="95">
        <f>IF(AW861=0,"",K861/AW861-1)</f>
        <v>0.07040082219938326</v>
      </c>
      <c r="W861" s="33"/>
      <c r="Z861" s="33">
        <v>1839.73</v>
      </c>
      <c r="AA861" s="55">
        <v>39</v>
      </c>
      <c r="AC861" s="59">
        <v>93</v>
      </c>
      <c r="AD861" s="58">
        <f>AC861*E861</f>
        <v>171094.89</v>
      </c>
      <c r="AE861" s="60">
        <f t="shared" si="187"/>
        <v>175275.42898087468</v>
      </c>
      <c r="AF861" s="60"/>
      <c r="AG861" s="60"/>
      <c r="AH861" s="60"/>
      <c r="AU861" s="69">
        <v>9.52</v>
      </c>
      <c r="AW861" s="66">
        <f>ROUND(AU861*$E861,0)</f>
        <v>17514</v>
      </c>
      <c r="AX861" s="66" t="s">
        <v>261</v>
      </c>
      <c r="AY861" s="107" t="s">
        <v>301</v>
      </c>
    </row>
    <row r="862" spans="1:51" ht="15.75">
      <c r="A862" s="57">
        <f t="shared" si="166"/>
        <v>860</v>
      </c>
      <c r="B862" s="64" t="s">
        <v>326</v>
      </c>
      <c r="E862" s="17">
        <f>Z862</f>
        <v>903.13</v>
      </c>
      <c r="G862" s="17">
        <f>E862*$G$926/$E$926</f>
        <v>925.1971124064391</v>
      </c>
      <c r="I862" s="69">
        <v>10.84</v>
      </c>
      <c r="K862" s="66">
        <f>ROUND(I862*$E862,0)</f>
        <v>9790</v>
      </c>
      <c r="M862" s="66">
        <f>ROUND(I862*$G862,0)</f>
        <v>10029</v>
      </c>
      <c r="O862" s="69">
        <v>12.07</v>
      </c>
      <c r="Q862" s="66">
        <f>ROUND(O862*$G862,0)</f>
        <v>11167</v>
      </c>
      <c r="R862" s="69">
        <f>ROUND($I862*(1+$R$824),2)</f>
        <v>12.07</v>
      </c>
      <c r="S862" s="58"/>
      <c r="T862" s="95">
        <f>S862/AU862-1</f>
        <v>-1</v>
      </c>
      <c r="U862" s="55">
        <f>S862-I862</f>
        <v>-10.84</v>
      </c>
      <c r="V862" s="95">
        <f>IF(AW862=0,"",K862/AW862-1)</f>
        <v>0.070062301890917</v>
      </c>
      <c r="W862" s="33"/>
      <c r="Z862" s="33">
        <v>903.13</v>
      </c>
      <c r="AA862" s="55">
        <v>41</v>
      </c>
      <c r="AC862" s="59">
        <v>145</v>
      </c>
      <c r="AD862" s="58">
        <f>AC862*E862</f>
        <v>130953.85</v>
      </c>
      <c r="AE862" s="60">
        <f t="shared" si="187"/>
        <v>134153.58129893368</v>
      </c>
      <c r="AF862" s="60"/>
      <c r="AG862" s="60"/>
      <c r="AH862" s="60"/>
      <c r="AU862" s="69">
        <v>10.13</v>
      </c>
      <c r="AW862" s="66">
        <f>ROUND(AU862*$E862,0)</f>
        <v>9149</v>
      </c>
      <c r="AX862" s="66" t="s">
        <v>261</v>
      </c>
      <c r="AY862" s="107" t="s">
        <v>301</v>
      </c>
    </row>
    <row r="863" spans="1:51" ht="15.75">
      <c r="A863" s="57">
        <f t="shared" si="166"/>
        <v>861</v>
      </c>
      <c r="B863" s="64" t="s">
        <v>327</v>
      </c>
      <c r="E863" s="22">
        <f>Z863</f>
        <v>308.93</v>
      </c>
      <c r="G863" s="22">
        <f>E863*$G$926/$E$926</f>
        <v>316.47840724560274</v>
      </c>
      <c r="I863" s="127">
        <v>21.44</v>
      </c>
      <c r="J863" s="125"/>
      <c r="K863" s="81">
        <f>ROUND(I863*$E863,0)</f>
        <v>6623</v>
      </c>
      <c r="M863" s="81">
        <f>ROUND(I863*$G863,0)</f>
        <v>6785</v>
      </c>
      <c r="O863" s="127">
        <v>23.88</v>
      </c>
      <c r="P863" s="125"/>
      <c r="Q863" s="81">
        <f>ROUND(O863*$G863,0)</f>
        <v>7558</v>
      </c>
      <c r="R863" s="127">
        <f>ROUND($I863*(1+$R$824),2)</f>
        <v>23.88</v>
      </c>
      <c r="S863" s="58"/>
      <c r="T863" s="95">
        <f>S863/AU863-1</f>
        <v>-1</v>
      </c>
      <c r="U863" s="55">
        <f>S863-I863</f>
        <v>-21.44</v>
      </c>
      <c r="V863" s="95">
        <f>IF(AW863=0,"",K863/AW863-1)</f>
        <v>0.0697787110321435</v>
      </c>
      <c r="W863" s="33"/>
      <c r="Z863" s="33">
        <v>308.93</v>
      </c>
      <c r="AA863" s="55">
        <v>43</v>
      </c>
      <c r="AC863" s="59">
        <v>352</v>
      </c>
      <c r="AD863" s="58">
        <f>AC863*E863</f>
        <v>108743.36</v>
      </c>
      <c r="AE863" s="60">
        <f t="shared" si="187"/>
        <v>111400.39935045216</v>
      </c>
      <c r="AF863" s="60"/>
      <c r="AG863" s="60"/>
      <c r="AH863" s="60"/>
      <c r="AU863" s="127">
        <v>20.04</v>
      </c>
      <c r="AV863" s="125"/>
      <c r="AW863" s="81">
        <f>ROUND(AU863*$E863,0)</f>
        <v>6191</v>
      </c>
      <c r="AX863" s="66" t="s">
        <v>261</v>
      </c>
      <c r="AY863" s="107" t="s">
        <v>301</v>
      </c>
    </row>
    <row r="864" spans="1:51" ht="15.75">
      <c r="A864" s="57">
        <f t="shared" si="166"/>
        <v>862</v>
      </c>
      <c r="B864" s="64" t="s">
        <v>291</v>
      </c>
      <c r="E864" s="17"/>
      <c r="G864" s="17"/>
      <c r="I864" s="69"/>
      <c r="K864" s="66"/>
      <c r="M864" s="66"/>
      <c r="O864" s="69"/>
      <c r="Q864" s="66"/>
      <c r="R864" s="69"/>
      <c r="S864" s="58"/>
      <c r="T864" s="95"/>
      <c r="V864" s="95"/>
      <c r="W864" s="33"/>
      <c r="Z864" s="33"/>
      <c r="AC864" s="58"/>
      <c r="AD864" s="58"/>
      <c r="AE864" s="60"/>
      <c r="AF864" s="60"/>
      <c r="AG864" s="60"/>
      <c r="AH864" s="60"/>
      <c r="AU864" s="69"/>
      <c r="AW864" s="66"/>
      <c r="AX864" s="66" t="s">
        <v>261</v>
      </c>
      <c r="AY864" s="107" t="s">
        <v>301</v>
      </c>
    </row>
    <row r="865" spans="1:51" ht="15.75">
      <c r="A865" s="57">
        <f t="shared" si="166"/>
        <v>863</v>
      </c>
      <c r="B865" s="64" t="s">
        <v>328</v>
      </c>
      <c r="E865" s="17">
        <f aca="true" t="shared" si="199" ref="E865:E870">Z865</f>
        <v>12</v>
      </c>
      <c r="G865" s="17">
        <f aca="true" t="shared" si="200" ref="G865:G870">E865*$G$926/$E$926</f>
        <v>12.29320845158202</v>
      </c>
      <c r="I865" s="69">
        <v>2.79</v>
      </c>
      <c r="K865" s="66">
        <f aca="true" t="shared" si="201" ref="K865:K871">ROUND(I865*$E865,0)</f>
        <v>33</v>
      </c>
      <c r="M865" s="66">
        <f aca="true" t="shared" si="202" ref="M865:M871">ROUND(I865*$G865,0)</f>
        <v>34</v>
      </c>
      <c r="O865" s="69">
        <v>3.11</v>
      </c>
      <c r="Q865" s="66">
        <f aca="true" t="shared" si="203" ref="Q865:Q870">ROUND(O865*$G865,0)</f>
        <v>38</v>
      </c>
      <c r="R865" s="69">
        <f>ROUND($I865*(1+$R$824),2)</f>
        <v>3.11</v>
      </c>
      <c r="S865" s="58"/>
      <c r="T865" s="95">
        <f aca="true" t="shared" si="204" ref="T865:T870">S865/AU865-1</f>
        <v>-1</v>
      </c>
      <c r="U865" s="55">
        <f aca="true" t="shared" si="205" ref="U865:U870">S865-I865</f>
        <v>-2.79</v>
      </c>
      <c r="V865" s="95">
        <f aca="true" t="shared" si="206" ref="V865:V870">IF(AW865=0,"",K865/AW865-1)</f>
        <v>0.06451612903225801</v>
      </c>
      <c r="W865" s="33"/>
      <c r="Z865" s="33">
        <v>12</v>
      </c>
      <c r="AA865" s="55">
        <v>51</v>
      </c>
      <c r="AC865" s="59">
        <v>33</v>
      </c>
      <c r="AD865" s="58">
        <f aca="true" t="shared" si="207" ref="AD865:AD870">AC865*E865</f>
        <v>396</v>
      </c>
      <c r="AE865" s="60">
        <f aca="true" t="shared" si="208" ref="AE865:AE870">AC865*G865</f>
        <v>405.67587890220665</v>
      </c>
      <c r="AF865" s="60"/>
      <c r="AG865" s="60"/>
      <c r="AH865" s="60"/>
      <c r="AU865" s="69">
        <v>2.61</v>
      </c>
      <c r="AW865" s="66">
        <f aca="true" t="shared" si="209" ref="AW865:AW871">ROUND(AU865*$E865,0)</f>
        <v>31</v>
      </c>
      <c r="AX865" s="66" t="s">
        <v>261</v>
      </c>
      <c r="AY865" s="107" t="s">
        <v>301</v>
      </c>
    </row>
    <row r="866" spans="1:51" ht="15.75">
      <c r="A866" s="57">
        <f t="shared" si="166"/>
        <v>864</v>
      </c>
      <c r="B866" s="64" t="s">
        <v>292</v>
      </c>
      <c r="E866" s="17">
        <f t="shared" si="199"/>
        <v>0</v>
      </c>
      <c r="G866" s="17">
        <f t="shared" si="200"/>
        <v>0</v>
      </c>
      <c r="I866" s="69">
        <v>10.79</v>
      </c>
      <c r="K866" s="66">
        <f t="shared" si="201"/>
        <v>0</v>
      </c>
      <c r="M866" s="66">
        <f t="shared" si="202"/>
        <v>0</v>
      </c>
      <c r="O866" s="69">
        <v>12.02</v>
      </c>
      <c r="Q866" s="66">
        <f t="shared" si="203"/>
        <v>0</v>
      </c>
      <c r="R866" s="69">
        <f>ROUND($I866*(1+$R$824),2)</f>
        <v>12.02</v>
      </c>
      <c r="S866" s="58"/>
      <c r="T866" s="95">
        <f t="shared" si="204"/>
        <v>-1</v>
      </c>
      <c r="U866" s="55">
        <f t="shared" si="205"/>
        <v>-10.79</v>
      </c>
      <c r="V866" s="95">
        <f t="shared" si="206"/>
      </c>
      <c r="W866" s="33"/>
      <c r="Z866" s="33">
        <v>0</v>
      </c>
      <c r="AA866" s="55">
        <v>45</v>
      </c>
      <c r="AC866" s="59">
        <v>154</v>
      </c>
      <c r="AD866" s="58">
        <f t="shared" si="207"/>
        <v>0</v>
      </c>
      <c r="AE866" s="60">
        <f t="shared" si="208"/>
        <v>0</v>
      </c>
      <c r="AF866" s="60"/>
      <c r="AG866" s="60"/>
      <c r="AH866" s="60"/>
      <c r="AU866" s="69">
        <v>10.08</v>
      </c>
      <c r="AW866" s="66">
        <f t="shared" si="209"/>
        <v>0</v>
      </c>
      <c r="AX866" s="66" t="s">
        <v>261</v>
      </c>
      <c r="AY866" s="107" t="s">
        <v>301</v>
      </c>
    </row>
    <row r="867" spans="1:51" ht="15.75">
      <c r="A867" s="57">
        <f t="shared" si="166"/>
        <v>865</v>
      </c>
      <c r="B867" s="64" t="s">
        <v>293</v>
      </c>
      <c r="E867" s="17">
        <f t="shared" si="199"/>
        <v>84</v>
      </c>
      <c r="G867" s="17">
        <f t="shared" si="200"/>
        <v>86.05245916107414</v>
      </c>
      <c r="I867" s="69">
        <v>10.34</v>
      </c>
      <c r="K867" s="66">
        <f t="shared" si="201"/>
        <v>869</v>
      </c>
      <c r="M867" s="66">
        <f t="shared" si="202"/>
        <v>890</v>
      </c>
      <c r="O867" s="69">
        <v>11.52</v>
      </c>
      <c r="Q867" s="66">
        <f t="shared" si="203"/>
        <v>991</v>
      </c>
      <c r="R867" s="69">
        <f>ROUND($I867*(1+$R$824),2)</f>
        <v>11.52</v>
      </c>
      <c r="S867" s="58"/>
      <c r="T867" s="95">
        <f t="shared" si="204"/>
        <v>-1</v>
      </c>
      <c r="U867" s="55">
        <f t="shared" si="205"/>
        <v>-10.34</v>
      </c>
      <c r="V867" s="95">
        <f t="shared" si="206"/>
        <v>0.07151664611590625</v>
      </c>
      <c r="W867" s="33"/>
      <c r="Z867" s="33">
        <v>84</v>
      </c>
      <c r="AA867" s="55">
        <v>47</v>
      </c>
      <c r="AC867" s="59">
        <v>135</v>
      </c>
      <c r="AD867" s="58">
        <f t="shared" si="207"/>
        <v>11340</v>
      </c>
      <c r="AE867" s="60">
        <f t="shared" si="208"/>
        <v>11617.081986745008</v>
      </c>
      <c r="AF867" s="60"/>
      <c r="AG867" s="60"/>
      <c r="AH867" s="60"/>
      <c r="AU867" s="69">
        <v>9.66</v>
      </c>
      <c r="AW867" s="66">
        <f t="shared" si="209"/>
        <v>811</v>
      </c>
      <c r="AX867" s="66" t="s">
        <v>261</v>
      </c>
      <c r="AY867" s="107" t="s">
        <v>301</v>
      </c>
    </row>
    <row r="868" spans="1:51" ht="15.75">
      <c r="A868" s="57">
        <f t="shared" si="166"/>
        <v>866</v>
      </c>
      <c r="B868" s="64" t="s">
        <v>329</v>
      </c>
      <c r="E868" s="17">
        <f t="shared" si="199"/>
        <v>0</v>
      </c>
      <c r="G868" s="17">
        <f t="shared" si="200"/>
        <v>0</v>
      </c>
      <c r="I868" s="24">
        <f>ROUND(I867*0.85,2)</f>
        <v>8.79</v>
      </c>
      <c r="K868" s="66">
        <f t="shared" si="201"/>
        <v>0</v>
      </c>
      <c r="M868" s="66">
        <f t="shared" si="202"/>
        <v>0</v>
      </c>
      <c r="O868" s="24">
        <v>9.79</v>
      </c>
      <c r="Q868" s="66">
        <f t="shared" si="203"/>
        <v>0</v>
      </c>
      <c r="R868" s="24">
        <f>ROUND(R867*0.85,2)</f>
        <v>9.79</v>
      </c>
      <c r="S868" s="58"/>
      <c r="T868" s="95">
        <f t="shared" si="204"/>
        <v>-1</v>
      </c>
      <c r="U868" s="55">
        <f t="shared" si="205"/>
        <v>-8.79</v>
      </c>
      <c r="V868" s="95">
        <f t="shared" si="206"/>
      </c>
      <c r="W868" s="33"/>
      <c r="Z868" s="33">
        <v>0</v>
      </c>
      <c r="AA868" s="55">
        <v>48</v>
      </c>
      <c r="AC868" s="59">
        <v>88</v>
      </c>
      <c r="AD868" s="58">
        <f t="shared" si="207"/>
        <v>0</v>
      </c>
      <c r="AE868" s="60">
        <f t="shared" si="208"/>
        <v>0</v>
      </c>
      <c r="AF868" s="60"/>
      <c r="AG868" s="60"/>
      <c r="AH868" s="60"/>
      <c r="AU868" s="24">
        <f>ROUND(AU867*0.85,2)</f>
        <v>8.21</v>
      </c>
      <c r="AW868" s="66">
        <f t="shared" si="209"/>
        <v>0</v>
      </c>
      <c r="AX868" s="66" t="s">
        <v>261</v>
      </c>
      <c r="AY868" s="107" t="s">
        <v>301</v>
      </c>
    </row>
    <row r="869" spans="1:51" ht="15.75">
      <c r="A869" s="57">
        <f t="shared" si="166"/>
        <v>867</v>
      </c>
      <c r="B869" s="64" t="s">
        <v>295</v>
      </c>
      <c r="E869" s="17">
        <f t="shared" si="199"/>
        <v>0</v>
      </c>
      <c r="G869" s="17">
        <f t="shared" si="200"/>
        <v>0</v>
      </c>
      <c r="I869" s="69">
        <v>16.59</v>
      </c>
      <c r="K869" s="66">
        <f t="shared" si="201"/>
        <v>0</v>
      </c>
      <c r="M869" s="66">
        <f t="shared" si="202"/>
        <v>0</v>
      </c>
      <c r="O869" s="69">
        <v>18.48</v>
      </c>
      <c r="Q869" s="66">
        <f t="shared" si="203"/>
        <v>0</v>
      </c>
      <c r="R869" s="69">
        <f>ROUND($I869*(1+$R$824),2)</f>
        <v>18.48</v>
      </c>
      <c r="S869" s="58"/>
      <c r="T869" s="95">
        <f t="shared" si="204"/>
        <v>-1</v>
      </c>
      <c r="U869" s="55">
        <f t="shared" si="205"/>
        <v>-16.59</v>
      </c>
      <c r="V869" s="95">
        <f t="shared" si="206"/>
      </c>
      <c r="W869" s="33"/>
      <c r="Z869" s="33">
        <v>0</v>
      </c>
      <c r="AA869" s="55">
        <v>49</v>
      </c>
      <c r="AC869" s="59">
        <v>271</v>
      </c>
      <c r="AD869" s="58">
        <f t="shared" si="207"/>
        <v>0</v>
      </c>
      <c r="AE869" s="60">
        <f t="shared" si="208"/>
        <v>0</v>
      </c>
      <c r="AF869" s="60"/>
      <c r="AG869" s="60"/>
      <c r="AH869" s="60"/>
      <c r="AU869" s="69">
        <v>15.5</v>
      </c>
      <c r="AW869" s="66">
        <f t="shared" si="209"/>
        <v>0</v>
      </c>
      <c r="AX869" s="66" t="s">
        <v>261</v>
      </c>
      <c r="AY869" s="107" t="s">
        <v>301</v>
      </c>
    </row>
    <row r="870" spans="1:51" ht="15.75">
      <c r="A870" s="57">
        <f t="shared" si="166"/>
        <v>868</v>
      </c>
      <c r="B870" s="64" t="s">
        <v>330</v>
      </c>
      <c r="E870" s="17">
        <f t="shared" si="199"/>
        <v>0</v>
      </c>
      <c r="G870" s="17">
        <f t="shared" si="200"/>
        <v>0</v>
      </c>
      <c r="I870" s="24">
        <f>ROUND(I869*0.85,2)</f>
        <v>14.1</v>
      </c>
      <c r="K870" s="66">
        <f t="shared" si="201"/>
        <v>0</v>
      </c>
      <c r="M870" s="66">
        <f t="shared" si="202"/>
        <v>0</v>
      </c>
      <c r="O870" s="24">
        <v>15.71</v>
      </c>
      <c r="Q870" s="66">
        <f t="shared" si="203"/>
        <v>0</v>
      </c>
      <c r="R870" s="24">
        <f>ROUND(R869*0.85,2)</f>
        <v>15.71</v>
      </c>
      <c r="S870" s="58"/>
      <c r="T870" s="95">
        <f t="shared" si="204"/>
        <v>-1</v>
      </c>
      <c r="U870" s="55">
        <f t="shared" si="205"/>
        <v>-14.1</v>
      </c>
      <c r="V870" s="95">
        <f t="shared" si="206"/>
      </c>
      <c r="W870" s="33"/>
      <c r="Z870" s="33">
        <v>0</v>
      </c>
      <c r="AA870" s="55">
        <v>50</v>
      </c>
      <c r="AC870" s="59">
        <v>176</v>
      </c>
      <c r="AD870" s="58">
        <f t="shared" si="207"/>
        <v>0</v>
      </c>
      <c r="AE870" s="60">
        <f t="shared" si="208"/>
        <v>0</v>
      </c>
      <c r="AF870" s="60"/>
      <c r="AG870" s="60"/>
      <c r="AH870" s="60"/>
      <c r="AU870" s="24">
        <f>ROUND(AU869*0.85,2)</f>
        <v>13.18</v>
      </c>
      <c r="AW870" s="66">
        <f t="shared" si="209"/>
        <v>0</v>
      </c>
      <c r="AX870" s="66" t="s">
        <v>261</v>
      </c>
      <c r="AY870" s="107" t="s">
        <v>301</v>
      </c>
    </row>
    <row r="871" spans="1:51" ht="15.75">
      <c r="A871" s="57">
        <f t="shared" si="166"/>
        <v>869</v>
      </c>
      <c r="B871" s="64" t="s">
        <v>331</v>
      </c>
      <c r="E871" s="22"/>
      <c r="G871" s="22"/>
      <c r="I871" s="127"/>
      <c r="J871" s="125"/>
      <c r="K871" s="81">
        <f t="shared" si="201"/>
        <v>0</v>
      </c>
      <c r="M871" s="81">
        <f t="shared" si="202"/>
        <v>0</v>
      </c>
      <c r="O871" s="127"/>
      <c r="P871" s="125"/>
      <c r="Q871" s="81"/>
      <c r="R871" s="127"/>
      <c r="S871" s="58"/>
      <c r="T871" s="95"/>
      <c r="V871" s="95"/>
      <c r="W871" s="33"/>
      <c r="Z871" s="33"/>
      <c r="AC871" s="58"/>
      <c r="AD871" s="58"/>
      <c r="AE871" s="60"/>
      <c r="AF871" s="60"/>
      <c r="AG871" s="60"/>
      <c r="AH871" s="60"/>
      <c r="AU871" s="127"/>
      <c r="AV871" s="125"/>
      <c r="AW871" s="81">
        <f t="shared" si="209"/>
        <v>0</v>
      </c>
      <c r="AX871" s="66" t="s">
        <v>261</v>
      </c>
      <c r="AY871" s="107" t="s">
        <v>301</v>
      </c>
    </row>
    <row r="872" spans="1:51" ht="15.75">
      <c r="A872" s="57">
        <f t="shared" si="166"/>
        <v>870</v>
      </c>
      <c r="B872" s="64" t="s">
        <v>332</v>
      </c>
      <c r="E872" s="17"/>
      <c r="G872" s="17"/>
      <c r="I872" s="69"/>
      <c r="O872" s="69"/>
      <c r="R872" s="69"/>
      <c r="S872" s="58"/>
      <c r="T872" s="95"/>
      <c r="V872" s="95"/>
      <c r="W872" s="33"/>
      <c r="Z872" s="33"/>
      <c r="AC872" s="58"/>
      <c r="AD872" s="58"/>
      <c r="AE872" s="60"/>
      <c r="AF872" s="60"/>
      <c r="AG872" s="60"/>
      <c r="AH872" s="60"/>
      <c r="AU872" s="69"/>
      <c r="AX872" s="66" t="s">
        <v>261</v>
      </c>
      <c r="AY872" s="107" t="s">
        <v>301</v>
      </c>
    </row>
    <row r="873" spans="1:51" ht="15.75">
      <c r="A873" s="57">
        <f t="shared" si="166"/>
        <v>871</v>
      </c>
      <c r="B873" s="64" t="s">
        <v>333</v>
      </c>
      <c r="E873" s="17"/>
      <c r="G873" s="17"/>
      <c r="I873" s="69"/>
      <c r="O873" s="69"/>
      <c r="R873" s="69"/>
      <c r="S873" s="58"/>
      <c r="T873" s="95"/>
      <c r="V873" s="95"/>
      <c r="W873" s="33"/>
      <c r="Z873" s="33"/>
      <c r="AC873" s="58"/>
      <c r="AD873" s="58"/>
      <c r="AE873" s="60"/>
      <c r="AF873" s="60"/>
      <c r="AG873" s="60"/>
      <c r="AH873" s="60"/>
      <c r="AU873" s="69"/>
      <c r="AX873" s="66" t="s">
        <v>261</v>
      </c>
      <c r="AY873" s="107" t="s">
        <v>301</v>
      </c>
    </row>
    <row r="874" spans="1:51" ht="15.75">
      <c r="A874" s="57">
        <f t="shared" si="166"/>
        <v>872</v>
      </c>
      <c r="B874" s="64" t="s">
        <v>334</v>
      </c>
      <c r="E874" s="17"/>
      <c r="G874" s="17"/>
      <c r="I874" s="69"/>
      <c r="O874" s="69"/>
      <c r="R874" s="69"/>
      <c r="S874" s="58"/>
      <c r="T874" s="95"/>
      <c r="V874" s="95"/>
      <c r="W874" s="33"/>
      <c r="Z874" s="33"/>
      <c r="AC874" s="58"/>
      <c r="AD874" s="58"/>
      <c r="AE874" s="60"/>
      <c r="AF874" s="60"/>
      <c r="AG874" s="60"/>
      <c r="AH874" s="60"/>
      <c r="AU874" s="69"/>
      <c r="AX874" s="66" t="s">
        <v>261</v>
      </c>
      <c r="AY874" s="107" t="s">
        <v>301</v>
      </c>
    </row>
    <row r="875" spans="1:51" ht="15.75">
      <c r="A875" s="57">
        <f t="shared" si="166"/>
        <v>873</v>
      </c>
      <c r="B875" s="64" t="s">
        <v>335</v>
      </c>
      <c r="E875" s="17">
        <f>Z875</f>
        <v>0</v>
      </c>
      <c r="G875" s="17">
        <f>E875*$G$926/$E$926</f>
        <v>0</v>
      </c>
      <c r="I875" s="69">
        <v>6.53</v>
      </c>
      <c r="K875" s="66">
        <f>ROUND(I875*$E875,0)</f>
        <v>0</v>
      </c>
      <c r="M875" s="66">
        <f>ROUND(I875*$G875,0)</f>
        <v>0</v>
      </c>
      <c r="O875" s="69">
        <v>7.27</v>
      </c>
      <c r="Q875" s="66">
        <f>ROUND(O875*$G875,0)</f>
        <v>0</v>
      </c>
      <c r="R875" s="69">
        <f>ROUND($I875*(1+$R$824),2)</f>
        <v>7.27</v>
      </c>
      <c r="S875" s="58"/>
      <c r="T875" s="95">
        <f>S875/AU875-1</f>
        <v>-1</v>
      </c>
      <c r="U875" s="55">
        <f>S875-I875</f>
        <v>-6.53</v>
      </c>
      <c r="V875" s="95">
        <f>IF(AW875=0,"",K875/AW875-1)</f>
      </c>
      <c r="W875" s="33"/>
      <c r="Z875" s="33">
        <v>0</v>
      </c>
      <c r="AA875" s="55">
        <v>53</v>
      </c>
      <c r="AC875" s="59">
        <v>43</v>
      </c>
      <c r="AD875" s="58">
        <f>AC875*E875</f>
        <v>0</v>
      </c>
      <c r="AE875" s="60">
        <f>AC875*G875</f>
        <v>0</v>
      </c>
      <c r="AF875" s="60"/>
      <c r="AG875" s="60"/>
      <c r="AH875" s="60"/>
      <c r="AU875" s="69">
        <v>6.1</v>
      </c>
      <c r="AW875" s="66">
        <f>ROUND(AU875*$E875,0)</f>
        <v>0</v>
      </c>
      <c r="AX875" s="66" t="s">
        <v>261</v>
      </c>
      <c r="AY875" s="107" t="s">
        <v>301</v>
      </c>
    </row>
    <row r="876" spans="1:51" ht="15.75">
      <c r="A876" s="57">
        <f aca="true" t="shared" si="210" ref="A876:A939">A875+1</f>
        <v>874</v>
      </c>
      <c r="B876" s="64" t="s">
        <v>336</v>
      </c>
      <c r="E876" s="22">
        <f>Z876</f>
        <v>0</v>
      </c>
      <c r="G876" s="22">
        <f>E876*$G$926/$E$926</f>
        <v>0</v>
      </c>
      <c r="I876" s="127">
        <v>27.12</v>
      </c>
      <c r="J876" s="125"/>
      <c r="K876" s="81">
        <f>ROUND(I876*$E876,0)</f>
        <v>0</v>
      </c>
      <c r="M876" s="81">
        <f>ROUND(I876*$G876,0)</f>
        <v>0</v>
      </c>
      <c r="O876" s="127">
        <v>30.21</v>
      </c>
      <c r="P876" s="125"/>
      <c r="Q876" s="81">
        <f>ROUND(O876*$G876,0)</f>
        <v>0</v>
      </c>
      <c r="R876" s="127">
        <f>ROUND($I876*(1+$R$824),2)</f>
        <v>30.21</v>
      </c>
      <c r="S876" s="58"/>
      <c r="T876" s="95">
        <f>S876/AU876-1</f>
        <v>-1</v>
      </c>
      <c r="U876" s="55">
        <f>S876-I876</f>
        <v>-27.12</v>
      </c>
      <c r="V876" s="95">
        <f>IF(AW876=0,"",K876/AW876-1)</f>
      </c>
      <c r="W876" s="33"/>
      <c r="Z876" s="33">
        <v>0</v>
      </c>
      <c r="AA876" s="55">
        <v>34</v>
      </c>
      <c r="AC876" s="59">
        <v>321</v>
      </c>
      <c r="AD876" s="58">
        <f>AC876*E876</f>
        <v>0</v>
      </c>
      <c r="AE876" s="60">
        <f>AC876*G876</f>
        <v>0</v>
      </c>
      <c r="AF876" s="60"/>
      <c r="AG876" s="60"/>
      <c r="AH876" s="60"/>
      <c r="AU876" s="127">
        <v>25.34</v>
      </c>
      <c r="AV876" s="125"/>
      <c r="AW876" s="81">
        <f>ROUND(AU876*$E876,0)</f>
        <v>0</v>
      </c>
      <c r="AX876" s="66" t="s">
        <v>261</v>
      </c>
      <c r="AY876" s="107" t="s">
        <v>301</v>
      </c>
    </row>
    <row r="877" spans="1:51" ht="15.75">
      <c r="A877" s="57">
        <f t="shared" si="210"/>
        <v>875</v>
      </c>
      <c r="B877" s="136" t="s">
        <v>332</v>
      </c>
      <c r="E877" s="17"/>
      <c r="G877" s="17"/>
      <c r="I877" s="69"/>
      <c r="O877" s="69"/>
      <c r="R877" s="69"/>
      <c r="S877" s="58"/>
      <c r="T877" s="95"/>
      <c r="V877" s="95"/>
      <c r="W877" s="33"/>
      <c r="Z877" s="33"/>
      <c r="AC877" s="58"/>
      <c r="AD877" s="58"/>
      <c r="AE877" s="60"/>
      <c r="AF877" s="60"/>
      <c r="AG877" s="60"/>
      <c r="AH877" s="60"/>
      <c r="AU877" s="69"/>
      <c r="AX877" s="66" t="s">
        <v>261</v>
      </c>
      <c r="AY877" s="107" t="s">
        <v>301</v>
      </c>
    </row>
    <row r="878" spans="1:51" ht="15.75">
      <c r="A878" s="57">
        <f t="shared" si="210"/>
        <v>876</v>
      </c>
      <c r="B878" s="64" t="s">
        <v>337</v>
      </c>
      <c r="E878" s="17"/>
      <c r="G878" s="17"/>
      <c r="I878" s="69"/>
      <c r="O878" s="69"/>
      <c r="R878" s="69"/>
      <c r="S878" s="58"/>
      <c r="T878" s="95"/>
      <c r="V878" s="95"/>
      <c r="W878" s="33"/>
      <c r="Z878" s="33"/>
      <c r="AC878" s="58"/>
      <c r="AD878" s="58"/>
      <c r="AE878" s="60"/>
      <c r="AF878" s="60"/>
      <c r="AG878" s="60"/>
      <c r="AH878" s="60"/>
      <c r="AU878" s="69"/>
      <c r="AX878" s="66" t="s">
        <v>261</v>
      </c>
      <c r="AY878" s="107" t="s">
        <v>301</v>
      </c>
    </row>
    <row r="879" spans="1:51" ht="15.75">
      <c r="A879" s="57">
        <f t="shared" si="210"/>
        <v>877</v>
      </c>
      <c r="B879" s="64" t="s">
        <v>334</v>
      </c>
      <c r="E879" s="17"/>
      <c r="G879" s="17"/>
      <c r="I879" s="69"/>
      <c r="O879" s="69"/>
      <c r="R879" s="69"/>
      <c r="S879" s="58"/>
      <c r="T879" s="95"/>
      <c r="V879" s="95"/>
      <c r="W879" s="33"/>
      <c r="Z879" s="33"/>
      <c r="AC879" s="58"/>
      <c r="AD879" s="58"/>
      <c r="AE879" s="60"/>
      <c r="AF879" s="60"/>
      <c r="AG879" s="60"/>
      <c r="AH879" s="60"/>
      <c r="AU879" s="69"/>
      <c r="AX879" s="66" t="s">
        <v>261</v>
      </c>
      <c r="AY879" s="107" t="s">
        <v>301</v>
      </c>
    </row>
    <row r="880" spans="1:51" ht="15.75">
      <c r="A880" s="57">
        <f t="shared" si="210"/>
        <v>878</v>
      </c>
      <c r="B880" s="64" t="s">
        <v>286</v>
      </c>
      <c r="E880" s="22">
        <f>Z880</f>
        <v>0</v>
      </c>
      <c r="G880" s="22">
        <f>E880*$G$926/$E$926</f>
        <v>0</v>
      </c>
      <c r="I880" s="127">
        <v>18.94</v>
      </c>
      <c r="J880" s="125"/>
      <c r="K880" s="81">
        <f>ROUND(I880*$E880,0)</f>
        <v>0</v>
      </c>
      <c r="M880" s="81">
        <f>ROUND(I880*$G880,0)</f>
        <v>0</v>
      </c>
      <c r="O880" s="127">
        <v>21.1</v>
      </c>
      <c r="P880" s="125"/>
      <c r="Q880" s="81">
        <f>ROUND(O880*$G880,0)</f>
        <v>0</v>
      </c>
      <c r="R880" s="127">
        <f>ROUND($I880*(1+$R$824),2)</f>
        <v>21.1</v>
      </c>
      <c r="S880" s="58"/>
      <c r="T880" s="95">
        <f>S880/AU880-1</f>
        <v>-1</v>
      </c>
      <c r="U880" s="55">
        <f>S880-I880</f>
        <v>-18.94</v>
      </c>
      <c r="V880" s="95">
        <f>IF(AW880=0,"",K880/AW880-1)</f>
      </c>
      <c r="W880" s="33"/>
      <c r="Z880" s="33">
        <v>0</v>
      </c>
      <c r="AA880" s="55">
        <v>35</v>
      </c>
      <c r="AC880" s="59">
        <v>71</v>
      </c>
      <c r="AD880" s="58">
        <f>AC880*E880</f>
        <v>0</v>
      </c>
      <c r="AE880" s="60">
        <f>AC880*G880</f>
        <v>0</v>
      </c>
      <c r="AF880" s="60"/>
      <c r="AG880" s="60"/>
      <c r="AH880" s="60"/>
      <c r="AU880" s="127">
        <v>17.7</v>
      </c>
      <c r="AV880" s="125"/>
      <c r="AW880" s="81">
        <f>ROUND(AU880*$E880,0)</f>
        <v>0</v>
      </c>
      <c r="AX880" s="66" t="s">
        <v>261</v>
      </c>
      <c r="AY880" s="107" t="s">
        <v>301</v>
      </c>
    </row>
    <row r="881" spans="1:51" ht="15.75">
      <c r="A881" s="57">
        <f t="shared" si="210"/>
        <v>879</v>
      </c>
      <c r="B881" s="98" t="s">
        <v>338</v>
      </c>
      <c r="E881" s="17"/>
      <c r="G881" s="17"/>
      <c r="I881" s="69"/>
      <c r="O881" s="69"/>
      <c r="R881" s="69"/>
      <c r="S881" s="58"/>
      <c r="T881" s="95"/>
      <c r="V881" s="95"/>
      <c r="W881" s="33"/>
      <c r="Z881" s="33"/>
      <c r="AC881" s="58"/>
      <c r="AD881" s="58"/>
      <c r="AE881" s="60"/>
      <c r="AF881" s="60"/>
      <c r="AG881" s="60"/>
      <c r="AH881" s="60"/>
      <c r="AU881" s="69"/>
      <c r="AX881" s="66" t="s">
        <v>261</v>
      </c>
      <c r="AY881" s="107" t="s">
        <v>339</v>
      </c>
    </row>
    <row r="882" spans="1:51" ht="15.75">
      <c r="A882" s="57">
        <f t="shared" si="210"/>
        <v>880</v>
      </c>
      <c r="B882" s="64" t="s">
        <v>340</v>
      </c>
      <c r="E882" s="17"/>
      <c r="G882" s="17"/>
      <c r="I882" s="69"/>
      <c r="O882" s="69"/>
      <c r="R882" s="69"/>
      <c r="S882" s="58"/>
      <c r="T882" s="95"/>
      <c r="V882" s="95"/>
      <c r="W882" s="33"/>
      <c r="Z882" s="33"/>
      <c r="AC882" s="58"/>
      <c r="AD882" s="58"/>
      <c r="AE882" s="60"/>
      <c r="AF882" s="60"/>
      <c r="AG882" s="60"/>
      <c r="AH882" s="60"/>
      <c r="AU882" s="69"/>
      <c r="AX882" s="66" t="s">
        <v>261</v>
      </c>
      <c r="AY882" s="107" t="s">
        <v>339</v>
      </c>
    </row>
    <row r="883" spans="1:51" ht="15.75">
      <c r="A883" s="57">
        <f t="shared" si="210"/>
        <v>881</v>
      </c>
      <c r="B883" s="64" t="s">
        <v>266</v>
      </c>
      <c r="E883" s="17"/>
      <c r="G883" s="17"/>
      <c r="I883" s="69"/>
      <c r="K883" s="66"/>
      <c r="M883" s="66"/>
      <c r="O883" s="69"/>
      <c r="Q883" s="66">
        <f aca="true" t="shared" si="211" ref="Q883:Q890">ROUND(O883*$G883,0)</f>
        <v>0</v>
      </c>
      <c r="R883" s="69"/>
      <c r="S883" s="58"/>
      <c r="T883" s="95"/>
      <c r="V883" s="95"/>
      <c r="W883" s="33"/>
      <c r="Z883" s="33"/>
      <c r="AC883" s="58"/>
      <c r="AD883" s="58"/>
      <c r="AE883" s="60"/>
      <c r="AF883" s="60"/>
      <c r="AG883" s="60"/>
      <c r="AH883" s="60"/>
      <c r="AU883" s="69"/>
      <c r="AW883" s="66"/>
      <c r="AX883" s="66" t="s">
        <v>261</v>
      </c>
      <c r="AY883" s="107" t="s">
        <v>339</v>
      </c>
    </row>
    <row r="884" spans="1:51" ht="15.75">
      <c r="A884" s="57">
        <f t="shared" si="210"/>
        <v>882</v>
      </c>
      <c r="B884" s="64" t="s">
        <v>308</v>
      </c>
      <c r="E884" s="17">
        <f aca="true" t="shared" si="212" ref="E884:E890">Z884</f>
        <v>1428</v>
      </c>
      <c r="G884" s="17">
        <f aca="true" t="shared" si="213" ref="G884:G890">E884*$G$926/$E$926</f>
        <v>1462.8918057382602</v>
      </c>
      <c r="I884" s="69">
        <v>7.66</v>
      </c>
      <c r="K884" s="66">
        <f aca="true" t="shared" si="214" ref="K884:K890">ROUND(I884*$E884,0)</f>
        <v>10938</v>
      </c>
      <c r="M884" s="66">
        <f aca="true" t="shared" si="215" ref="M884:M890">ROUND(I884*$G884,0)</f>
        <v>11206</v>
      </c>
      <c r="O884" s="69">
        <v>8.53</v>
      </c>
      <c r="Q884" s="66">
        <f t="shared" si="211"/>
        <v>12478</v>
      </c>
      <c r="R884" s="69">
        <f>ROUND($I884*(1+$R$824),2)</f>
        <v>8.53</v>
      </c>
      <c r="S884" s="58"/>
      <c r="T884" s="95">
        <f aca="true" t="shared" si="216" ref="T884:T890">S884/AU884-1</f>
        <v>-1</v>
      </c>
      <c r="U884" s="55">
        <f aca="true" t="shared" si="217" ref="U884:U890">S884-I884</f>
        <v>-7.66</v>
      </c>
      <c r="V884" s="95">
        <f aca="true" t="shared" si="218" ref="V884:V890">IF(AW884=0,"",K884/AW884-1)</f>
        <v>0.06983568075117375</v>
      </c>
      <c r="W884" s="33"/>
      <c r="Z884" s="33">
        <v>1428</v>
      </c>
      <c r="AA884" s="55">
        <v>1</v>
      </c>
      <c r="AC884" s="59">
        <v>64</v>
      </c>
      <c r="AD884" s="58">
        <f aca="true" t="shared" si="219" ref="AD884:AD890">AC884*E884</f>
        <v>91392</v>
      </c>
      <c r="AE884" s="60">
        <f aca="true" t="shared" si="220" ref="AE884:AE890">AC884*G884</f>
        <v>93625.07556724866</v>
      </c>
      <c r="AF884" s="60"/>
      <c r="AG884" s="60"/>
      <c r="AH884" s="60"/>
      <c r="AU884" s="69">
        <v>7.16</v>
      </c>
      <c r="AW884" s="66">
        <f aca="true" t="shared" si="221" ref="AW884:AW890">ROUND(AU884*$E884,0)</f>
        <v>10224</v>
      </c>
      <c r="AX884" s="66" t="s">
        <v>261</v>
      </c>
      <c r="AY884" s="107" t="s">
        <v>339</v>
      </c>
    </row>
    <row r="885" spans="1:51" ht="15.75">
      <c r="A885" s="57">
        <f t="shared" si="210"/>
        <v>883</v>
      </c>
      <c r="B885" s="64" t="s">
        <v>271</v>
      </c>
      <c r="E885" s="17">
        <f t="shared" si="212"/>
        <v>2580</v>
      </c>
      <c r="G885" s="17">
        <f t="shared" si="213"/>
        <v>2643.0398170901344</v>
      </c>
      <c r="I885" s="69">
        <v>10.4</v>
      </c>
      <c r="K885" s="66">
        <f t="shared" si="214"/>
        <v>26832</v>
      </c>
      <c r="M885" s="66">
        <f t="shared" si="215"/>
        <v>27488</v>
      </c>
      <c r="O885" s="69">
        <v>11.58</v>
      </c>
      <c r="Q885" s="66">
        <f t="shared" si="211"/>
        <v>30606</v>
      </c>
      <c r="R885" s="69">
        <f>ROUND($I885*(1+$R$824),2)</f>
        <v>11.58</v>
      </c>
      <c r="S885" s="58"/>
      <c r="T885" s="95">
        <f t="shared" si="216"/>
        <v>-1</v>
      </c>
      <c r="U885" s="55">
        <f t="shared" si="217"/>
        <v>-10.4</v>
      </c>
      <c r="V885" s="95">
        <f t="shared" si="218"/>
        <v>0.06994178164127929</v>
      </c>
      <c r="W885" s="33"/>
      <c r="Z885" s="33">
        <v>2580</v>
      </c>
      <c r="AA885" s="55">
        <v>3</v>
      </c>
      <c r="AC885" s="59">
        <v>99</v>
      </c>
      <c r="AD885" s="58">
        <f t="shared" si="219"/>
        <v>255420</v>
      </c>
      <c r="AE885" s="60">
        <f t="shared" si="220"/>
        <v>261660.9418919233</v>
      </c>
      <c r="AF885" s="60"/>
      <c r="AG885" s="60"/>
      <c r="AH885" s="60"/>
      <c r="AU885" s="69">
        <v>9.72</v>
      </c>
      <c r="AW885" s="66">
        <f t="shared" si="221"/>
        <v>25078</v>
      </c>
      <c r="AX885" s="66" t="s">
        <v>261</v>
      </c>
      <c r="AY885" s="107" t="s">
        <v>339</v>
      </c>
    </row>
    <row r="886" spans="1:51" ht="15.75">
      <c r="A886" s="57">
        <f t="shared" si="210"/>
        <v>884</v>
      </c>
      <c r="B886" s="64" t="s">
        <v>341</v>
      </c>
      <c r="E886" s="17">
        <f t="shared" si="212"/>
        <v>0</v>
      </c>
      <c r="G886" s="17">
        <f t="shared" si="213"/>
        <v>0</v>
      </c>
      <c r="I886" s="24">
        <f>ROUND(I885*0.9,2)</f>
        <v>9.36</v>
      </c>
      <c r="K886" s="66">
        <f t="shared" si="214"/>
        <v>0</v>
      </c>
      <c r="M886" s="66">
        <f t="shared" si="215"/>
        <v>0</v>
      </c>
      <c r="O886" s="24">
        <v>10.42</v>
      </c>
      <c r="Q886" s="66">
        <f t="shared" si="211"/>
        <v>0</v>
      </c>
      <c r="R886" s="24">
        <f>ROUND(R885*0.9,2)</f>
        <v>10.42</v>
      </c>
      <c r="S886" s="58"/>
      <c r="T886" s="95">
        <f t="shared" si="216"/>
        <v>-1</v>
      </c>
      <c r="U886" s="55">
        <f t="shared" si="217"/>
        <v>-9.36</v>
      </c>
      <c r="V886" s="95">
        <f t="shared" si="218"/>
      </c>
      <c r="W886" s="33"/>
      <c r="Z886" s="33">
        <v>0</v>
      </c>
      <c r="AA886" s="55">
        <v>4</v>
      </c>
      <c r="AC886" s="59">
        <v>65</v>
      </c>
      <c r="AD886" s="58">
        <f t="shared" si="219"/>
        <v>0</v>
      </c>
      <c r="AE886" s="60">
        <f t="shared" si="220"/>
        <v>0</v>
      </c>
      <c r="AF886" s="60"/>
      <c r="AG886" s="60"/>
      <c r="AH886" s="60"/>
      <c r="AU886" s="24">
        <f>ROUND(AU885*0.9,2)</f>
        <v>8.75</v>
      </c>
      <c r="AW886" s="66">
        <f t="shared" si="221"/>
        <v>0</v>
      </c>
      <c r="AX886" s="66" t="s">
        <v>261</v>
      </c>
      <c r="AY886" s="107" t="s">
        <v>339</v>
      </c>
    </row>
    <row r="887" spans="1:51" ht="15.75">
      <c r="A887" s="57">
        <f t="shared" si="210"/>
        <v>885</v>
      </c>
      <c r="B887" s="64" t="s">
        <v>272</v>
      </c>
      <c r="E887" s="17">
        <f t="shared" si="212"/>
        <v>1404</v>
      </c>
      <c r="G887" s="17">
        <f t="shared" si="213"/>
        <v>1438.3053888350962</v>
      </c>
      <c r="I887" s="69">
        <v>13.17</v>
      </c>
      <c r="K887" s="66">
        <f t="shared" si="214"/>
        <v>18491</v>
      </c>
      <c r="M887" s="66">
        <f t="shared" si="215"/>
        <v>18942</v>
      </c>
      <c r="O887" s="69">
        <v>14.67</v>
      </c>
      <c r="Q887" s="66">
        <f t="shared" si="211"/>
        <v>21100</v>
      </c>
      <c r="R887" s="69">
        <f>ROUND($I887*(1+$R$824),2)</f>
        <v>14.67</v>
      </c>
      <c r="S887" s="58"/>
      <c r="T887" s="95">
        <f t="shared" si="216"/>
        <v>-1</v>
      </c>
      <c r="U887" s="55">
        <f t="shared" si="217"/>
        <v>-13.17</v>
      </c>
      <c r="V887" s="95">
        <f t="shared" si="218"/>
        <v>0.06989527281143326</v>
      </c>
      <c r="W887" s="33"/>
      <c r="Z887" s="33">
        <v>1404</v>
      </c>
      <c r="AA887" s="55">
        <v>5</v>
      </c>
      <c r="AC887" s="59">
        <v>136</v>
      </c>
      <c r="AD887" s="58">
        <f t="shared" si="219"/>
        <v>190944</v>
      </c>
      <c r="AE887" s="60">
        <f t="shared" si="220"/>
        <v>195609.53288157308</v>
      </c>
      <c r="AF887" s="60"/>
      <c r="AG887" s="60"/>
      <c r="AH887" s="60"/>
      <c r="AU887" s="69">
        <v>12.31</v>
      </c>
      <c r="AW887" s="66">
        <f t="shared" si="221"/>
        <v>17283</v>
      </c>
      <c r="AX887" s="66" t="s">
        <v>261</v>
      </c>
      <c r="AY887" s="107" t="s">
        <v>339</v>
      </c>
    </row>
    <row r="888" spans="1:51" ht="15.75">
      <c r="A888" s="57">
        <f t="shared" si="210"/>
        <v>886</v>
      </c>
      <c r="B888" s="64" t="s">
        <v>342</v>
      </c>
      <c r="E888" s="17">
        <f t="shared" si="212"/>
        <v>0</v>
      </c>
      <c r="G888" s="17">
        <f t="shared" si="213"/>
        <v>0</v>
      </c>
      <c r="I888" s="24">
        <f>ROUND(I887*0.9,2)</f>
        <v>11.85</v>
      </c>
      <c r="K888" s="66">
        <f t="shared" si="214"/>
        <v>0</v>
      </c>
      <c r="M888" s="66">
        <f t="shared" si="215"/>
        <v>0</v>
      </c>
      <c r="O888" s="24">
        <v>13.2</v>
      </c>
      <c r="Q888" s="66">
        <f t="shared" si="211"/>
        <v>0</v>
      </c>
      <c r="R888" s="24">
        <f>ROUND(R887*0.9,2)</f>
        <v>13.2</v>
      </c>
      <c r="S888" s="58"/>
      <c r="T888" s="95">
        <f t="shared" si="216"/>
        <v>-1</v>
      </c>
      <c r="U888" s="55">
        <f t="shared" si="217"/>
        <v>-11.85</v>
      </c>
      <c r="V888" s="95">
        <f t="shared" si="218"/>
      </c>
      <c r="W888" s="33"/>
      <c r="Z888" s="33">
        <v>0</v>
      </c>
      <c r="AA888" s="55">
        <v>6</v>
      </c>
      <c r="AC888" s="59">
        <v>89</v>
      </c>
      <c r="AD888" s="58">
        <f t="shared" si="219"/>
        <v>0</v>
      </c>
      <c r="AE888" s="60">
        <f t="shared" si="220"/>
        <v>0</v>
      </c>
      <c r="AF888" s="60"/>
      <c r="AG888" s="60"/>
      <c r="AH888" s="60"/>
      <c r="AU888" s="24">
        <f>ROUND(AU887*0.9,2)</f>
        <v>11.08</v>
      </c>
      <c r="AW888" s="66">
        <f t="shared" si="221"/>
        <v>0</v>
      </c>
      <c r="AX888" s="66" t="s">
        <v>261</v>
      </c>
      <c r="AY888" s="107" t="s">
        <v>339</v>
      </c>
    </row>
    <row r="889" spans="1:51" ht="15.75">
      <c r="A889" s="57">
        <f t="shared" si="210"/>
        <v>887</v>
      </c>
      <c r="B889" s="64" t="s">
        <v>273</v>
      </c>
      <c r="E889" s="17">
        <f t="shared" si="212"/>
        <v>84</v>
      </c>
      <c r="G889" s="17">
        <f t="shared" si="213"/>
        <v>86.05245916107414</v>
      </c>
      <c r="I889" s="69">
        <v>17.4</v>
      </c>
      <c r="K889" s="66">
        <f t="shared" si="214"/>
        <v>1462</v>
      </c>
      <c r="M889" s="66">
        <f t="shared" si="215"/>
        <v>1497</v>
      </c>
      <c r="O889" s="69">
        <v>19.38</v>
      </c>
      <c r="Q889" s="66">
        <f t="shared" si="211"/>
        <v>1668</v>
      </c>
      <c r="R889" s="69">
        <f>ROUND($I889*(1+$R$824),2)</f>
        <v>19.38</v>
      </c>
      <c r="S889" s="58"/>
      <c r="T889" s="95">
        <f t="shared" si="216"/>
        <v>-1</v>
      </c>
      <c r="U889" s="55">
        <f t="shared" si="217"/>
        <v>-17.4</v>
      </c>
      <c r="V889" s="95">
        <f t="shared" si="218"/>
        <v>0.07027818448023426</v>
      </c>
      <c r="W889" s="33"/>
      <c r="Z889" s="33">
        <v>84</v>
      </c>
      <c r="AA889" s="55">
        <v>7</v>
      </c>
      <c r="AC889" s="59">
        <v>209</v>
      </c>
      <c r="AD889" s="58">
        <f t="shared" si="219"/>
        <v>17556</v>
      </c>
      <c r="AE889" s="60">
        <f t="shared" si="220"/>
        <v>17984.963964664494</v>
      </c>
      <c r="AF889" s="60"/>
      <c r="AG889" s="60"/>
      <c r="AH889" s="60"/>
      <c r="AU889" s="69">
        <v>16.26</v>
      </c>
      <c r="AW889" s="66">
        <f t="shared" si="221"/>
        <v>1366</v>
      </c>
      <c r="AX889" s="66" t="s">
        <v>261</v>
      </c>
      <c r="AY889" s="107" t="s">
        <v>339</v>
      </c>
    </row>
    <row r="890" spans="1:51" ht="15.75">
      <c r="A890" s="57">
        <f t="shared" si="210"/>
        <v>888</v>
      </c>
      <c r="B890" s="64" t="s">
        <v>274</v>
      </c>
      <c r="E890" s="22">
        <f t="shared" si="212"/>
        <v>0</v>
      </c>
      <c r="G890" s="22">
        <f t="shared" si="213"/>
        <v>0</v>
      </c>
      <c r="I890" s="137">
        <f>ROUND(I889*0.9,2)</f>
        <v>15.66</v>
      </c>
      <c r="J890" s="125"/>
      <c r="K890" s="81">
        <f t="shared" si="214"/>
        <v>0</v>
      </c>
      <c r="M890" s="81">
        <f t="shared" si="215"/>
        <v>0</v>
      </c>
      <c r="O890" s="137">
        <v>17.44</v>
      </c>
      <c r="P890" s="125"/>
      <c r="Q890" s="81">
        <f t="shared" si="211"/>
        <v>0</v>
      </c>
      <c r="R890" s="137">
        <f>ROUND(R889*0.9,2)</f>
        <v>17.44</v>
      </c>
      <c r="S890" s="58"/>
      <c r="T890" s="95">
        <f t="shared" si="216"/>
        <v>-1</v>
      </c>
      <c r="U890" s="55">
        <f t="shared" si="217"/>
        <v>-15.66</v>
      </c>
      <c r="V890" s="95">
        <f t="shared" si="218"/>
      </c>
      <c r="W890" s="33"/>
      <c r="Z890" s="33">
        <v>0</v>
      </c>
      <c r="AA890" s="55">
        <v>8</v>
      </c>
      <c r="AC890" s="59">
        <v>136</v>
      </c>
      <c r="AD890" s="58">
        <f t="shared" si="219"/>
        <v>0</v>
      </c>
      <c r="AE890" s="60">
        <f t="shared" si="220"/>
        <v>0</v>
      </c>
      <c r="AF890" s="60"/>
      <c r="AG890" s="60"/>
      <c r="AH890" s="60"/>
      <c r="AU890" s="137">
        <f>ROUND(AU889*0.9,2)</f>
        <v>14.63</v>
      </c>
      <c r="AV890" s="125"/>
      <c r="AW890" s="81">
        <f t="shared" si="221"/>
        <v>0</v>
      </c>
      <c r="AX890" s="66" t="s">
        <v>261</v>
      </c>
      <c r="AY890" s="107" t="s">
        <v>339</v>
      </c>
    </row>
    <row r="891" spans="1:51" ht="15.75">
      <c r="A891" s="57">
        <f t="shared" si="210"/>
        <v>889</v>
      </c>
      <c r="B891" s="64" t="s">
        <v>275</v>
      </c>
      <c r="E891" s="17"/>
      <c r="G891" s="17"/>
      <c r="S891" s="58"/>
      <c r="T891" s="95"/>
      <c r="V891" s="95"/>
      <c r="W891" s="33"/>
      <c r="Z891" s="33"/>
      <c r="AC891" s="58"/>
      <c r="AD891" s="58"/>
      <c r="AE891" s="60"/>
      <c r="AF891" s="60"/>
      <c r="AG891" s="60"/>
      <c r="AH891" s="60"/>
      <c r="AX891" s="66" t="s">
        <v>261</v>
      </c>
      <c r="AY891" s="107" t="s">
        <v>339</v>
      </c>
    </row>
    <row r="892" spans="1:51" ht="15.75">
      <c r="A892" s="57">
        <f t="shared" si="210"/>
        <v>890</v>
      </c>
      <c r="B892" s="64" t="s">
        <v>271</v>
      </c>
      <c r="E892" s="17">
        <f aca="true" t="shared" si="222" ref="E892:E899">Z892</f>
        <v>312</v>
      </c>
      <c r="G892" s="17">
        <f aca="true" t="shared" si="223" ref="G892:G899">E892*$G$926/$E$926</f>
        <v>319.62341974113247</v>
      </c>
      <c r="I892" s="69">
        <v>3.96</v>
      </c>
      <c r="K892" s="66">
        <f aca="true" t="shared" si="224" ref="K892:K899">ROUND(I892*$E892,0)</f>
        <v>1236</v>
      </c>
      <c r="M892" s="66">
        <f aca="true" t="shared" si="225" ref="M892:M899">ROUND(I892*$G892,0)</f>
        <v>1266</v>
      </c>
      <c r="O892" s="69">
        <v>4.41</v>
      </c>
      <c r="Q892" s="66">
        <f aca="true" t="shared" si="226" ref="Q892:Q899">ROUND(O892*$G892,0)</f>
        <v>1410</v>
      </c>
      <c r="R892" s="69">
        <f>ROUND($I892*(1+$R$824),2)</f>
        <v>4.41</v>
      </c>
      <c r="S892" s="58"/>
      <c r="T892" s="95">
        <f aca="true" t="shared" si="227" ref="T892:T899">S892/AU892-1</f>
        <v>-1</v>
      </c>
      <c r="U892" s="55">
        <f aca="true" t="shared" si="228" ref="U892:U899">S892-I892</f>
        <v>-3.96</v>
      </c>
      <c r="V892" s="95">
        <f aca="true" t="shared" si="229" ref="V892:V899">IF(AW892=0,"",K892/AW892-1)</f>
        <v>0.07105719237435015</v>
      </c>
      <c r="W892" s="33"/>
      <c r="Z892" s="33">
        <v>312</v>
      </c>
      <c r="AA892" s="55">
        <v>9</v>
      </c>
      <c r="AC892" s="59">
        <v>39</v>
      </c>
      <c r="AD892" s="58">
        <f aca="true" t="shared" si="230" ref="AD892:AD899">AC892*E892</f>
        <v>12168</v>
      </c>
      <c r="AE892" s="60">
        <f aca="true" t="shared" si="231" ref="AE892:AE899">AC892*G892</f>
        <v>12465.313369904166</v>
      </c>
      <c r="AF892" s="60"/>
      <c r="AG892" s="60"/>
      <c r="AH892" s="60"/>
      <c r="AU892" s="69">
        <v>3.7</v>
      </c>
      <c r="AW892" s="66">
        <f aca="true" t="shared" si="232" ref="AW892:AW899">ROUND(AU892*$E892,0)</f>
        <v>1154</v>
      </c>
      <c r="AX892" s="66" t="s">
        <v>261</v>
      </c>
      <c r="AY892" s="107" t="s">
        <v>339</v>
      </c>
    </row>
    <row r="893" spans="1:51" ht="15.75">
      <c r="A893" s="57">
        <f t="shared" si="210"/>
        <v>891</v>
      </c>
      <c r="B893" s="64" t="s">
        <v>162</v>
      </c>
      <c r="E893" s="17">
        <f t="shared" si="222"/>
        <v>583.9</v>
      </c>
      <c r="G893" s="17">
        <f t="shared" si="223"/>
        <v>598.1670345732283</v>
      </c>
      <c r="I893" s="69">
        <v>5.97</v>
      </c>
      <c r="K893" s="66">
        <f t="shared" si="224"/>
        <v>3486</v>
      </c>
      <c r="M893" s="66">
        <f t="shared" si="225"/>
        <v>3571</v>
      </c>
      <c r="O893" s="69">
        <v>6.65</v>
      </c>
      <c r="Q893" s="66">
        <f t="shared" si="226"/>
        <v>3978</v>
      </c>
      <c r="R893" s="69">
        <f>ROUND($I893*(1+$R$824),2)</f>
        <v>6.65</v>
      </c>
      <c r="S893" s="58"/>
      <c r="T893" s="95">
        <f t="shared" si="227"/>
        <v>-1</v>
      </c>
      <c r="U893" s="55">
        <f t="shared" si="228"/>
        <v>-5.97</v>
      </c>
      <c r="V893" s="95">
        <f t="shared" si="229"/>
        <v>0.06998158379373853</v>
      </c>
      <c r="W893" s="33"/>
      <c r="Z893" s="33">
        <v>583.9</v>
      </c>
      <c r="AA893" s="55">
        <v>11</v>
      </c>
      <c r="AC893" s="59">
        <v>69</v>
      </c>
      <c r="AD893" s="58">
        <f t="shared" si="230"/>
        <v>40289.1</v>
      </c>
      <c r="AE893" s="60">
        <f t="shared" si="231"/>
        <v>41273.525385552755</v>
      </c>
      <c r="AF893" s="60"/>
      <c r="AG893" s="60"/>
      <c r="AH893" s="60"/>
      <c r="AU893" s="69">
        <v>5.58</v>
      </c>
      <c r="AW893" s="66">
        <f t="shared" si="232"/>
        <v>3258</v>
      </c>
      <c r="AX893" s="66" t="s">
        <v>261</v>
      </c>
      <c r="AY893" s="107" t="s">
        <v>339</v>
      </c>
    </row>
    <row r="894" spans="1:51" ht="15.75">
      <c r="A894" s="57">
        <f t="shared" si="210"/>
        <v>892</v>
      </c>
      <c r="B894" s="64" t="s">
        <v>273</v>
      </c>
      <c r="E894" s="17">
        <f t="shared" si="222"/>
        <v>1368</v>
      </c>
      <c r="G894" s="17">
        <f t="shared" si="223"/>
        <v>1401.4257634803503</v>
      </c>
      <c r="I894" s="69">
        <v>7.76</v>
      </c>
      <c r="K894" s="66">
        <f t="shared" si="224"/>
        <v>10616</v>
      </c>
      <c r="M894" s="66">
        <f t="shared" si="225"/>
        <v>10875</v>
      </c>
      <c r="O894" s="69">
        <v>8.64</v>
      </c>
      <c r="Q894" s="66">
        <f t="shared" si="226"/>
        <v>12108</v>
      </c>
      <c r="R894" s="69">
        <f>ROUND($I894*(1+$R$824),2)</f>
        <v>8.64</v>
      </c>
      <c r="S894" s="58"/>
      <c r="T894" s="95">
        <f t="shared" si="227"/>
        <v>-1</v>
      </c>
      <c r="U894" s="55">
        <f t="shared" si="228"/>
        <v>-7.76</v>
      </c>
      <c r="V894" s="95">
        <f t="shared" si="229"/>
        <v>0.07037709215567656</v>
      </c>
      <c r="W894" s="33"/>
      <c r="Z894" s="33">
        <v>1368</v>
      </c>
      <c r="AA894" s="55">
        <v>13</v>
      </c>
      <c r="AC894" s="59">
        <v>93</v>
      </c>
      <c r="AD894" s="58">
        <f t="shared" si="230"/>
        <v>127224</v>
      </c>
      <c r="AE894" s="60">
        <f t="shared" si="231"/>
        <v>130332.59600367257</v>
      </c>
      <c r="AF894" s="60"/>
      <c r="AG894" s="60"/>
      <c r="AH894" s="60"/>
      <c r="AU894" s="69">
        <v>7.25</v>
      </c>
      <c r="AW894" s="66">
        <f t="shared" si="232"/>
        <v>9918</v>
      </c>
      <c r="AX894" s="66" t="s">
        <v>261</v>
      </c>
      <c r="AY894" s="107" t="s">
        <v>339</v>
      </c>
    </row>
    <row r="895" spans="1:51" ht="15.75">
      <c r="A895" s="57">
        <f t="shared" si="210"/>
        <v>893</v>
      </c>
      <c r="B895" s="64" t="s">
        <v>274</v>
      </c>
      <c r="E895" s="17">
        <f t="shared" si="222"/>
        <v>252</v>
      </c>
      <c r="G895" s="17">
        <f t="shared" si="223"/>
        <v>258.1573774832224</v>
      </c>
      <c r="I895" s="24">
        <f>ROUND(I894*0.9,2)</f>
        <v>6.98</v>
      </c>
      <c r="K895" s="66">
        <f t="shared" si="224"/>
        <v>1759</v>
      </c>
      <c r="M895" s="66">
        <f t="shared" si="225"/>
        <v>1802</v>
      </c>
      <c r="O895" s="24">
        <v>7.78</v>
      </c>
      <c r="Q895" s="66">
        <f t="shared" si="226"/>
        <v>2008</v>
      </c>
      <c r="R895" s="24">
        <f>ROUND(R894*0.9,2)</f>
        <v>7.78</v>
      </c>
      <c r="S895" s="58"/>
      <c r="T895" s="95">
        <f t="shared" si="227"/>
        <v>-1</v>
      </c>
      <c r="U895" s="55">
        <f t="shared" si="228"/>
        <v>-6.98</v>
      </c>
      <c r="V895" s="95">
        <f t="shared" si="229"/>
        <v>0.06865127582017005</v>
      </c>
      <c r="W895" s="33"/>
      <c r="Z895" s="33">
        <v>252</v>
      </c>
      <c r="AA895" s="55">
        <v>14</v>
      </c>
      <c r="AC895" s="59">
        <v>60</v>
      </c>
      <c r="AD895" s="58">
        <f t="shared" si="230"/>
        <v>15120</v>
      </c>
      <c r="AE895" s="60">
        <f t="shared" si="231"/>
        <v>15489.442648993343</v>
      </c>
      <c r="AF895" s="60"/>
      <c r="AG895" s="60"/>
      <c r="AH895" s="60"/>
      <c r="AU895" s="24">
        <f>ROUND(AU894*0.9,2)</f>
        <v>6.53</v>
      </c>
      <c r="AW895" s="66">
        <f t="shared" si="232"/>
        <v>1646</v>
      </c>
      <c r="AX895" s="66" t="s">
        <v>261</v>
      </c>
      <c r="AY895" s="107" t="s">
        <v>339</v>
      </c>
    </row>
    <row r="896" spans="1:51" ht="15.75">
      <c r="A896" s="57">
        <f t="shared" si="210"/>
        <v>894</v>
      </c>
      <c r="B896" s="64" t="s">
        <v>164</v>
      </c>
      <c r="E896" s="17">
        <f t="shared" si="222"/>
        <v>827.23</v>
      </c>
      <c r="G896" s="17">
        <f t="shared" si="223"/>
        <v>847.4425689501828</v>
      </c>
      <c r="I896" s="69">
        <v>11.37</v>
      </c>
      <c r="K896" s="66">
        <f t="shared" si="224"/>
        <v>9406</v>
      </c>
      <c r="M896" s="66">
        <f t="shared" si="225"/>
        <v>9635</v>
      </c>
      <c r="O896" s="69">
        <v>12.67</v>
      </c>
      <c r="Q896" s="66">
        <f t="shared" si="226"/>
        <v>10737</v>
      </c>
      <c r="R896" s="69">
        <f>ROUND($I896*(1+$R$824),2)</f>
        <v>12.67</v>
      </c>
      <c r="S896" s="58"/>
      <c r="T896" s="95">
        <f t="shared" si="227"/>
        <v>-1</v>
      </c>
      <c r="U896" s="55">
        <f t="shared" si="228"/>
        <v>-11.37</v>
      </c>
      <c r="V896" s="95">
        <f t="shared" si="229"/>
        <v>0.06971454566132151</v>
      </c>
      <c r="W896" s="33"/>
      <c r="Z896" s="33">
        <v>827.23</v>
      </c>
      <c r="AA896" s="55">
        <v>15</v>
      </c>
      <c r="AC896" s="59">
        <v>145</v>
      </c>
      <c r="AD896" s="58">
        <f t="shared" si="230"/>
        <v>119948.35</v>
      </c>
      <c r="AE896" s="60">
        <f t="shared" si="231"/>
        <v>122879.17249777651</v>
      </c>
      <c r="AF896" s="60"/>
      <c r="AG896" s="60"/>
      <c r="AH896" s="60"/>
      <c r="AU896" s="69">
        <v>10.63</v>
      </c>
      <c r="AW896" s="66">
        <f t="shared" si="232"/>
        <v>8793</v>
      </c>
      <c r="AX896" s="66" t="s">
        <v>261</v>
      </c>
      <c r="AY896" s="107" t="s">
        <v>339</v>
      </c>
    </row>
    <row r="897" spans="1:51" ht="15.75">
      <c r="A897" s="57">
        <f t="shared" si="210"/>
        <v>895</v>
      </c>
      <c r="B897" s="64" t="s">
        <v>276</v>
      </c>
      <c r="E897" s="17">
        <f t="shared" si="222"/>
        <v>627.2</v>
      </c>
      <c r="G897" s="17">
        <f t="shared" si="223"/>
        <v>642.5250284026869</v>
      </c>
      <c r="I897" s="24">
        <f>ROUND(I896*0.9,2)</f>
        <v>10.23</v>
      </c>
      <c r="K897" s="66">
        <f t="shared" si="224"/>
        <v>6416</v>
      </c>
      <c r="M897" s="66">
        <f t="shared" si="225"/>
        <v>6573</v>
      </c>
      <c r="O897" s="24">
        <v>11.4</v>
      </c>
      <c r="Q897" s="66">
        <f t="shared" si="226"/>
        <v>7325</v>
      </c>
      <c r="R897" s="24">
        <f>ROUND(R896*0.9,2)</f>
        <v>11.4</v>
      </c>
      <c r="S897" s="58"/>
      <c r="T897" s="95">
        <f t="shared" si="227"/>
        <v>-1</v>
      </c>
      <c r="U897" s="55">
        <f t="shared" si="228"/>
        <v>-10.23</v>
      </c>
      <c r="V897" s="95">
        <f t="shared" si="229"/>
        <v>0.06897700766411186</v>
      </c>
      <c r="W897" s="33"/>
      <c r="Z897" s="33">
        <v>627.2</v>
      </c>
      <c r="AA897" s="55">
        <v>16</v>
      </c>
      <c r="AC897" s="59">
        <v>94</v>
      </c>
      <c r="AD897" s="58">
        <f t="shared" si="230"/>
        <v>58956.8</v>
      </c>
      <c r="AE897" s="60">
        <f t="shared" si="231"/>
        <v>60397.35266985257</v>
      </c>
      <c r="AF897" s="60"/>
      <c r="AG897" s="60"/>
      <c r="AH897" s="60"/>
      <c r="AU897" s="24">
        <f>ROUND(AU896*0.9,2)</f>
        <v>9.57</v>
      </c>
      <c r="AW897" s="66">
        <f t="shared" si="232"/>
        <v>6002</v>
      </c>
      <c r="AX897" s="66" t="s">
        <v>261</v>
      </c>
      <c r="AY897" s="107" t="s">
        <v>339</v>
      </c>
    </row>
    <row r="898" spans="1:51" ht="15.75">
      <c r="A898" s="57">
        <f t="shared" si="210"/>
        <v>896</v>
      </c>
      <c r="B898" s="64" t="s">
        <v>313</v>
      </c>
      <c r="E898" s="17">
        <f t="shared" si="222"/>
        <v>0</v>
      </c>
      <c r="G898" s="17">
        <f t="shared" si="223"/>
        <v>0</v>
      </c>
      <c r="I898" s="69">
        <v>18.46</v>
      </c>
      <c r="K898" s="66">
        <f t="shared" si="224"/>
        <v>0</v>
      </c>
      <c r="M898" s="66">
        <f t="shared" si="225"/>
        <v>0</v>
      </c>
      <c r="O898" s="69">
        <v>20.56</v>
      </c>
      <c r="Q898" s="66">
        <f t="shared" si="226"/>
        <v>0</v>
      </c>
      <c r="R898" s="69">
        <f>ROUND($I898*(1+$R$824),2)</f>
        <v>20.56</v>
      </c>
      <c r="S898" s="58"/>
      <c r="T898" s="95">
        <f t="shared" si="227"/>
        <v>-1</v>
      </c>
      <c r="U898" s="55">
        <f t="shared" si="228"/>
        <v>-18.46</v>
      </c>
      <c r="V898" s="95">
        <f t="shared" si="229"/>
      </c>
      <c r="W898" s="33"/>
      <c r="Z898" s="33">
        <v>0</v>
      </c>
      <c r="AA898" s="55">
        <v>17</v>
      </c>
      <c r="AC898" s="59">
        <v>248</v>
      </c>
      <c r="AD898" s="58">
        <f t="shared" si="230"/>
        <v>0</v>
      </c>
      <c r="AE898" s="60">
        <f t="shared" si="231"/>
        <v>0</v>
      </c>
      <c r="AF898" s="60"/>
      <c r="AG898" s="60"/>
      <c r="AH898" s="60"/>
      <c r="AU898" s="69">
        <v>17.25</v>
      </c>
      <c r="AW898" s="66">
        <f t="shared" si="232"/>
        <v>0</v>
      </c>
      <c r="AX898" s="66" t="s">
        <v>261</v>
      </c>
      <c r="AY898" s="107" t="s">
        <v>339</v>
      </c>
    </row>
    <row r="899" spans="1:51" ht="15.75">
      <c r="A899" s="57">
        <f t="shared" si="210"/>
        <v>897</v>
      </c>
      <c r="B899" s="64" t="s">
        <v>314</v>
      </c>
      <c r="E899" s="22">
        <f t="shared" si="222"/>
        <v>240</v>
      </c>
      <c r="G899" s="22">
        <f t="shared" si="223"/>
        <v>245.8641690316404</v>
      </c>
      <c r="I899" s="127">
        <v>24.15</v>
      </c>
      <c r="J899" s="125"/>
      <c r="K899" s="81">
        <f t="shared" si="224"/>
        <v>5796</v>
      </c>
      <c r="M899" s="81">
        <f t="shared" si="225"/>
        <v>5938</v>
      </c>
      <c r="O899" s="127">
        <v>26.9</v>
      </c>
      <c r="P899" s="125"/>
      <c r="Q899" s="81">
        <f t="shared" si="226"/>
        <v>6614</v>
      </c>
      <c r="R899" s="127">
        <f>ROUND($I899*(1+$R$824),2)</f>
        <v>26.9</v>
      </c>
      <c r="S899" s="58"/>
      <c r="T899" s="95">
        <f t="shared" si="227"/>
        <v>-1</v>
      </c>
      <c r="U899" s="55">
        <f t="shared" si="228"/>
        <v>-24.15</v>
      </c>
      <c r="V899" s="95">
        <f t="shared" si="229"/>
        <v>0.06996492523537023</v>
      </c>
      <c r="W899" s="33"/>
      <c r="Z899" s="33">
        <v>240</v>
      </c>
      <c r="AA899" s="55">
        <v>19</v>
      </c>
      <c r="AC899" s="59">
        <v>352</v>
      </c>
      <c r="AD899" s="58">
        <f t="shared" si="230"/>
        <v>84480</v>
      </c>
      <c r="AE899" s="60">
        <f t="shared" si="231"/>
        <v>86544.18749913742</v>
      </c>
      <c r="AF899" s="60"/>
      <c r="AG899" s="60"/>
      <c r="AH899" s="60"/>
      <c r="AU899" s="127">
        <v>22.57</v>
      </c>
      <c r="AV899" s="125"/>
      <c r="AW899" s="81">
        <f t="shared" si="232"/>
        <v>5417</v>
      </c>
      <c r="AX899" s="66" t="s">
        <v>261</v>
      </c>
      <c r="AY899" s="107" t="s">
        <v>339</v>
      </c>
    </row>
    <row r="900" spans="1:51" ht="15.75">
      <c r="A900" s="57">
        <f t="shared" si="210"/>
        <v>898</v>
      </c>
      <c r="B900" s="64" t="s">
        <v>277</v>
      </c>
      <c r="E900" s="17"/>
      <c r="G900" s="17"/>
      <c r="I900" s="76"/>
      <c r="K900" s="66"/>
      <c r="M900" s="66"/>
      <c r="O900" s="76"/>
      <c r="Q900" s="66"/>
      <c r="R900" s="76"/>
      <c r="S900" s="58"/>
      <c r="T900" s="95"/>
      <c r="V900" s="95"/>
      <c r="W900" s="33"/>
      <c r="Z900" s="33"/>
      <c r="AC900" s="58"/>
      <c r="AD900" s="58"/>
      <c r="AE900" s="60"/>
      <c r="AF900" s="60"/>
      <c r="AG900" s="60"/>
      <c r="AH900" s="60"/>
      <c r="AU900" s="76"/>
      <c r="AW900" s="66"/>
      <c r="AX900" s="66" t="s">
        <v>261</v>
      </c>
      <c r="AY900" s="107" t="s">
        <v>339</v>
      </c>
    </row>
    <row r="901" spans="1:51" ht="15.75">
      <c r="A901" s="57">
        <f t="shared" si="210"/>
        <v>899</v>
      </c>
      <c r="B901" s="64" t="s">
        <v>278</v>
      </c>
      <c r="E901" s="17">
        <f aca="true" t="shared" si="233" ref="E901:E911">Z901</f>
        <v>30311.13</v>
      </c>
      <c r="G901" s="17">
        <f aca="true" t="shared" si="234" ref="G901:G911">E901*$G$926/$E$926</f>
        <v>31051.75329108344</v>
      </c>
      <c r="I901" s="69">
        <v>3.47</v>
      </c>
      <c r="K901" s="66">
        <f aca="true" t="shared" si="235" ref="K901:K911">ROUND(I901*$E901,0)</f>
        <v>105180</v>
      </c>
      <c r="M901" s="66">
        <f aca="true" t="shared" si="236" ref="M901:M911">ROUND(I901*$G901,0)</f>
        <v>107750</v>
      </c>
      <c r="O901" s="69">
        <v>3.87</v>
      </c>
      <c r="Q901" s="66">
        <f aca="true" t="shared" si="237" ref="Q901:Q911">ROUND(O901*$G901,0)</f>
        <v>120170</v>
      </c>
      <c r="R901" s="69">
        <f>ROUND($I901*(1+$R$824),2)</f>
        <v>3.87</v>
      </c>
      <c r="S901" s="58"/>
      <c r="T901" s="95">
        <f aca="true" t="shared" si="238" ref="T901:T911">S901/AU901-1</f>
        <v>-1</v>
      </c>
      <c r="U901" s="55">
        <f aca="true" t="shared" si="239" ref="U901:U911">S901-I901</f>
        <v>-3.47</v>
      </c>
      <c r="V901" s="95">
        <f aca="true" t="shared" si="240" ref="V901:V911">IF(AW901=0,"",K901/AW901-1)</f>
        <v>0.07099217986314765</v>
      </c>
      <c r="W901" s="33"/>
      <c r="Z901" s="33">
        <v>30311.13</v>
      </c>
      <c r="AA901" s="55">
        <v>21</v>
      </c>
      <c r="AC901" s="59">
        <v>28</v>
      </c>
      <c r="AD901" s="58">
        <f aca="true" t="shared" si="241" ref="AD901:AD911">AC901*E901</f>
        <v>848711.64</v>
      </c>
      <c r="AE901" s="60">
        <f aca="true" t="shared" si="242" ref="AE901:AE911">AC901*G901</f>
        <v>869449.0921503364</v>
      </c>
      <c r="AF901" s="60"/>
      <c r="AG901" s="60"/>
      <c r="AH901" s="60"/>
      <c r="AU901" s="69">
        <v>3.24</v>
      </c>
      <c r="AW901" s="66">
        <f aca="true" t="shared" si="243" ref="AW901:AW911">ROUND(AU901*$E901,0)</f>
        <v>98208</v>
      </c>
      <c r="AX901" s="66" t="s">
        <v>261</v>
      </c>
      <c r="AY901" s="107" t="s">
        <v>339</v>
      </c>
    </row>
    <row r="902" spans="1:51" ht="15.75">
      <c r="A902" s="57">
        <f t="shared" si="210"/>
        <v>900</v>
      </c>
      <c r="B902" s="64" t="s">
        <v>279</v>
      </c>
      <c r="E902" s="17">
        <f t="shared" si="233"/>
        <v>0</v>
      </c>
      <c r="G902" s="17">
        <f t="shared" si="234"/>
        <v>0</v>
      </c>
      <c r="I902" s="24">
        <f>ROUND(I901*0.9,2)</f>
        <v>3.12</v>
      </c>
      <c r="K902" s="66">
        <f t="shared" si="235"/>
        <v>0</v>
      </c>
      <c r="M902" s="66">
        <f t="shared" si="236"/>
        <v>0</v>
      </c>
      <c r="O902" s="24">
        <v>3.48</v>
      </c>
      <c r="Q902" s="66">
        <f t="shared" si="237"/>
        <v>0</v>
      </c>
      <c r="R902" s="24">
        <f>ROUND(R901*0.9,2)</f>
        <v>3.48</v>
      </c>
      <c r="S902" s="58"/>
      <c r="T902" s="95">
        <f t="shared" si="238"/>
        <v>-1</v>
      </c>
      <c r="U902" s="55">
        <f t="shared" si="239"/>
        <v>-3.12</v>
      </c>
      <c r="V902" s="95">
        <f t="shared" si="240"/>
      </c>
      <c r="W902" s="33"/>
      <c r="Z902" s="33">
        <v>0</v>
      </c>
      <c r="AA902" s="55">
        <v>22</v>
      </c>
      <c r="AC902" s="59">
        <v>28</v>
      </c>
      <c r="AD902" s="58">
        <f t="shared" si="241"/>
        <v>0</v>
      </c>
      <c r="AE902" s="60">
        <f t="shared" si="242"/>
        <v>0</v>
      </c>
      <c r="AF902" s="60"/>
      <c r="AG902" s="60"/>
      <c r="AH902" s="60"/>
      <c r="AU902" s="24">
        <f>ROUND(AU901*0.9,2)</f>
        <v>2.92</v>
      </c>
      <c r="AW902" s="66">
        <f t="shared" si="243"/>
        <v>0</v>
      </c>
      <c r="AX902" s="66" t="s">
        <v>261</v>
      </c>
      <c r="AY902" s="107" t="s">
        <v>339</v>
      </c>
    </row>
    <row r="903" spans="1:51" ht="15.75">
      <c r="A903" s="57">
        <f t="shared" si="210"/>
        <v>901</v>
      </c>
      <c r="B903" s="64" t="s">
        <v>280</v>
      </c>
      <c r="E903" s="17">
        <f t="shared" si="233"/>
        <v>57050.96</v>
      </c>
      <c r="G903" s="17">
        <f t="shared" si="234"/>
        <v>58444.94530357231</v>
      </c>
      <c r="I903" s="69">
        <v>4.58</v>
      </c>
      <c r="K903" s="66">
        <f t="shared" si="235"/>
        <v>261293</v>
      </c>
      <c r="M903" s="66">
        <f t="shared" si="236"/>
        <v>267678</v>
      </c>
      <c r="O903" s="69">
        <v>5.1</v>
      </c>
      <c r="Q903" s="66">
        <f t="shared" si="237"/>
        <v>298069</v>
      </c>
      <c r="R903" s="69">
        <f>ROUND($I903*(1+$R$824),2)</f>
        <v>5.1</v>
      </c>
      <c r="S903" s="58"/>
      <c r="T903" s="95">
        <f t="shared" si="238"/>
        <v>-1</v>
      </c>
      <c r="U903" s="55">
        <f t="shared" si="239"/>
        <v>-4.58</v>
      </c>
      <c r="V903" s="95">
        <f t="shared" si="240"/>
        <v>0.07009230970849134</v>
      </c>
      <c r="W903" s="33"/>
      <c r="Z903" s="33">
        <v>57050.96</v>
      </c>
      <c r="AA903" s="55">
        <v>23</v>
      </c>
      <c r="AC903" s="59">
        <v>39</v>
      </c>
      <c r="AD903" s="58">
        <f t="shared" si="241"/>
        <v>2224987.44</v>
      </c>
      <c r="AE903" s="60">
        <f t="shared" si="242"/>
        <v>2279352.8668393204</v>
      </c>
      <c r="AF903" s="60"/>
      <c r="AG903" s="60"/>
      <c r="AH903" s="60"/>
      <c r="AU903" s="69">
        <v>4.28</v>
      </c>
      <c r="AW903" s="66">
        <f t="shared" si="243"/>
        <v>244178</v>
      </c>
      <c r="AX903" s="66" t="s">
        <v>261</v>
      </c>
      <c r="AY903" s="107" t="s">
        <v>339</v>
      </c>
    </row>
    <row r="904" spans="1:51" ht="15.75">
      <c r="A904" s="57">
        <f t="shared" si="210"/>
        <v>902</v>
      </c>
      <c r="B904" s="64" t="s">
        <v>281</v>
      </c>
      <c r="E904" s="17">
        <f t="shared" si="233"/>
        <v>132</v>
      </c>
      <c r="G904" s="17">
        <f t="shared" si="234"/>
        <v>135.22529296740223</v>
      </c>
      <c r="I904" s="24">
        <f>ROUND(I903*0.9,2)</f>
        <v>4.12</v>
      </c>
      <c r="K904" s="66">
        <f t="shared" si="235"/>
        <v>544</v>
      </c>
      <c r="M904" s="66">
        <f t="shared" si="236"/>
        <v>557</v>
      </c>
      <c r="O904" s="24">
        <v>4.59</v>
      </c>
      <c r="Q904" s="66">
        <f t="shared" si="237"/>
        <v>621</v>
      </c>
      <c r="R904" s="24">
        <f>ROUND(R903*0.9,2)</f>
        <v>4.59</v>
      </c>
      <c r="S904" s="58"/>
      <c r="T904" s="95">
        <f t="shared" si="238"/>
        <v>-1</v>
      </c>
      <c r="U904" s="55">
        <f t="shared" si="239"/>
        <v>-4.12</v>
      </c>
      <c r="V904" s="95">
        <f t="shared" si="240"/>
        <v>0.07086614173228356</v>
      </c>
      <c r="W904" s="33"/>
      <c r="Z904" s="33">
        <v>132</v>
      </c>
      <c r="AA904" s="55">
        <v>24</v>
      </c>
      <c r="AC904" s="59">
        <v>39</v>
      </c>
      <c r="AD904" s="58">
        <f t="shared" si="241"/>
        <v>5148</v>
      </c>
      <c r="AE904" s="60">
        <f t="shared" si="242"/>
        <v>5273.7864257286865</v>
      </c>
      <c r="AF904" s="60"/>
      <c r="AG904" s="60"/>
      <c r="AH904" s="60"/>
      <c r="AU904" s="24">
        <f>ROUND(AU903*0.9,2)</f>
        <v>3.85</v>
      </c>
      <c r="AW904" s="66">
        <f t="shared" si="243"/>
        <v>508</v>
      </c>
      <c r="AX904" s="66" t="s">
        <v>261</v>
      </c>
      <c r="AY904" s="107" t="s">
        <v>339</v>
      </c>
    </row>
    <row r="905" spans="1:51" ht="15.75">
      <c r="A905" s="57">
        <f t="shared" si="210"/>
        <v>903</v>
      </c>
      <c r="B905" s="64" t="s">
        <v>282</v>
      </c>
      <c r="E905" s="17">
        <f t="shared" si="233"/>
        <v>10164.37</v>
      </c>
      <c r="G905" s="17">
        <f t="shared" si="234"/>
        <v>10412.726599083895</v>
      </c>
      <c r="I905" s="69">
        <v>5.56</v>
      </c>
      <c r="K905" s="66">
        <f t="shared" si="235"/>
        <v>56514</v>
      </c>
      <c r="M905" s="66">
        <f t="shared" si="236"/>
        <v>57895</v>
      </c>
      <c r="O905" s="69">
        <v>6.19</v>
      </c>
      <c r="Q905" s="66">
        <f t="shared" si="237"/>
        <v>64455</v>
      </c>
      <c r="R905" s="69">
        <f>ROUND($I905*(1+$R$824),2)</f>
        <v>6.19</v>
      </c>
      <c r="S905" s="58"/>
      <c r="T905" s="95">
        <f t="shared" si="238"/>
        <v>-1</v>
      </c>
      <c r="U905" s="55">
        <f t="shared" si="239"/>
        <v>-5.56</v>
      </c>
      <c r="V905" s="95">
        <f t="shared" si="240"/>
        <v>0.06922713082962817</v>
      </c>
      <c r="W905" s="33"/>
      <c r="Z905" s="33">
        <v>10164.37</v>
      </c>
      <c r="AA905" s="55">
        <v>25</v>
      </c>
      <c r="AC905" s="59">
        <v>59</v>
      </c>
      <c r="AD905" s="58">
        <f t="shared" si="241"/>
        <v>599697.8300000001</v>
      </c>
      <c r="AE905" s="60">
        <f t="shared" si="242"/>
        <v>614350.8693459498</v>
      </c>
      <c r="AF905" s="60"/>
      <c r="AG905" s="60"/>
      <c r="AH905" s="60"/>
      <c r="AU905" s="69">
        <v>5.2</v>
      </c>
      <c r="AW905" s="66">
        <f t="shared" si="243"/>
        <v>52855</v>
      </c>
      <c r="AX905" s="66" t="s">
        <v>261</v>
      </c>
      <c r="AY905" s="107" t="s">
        <v>339</v>
      </c>
    </row>
    <row r="906" spans="1:51" ht="15.75">
      <c r="A906" s="57">
        <f t="shared" si="210"/>
        <v>904</v>
      </c>
      <c r="B906" s="64" t="s">
        <v>283</v>
      </c>
      <c r="E906" s="17">
        <f t="shared" si="233"/>
        <v>384</v>
      </c>
      <c r="G906" s="17">
        <f t="shared" si="234"/>
        <v>393.38267045062463</v>
      </c>
      <c r="I906" s="24">
        <f>ROUND(I905*0.9,2)</f>
        <v>5</v>
      </c>
      <c r="K906" s="66">
        <f t="shared" si="235"/>
        <v>1920</v>
      </c>
      <c r="M906" s="66">
        <f t="shared" si="236"/>
        <v>1967</v>
      </c>
      <c r="O906" s="24">
        <v>5.57</v>
      </c>
      <c r="Q906" s="66">
        <f t="shared" si="237"/>
        <v>2191</v>
      </c>
      <c r="R906" s="24">
        <f>ROUND(R905*0.9,2)</f>
        <v>5.57</v>
      </c>
      <c r="S906" s="58"/>
      <c r="T906" s="95">
        <f t="shared" si="238"/>
        <v>-1</v>
      </c>
      <c r="U906" s="55">
        <f t="shared" si="239"/>
        <v>-5</v>
      </c>
      <c r="V906" s="95">
        <f t="shared" si="240"/>
        <v>0.06844741235392315</v>
      </c>
      <c r="W906" s="33"/>
      <c r="Z906" s="33">
        <v>384</v>
      </c>
      <c r="AA906" s="55">
        <v>26</v>
      </c>
      <c r="AC906" s="59">
        <v>38</v>
      </c>
      <c r="AD906" s="58">
        <f t="shared" si="241"/>
        <v>14592</v>
      </c>
      <c r="AE906" s="60">
        <f t="shared" si="242"/>
        <v>14948.541477123736</v>
      </c>
      <c r="AF906" s="60"/>
      <c r="AG906" s="60"/>
      <c r="AH906" s="60"/>
      <c r="AU906" s="24">
        <f>ROUND(AU905*0.9,2)</f>
        <v>4.68</v>
      </c>
      <c r="AW906" s="66">
        <f t="shared" si="243"/>
        <v>1797</v>
      </c>
      <c r="AX906" s="66" t="s">
        <v>261</v>
      </c>
      <c r="AY906" s="107" t="s">
        <v>339</v>
      </c>
    </row>
    <row r="907" spans="1:51" ht="15.75">
      <c r="A907" s="57">
        <f t="shared" si="210"/>
        <v>905</v>
      </c>
      <c r="B907" s="64" t="s">
        <v>172</v>
      </c>
      <c r="E907" s="17">
        <f t="shared" si="233"/>
        <v>492</v>
      </c>
      <c r="G907" s="17">
        <f t="shared" si="234"/>
        <v>504.0215465148628</v>
      </c>
      <c r="I907" s="69">
        <v>7.02</v>
      </c>
      <c r="K907" s="66">
        <f t="shared" si="235"/>
        <v>3454</v>
      </c>
      <c r="M907" s="66">
        <f t="shared" si="236"/>
        <v>3538</v>
      </c>
      <c r="O907" s="69">
        <v>7.82</v>
      </c>
      <c r="Q907" s="66">
        <f t="shared" si="237"/>
        <v>3941</v>
      </c>
      <c r="R907" s="69">
        <f>ROUND($I907*(1+$R$824),2)</f>
        <v>7.82</v>
      </c>
      <c r="S907" s="58"/>
      <c r="T907" s="95">
        <f t="shared" si="238"/>
        <v>-1</v>
      </c>
      <c r="U907" s="55">
        <f t="shared" si="239"/>
        <v>-7.02</v>
      </c>
      <c r="V907" s="95">
        <f t="shared" si="240"/>
        <v>0.07001239157372985</v>
      </c>
      <c r="W907" s="33"/>
      <c r="Z907" s="33">
        <v>492</v>
      </c>
      <c r="AA907" s="55">
        <v>45</v>
      </c>
      <c r="AC907" s="59">
        <v>76</v>
      </c>
      <c r="AD907" s="58">
        <f t="shared" si="241"/>
        <v>37392</v>
      </c>
      <c r="AE907" s="60">
        <f t="shared" si="242"/>
        <v>38305.63753512957</v>
      </c>
      <c r="AF907" s="60"/>
      <c r="AG907" s="60"/>
      <c r="AH907" s="60"/>
      <c r="AU907" s="19">
        <v>6.56</v>
      </c>
      <c r="AW907" s="66">
        <f t="shared" si="243"/>
        <v>3228</v>
      </c>
      <c r="AX907" s="66" t="s">
        <v>261</v>
      </c>
      <c r="AY907" s="107" t="s">
        <v>339</v>
      </c>
    </row>
    <row r="908" spans="1:51" ht="15.75">
      <c r="A908" s="57">
        <f t="shared" si="210"/>
        <v>906</v>
      </c>
      <c r="B908" s="64" t="s">
        <v>284</v>
      </c>
      <c r="E908" s="17">
        <f t="shared" si="233"/>
        <v>39118.03</v>
      </c>
      <c r="G908" s="17">
        <f t="shared" si="234"/>
        <v>40073.84141710325</v>
      </c>
      <c r="I908" s="69">
        <v>8.18</v>
      </c>
      <c r="K908" s="66">
        <f t="shared" si="235"/>
        <v>319985</v>
      </c>
      <c r="M908" s="66">
        <f t="shared" si="236"/>
        <v>327804</v>
      </c>
      <c r="O908" s="69">
        <v>9.11</v>
      </c>
      <c r="Q908" s="66">
        <f t="shared" si="237"/>
        <v>365073</v>
      </c>
      <c r="R908" s="69">
        <f>ROUND($I908*(1+$R$824),2)</f>
        <v>9.11</v>
      </c>
      <c r="S908" s="58"/>
      <c r="T908" s="95">
        <f t="shared" si="238"/>
        <v>-1</v>
      </c>
      <c r="U908" s="55">
        <f t="shared" si="239"/>
        <v>-8.18</v>
      </c>
      <c r="V908" s="95">
        <f t="shared" si="240"/>
        <v>0.07067810561396226</v>
      </c>
      <c r="W908" s="33"/>
      <c r="Z908" s="33">
        <v>39118.03</v>
      </c>
      <c r="AA908" s="55">
        <v>27</v>
      </c>
      <c r="AC908" s="59">
        <v>96</v>
      </c>
      <c r="AD908" s="58">
        <f t="shared" si="241"/>
        <v>3755330.88</v>
      </c>
      <c r="AE908" s="60">
        <f t="shared" si="242"/>
        <v>3847088.776041912</v>
      </c>
      <c r="AF908" s="60"/>
      <c r="AG908" s="60"/>
      <c r="AH908" s="60"/>
      <c r="AU908" s="69">
        <v>7.64</v>
      </c>
      <c r="AW908" s="66">
        <f t="shared" si="243"/>
        <v>298862</v>
      </c>
      <c r="AX908" s="66" t="s">
        <v>261</v>
      </c>
      <c r="AY908" s="107" t="s">
        <v>339</v>
      </c>
    </row>
    <row r="909" spans="1:51" ht="15.75">
      <c r="A909" s="57">
        <f t="shared" si="210"/>
        <v>907</v>
      </c>
      <c r="B909" s="64" t="s">
        <v>285</v>
      </c>
      <c r="E909" s="17">
        <f t="shared" si="233"/>
        <v>276</v>
      </c>
      <c r="G909" s="17">
        <f t="shared" si="234"/>
        <v>282.74379438638647</v>
      </c>
      <c r="I909" s="24">
        <f>ROUND(I908*0.9,2)</f>
        <v>7.36</v>
      </c>
      <c r="K909" s="66">
        <f t="shared" si="235"/>
        <v>2031</v>
      </c>
      <c r="M909" s="66">
        <f t="shared" si="236"/>
        <v>2081</v>
      </c>
      <c r="O909" s="24">
        <v>8.2</v>
      </c>
      <c r="Q909" s="66">
        <f t="shared" si="237"/>
        <v>2318</v>
      </c>
      <c r="R909" s="24">
        <f>ROUND(R908*0.9,2)</f>
        <v>8.2</v>
      </c>
      <c r="S909" s="58"/>
      <c r="T909" s="95">
        <f t="shared" si="238"/>
        <v>-1</v>
      </c>
      <c r="U909" s="55">
        <f t="shared" si="239"/>
        <v>-7.36</v>
      </c>
      <c r="V909" s="95">
        <f t="shared" si="240"/>
        <v>0.06951026856240117</v>
      </c>
      <c r="W909" s="33"/>
      <c r="Z909" s="33">
        <v>276</v>
      </c>
      <c r="AA909" s="55">
        <v>28</v>
      </c>
      <c r="AC909" s="59">
        <v>62</v>
      </c>
      <c r="AD909" s="58">
        <f t="shared" si="241"/>
        <v>17112</v>
      </c>
      <c r="AE909" s="60">
        <f t="shared" si="242"/>
        <v>17530.115251955962</v>
      </c>
      <c r="AF909" s="60"/>
      <c r="AG909" s="60"/>
      <c r="AH909" s="60"/>
      <c r="AU909" s="24">
        <f>ROUND(AU908*0.9,2)</f>
        <v>6.88</v>
      </c>
      <c r="AW909" s="66">
        <f t="shared" si="243"/>
        <v>1899</v>
      </c>
      <c r="AX909" s="66" t="s">
        <v>261</v>
      </c>
      <c r="AY909" s="107" t="s">
        <v>339</v>
      </c>
    </row>
    <row r="910" spans="1:51" ht="15.75">
      <c r="A910" s="57">
        <f t="shared" si="210"/>
        <v>908</v>
      </c>
      <c r="B910" s="64" t="s">
        <v>286</v>
      </c>
      <c r="E910" s="17">
        <f t="shared" si="233"/>
        <v>41385.29</v>
      </c>
      <c r="G910" s="17">
        <f t="shared" si="234"/>
        <v>42396.499733264405</v>
      </c>
      <c r="I910" s="69">
        <v>11.91</v>
      </c>
      <c r="K910" s="66">
        <f t="shared" si="235"/>
        <v>492899</v>
      </c>
      <c r="M910" s="66">
        <f t="shared" si="236"/>
        <v>504942</v>
      </c>
      <c r="O910" s="69">
        <v>13.27</v>
      </c>
      <c r="Q910" s="66">
        <f t="shared" si="237"/>
        <v>562602</v>
      </c>
      <c r="R910" s="69">
        <f>ROUND($I910*(1+$R$824),2)</f>
        <v>13.27</v>
      </c>
      <c r="S910" s="58"/>
      <c r="T910" s="95">
        <f t="shared" si="238"/>
        <v>-1</v>
      </c>
      <c r="U910" s="55">
        <f t="shared" si="239"/>
        <v>-11.91</v>
      </c>
      <c r="V910" s="95">
        <f t="shared" si="240"/>
        <v>0.07008193340251578</v>
      </c>
      <c r="W910" s="33"/>
      <c r="Z910" s="33">
        <v>41385.29</v>
      </c>
      <c r="AA910" s="55">
        <v>29</v>
      </c>
      <c r="AC910" s="59">
        <v>148</v>
      </c>
      <c r="AD910" s="58">
        <f t="shared" si="241"/>
        <v>6125022.92</v>
      </c>
      <c r="AE910" s="60">
        <f t="shared" si="242"/>
        <v>6274681.960523132</v>
      </c>
      <c r="AF910" s="60"/>
      <c r="AG910" s="60"/>
      <c r="AH910" s="60"/>
      <c r="AU910" s="69">
        <v>11.13</v>
      </c>
      <c r="AW910" s="66">
        <f t="shared" si="243"/>
        <v>460618</v>
      </c>
      <c r="AX910" s="66" t="s">
        <v>261</v>
      </c>
      <c r="AY910" s="107" t="s">
        <v>339</v>
      </c>
    </row>
    <row r="911" spans="1:51" ht="15.75">
      <c r="A911" s="57">
        <f t="shared" si="210"/>
        <v>909</v>
      </c>
      <c r="B911" s="64" t="s">
        <v>287</v>
      </c>
      <c r="E911" s="22">
        <f t="shared" si="233"/>
        <v>95</v>
      </c>
      <c r="G911" s="22">
        <f t="shared" si="234"/>
        <v>97.32123357502432</v>
      </c>
      <c r="I911" s="137">
        <f>ROUND(I910*0.9,2)</f>
        <v>10.72</v>
      </c>
      <c r="J911" s="125"/>
      <c r="K911" s="81">
        <f t="shared" si="235"/>
        <v>1018</v>
      </c>
      <c r="M911" s="81">
        <f t="shared" si="236"/>
        <v>1043</v>
      </c>
      <c r="O911" s="137">
        <v>11.94</v>
      </c>
      <c r="P911" s="125"/>
      <c r="Q911" s="81">
        <f t="shared" si="237"/>
        <v>1162</v>
      </c>
      <c r="R911" s="137">
        <f>ROUND(R910*0.9,2)</f>
        <v>11.94</v>
      </c>
      <c r="S911" s="58"/>
      <c r="T911" s="95">
        <f t="shared" si="238"/>
        <v>-1</v>
      </c>
      <c r="U911" s="55">
        <f t="shared" si="239"/>
        <v>-10.72</v>
      </c>
      <c r="V911" s="95">
        <f t="shared" si="240"/>
        <v>0.06932773109243695</v>
      </c>
      <c r="W911" s="33"/>
      <c r="Z911" s="33">
        <v>95</v>
      </c>
      <c r="AA911" s="55">
        <v>30</v>
      </c>
      <c r="AC911" s="59">
        <v>96</v>
      </c>
      <c r="AD911" s="58">
        <f t="shared" si="241"/>
        <v>9120</v>
      </c>
      <c r="AE911" s="60">
        <f t="shared" si="242"/>
        <v>9342.838423202335</v>
      </c>
      <c r="AF911" s="60"/>
      <c r="AG911" s="60"/>
      <c r="AH911" s="60"/>
      <c r="AU911" s="137">
        <f>ROUND(AU910*0.9,2)</f>
        <v>10.02</v>
      </c>
      <c r="AV911" s="125"/>
      <c r="AW911" s="81">
        <f t="shared" si="243"/>
        <v>952</v>
      </c>
      <c r="AX911" s="66" t="s">
        <v>261</v>
      </c>
      <c r="AY911" s="107" t="s">
        <v>339</v>
      </c>
    </row>
    <row r="912" spans="1:51" ht="15.75">
      <c r="A912" s="57">
        <f t="shared" si="210"/>
        <v>910</v>
      </c>
      <c r="B912" s="64" t="s">
        <v>322</v>
      </c>
      <c r="E912" s="17"/>
      <c r="G912" s="17"/>
      <c r="S912" s="58"/>
      <c r="T912" s="95"/>
      <c r="V912" s="95"/>
      <c r="W912" s="33"/>
      <c r="Z912" s="33"/>
      <c r="AC912" s="58"/>
      <c r="AD912" s="58"/>
      <c r="AE912" s="60"/>
      <c r="AF912" s="60"/>
      <c r="AG912" s="60"/>
      <c r="AH912" s="60"/>
      <c r="AX912" s="66" t="s">
        <v>261</v>
      </c>
      <c r="AY912" s="107" t="s">
        <v>339</v>
      </c>
    </row>
    <row r="913" spans="1:51" ht="15.75">
      <c r="A913" s="57">
        <f t="shared" si="210"/>
        <v>911</v>
      </c>
      <c r="B913" s="64" t="s">
        <v>323</v>
      </c>
      <c r="E913" s="17">
        <f>Z913</f>
        <v>201.67</v>
      </c>
      <c r="G913" s="17">
        <f>E913*$G$926/$E$926</f>
        <v>206.59761236921213</v>
      </c>
      <c r="I913" s="69">
        <v>11.58</v>
      </c>
      <c r="K913" s="66">
        <f>ROUND(I913*$E913,0)</f>
        <v>2335</v>
      </c>
      <c r="M913" s="66">
        <f>ROUND(I913*$G913,0)</f>
        <v>2392</v>
      </c>
      <c r="O913" s="69">
        <v>12.9</v>
      </c>
      <c r="Q913" s="66">
        <f>ROUND(O913*$G913,0)</f>
        <v>2665</v>
      </c>
      <c r="R913" s="69">
        <f>ROUND($I913*(1+$R$824),2)</f>
        <v>12.9</v>
      </c>
      <c r="S913" s="16"/>
      <c r="T913" s="95">
        <f>S913/AU913-1</f>
        <v>-1</v>
      </c>
      <c r="U913" s="55">
        <f>S913-I913</f>
        <v>-11.58</v>
      </c>
      <c r="V913" s="95">
        <f>IF(AW913=0,"",K913/AW913-1)</f>
        <v>0.07011915673693858</v>
      </c>
      <c r="W913" s="33"/>
      <c r="Z913" s="33">
        <v>201.67</v>
      </c>
      <c r="AA913" s="55">
        <v>31</v>
      </c>
      <c r="AC913" s="59">
        <v>69</v>
      </c>
      <c r="AD913" s="58">
        <f>AC913*E913</f>
        <v>13915.23</v>
      </c>
      <c r="AE913" s="60">
        <f>AC913*G913</f>
        <v>14255.235253475637</v>
      </c>
      <c r="AF913" s="60"/>
      <c r="AG913" s="60"/>
      <c r="AH913" s="60"/>
      <c r="AU913" s="69">
        <v>10.82</v>
      </c>
      <c r="AW913" s="66">
        <f>ROUND(AU913*$E913,0)</f>
        <v>2182</v>
      </c>
      <c r="AX913" s="66" t="s">
        <v>261</v>
      </c>
      <c r="AY913" s="107" t="s">
        <v>339</v>
      </c>
    </row>
    <row r="914" spans="1:51" ht="15.75">
      <c r="A914" s="57">
        <f t="shared" si="210"/>
        <v>912</v>
      </c>
      <c r="B914" s="64" t="s">
        <v>325</v>
      </c>
      <c r="E914" s="17">
        <f>Z914</f>
        <v>5167.67</v>
      </c>
      <c r="G914" s="17">
        <f>E914*$G$926/$E$926</f>
        <v>5293.937043248904</v>
      </c>
      <c r="I914" s="69">
        <v>11.7</v>
      </c>
      <c r="K914" s="66">
        <f>ROUND(I914*$E914,0)</f>
        <v>60462</v>
      </c>
      <c r="M914" s="66">
        <f>ROUND(I914*$G914,0)</f>
        <v>61939</v>
      </c>
      <c r="O914" s="69">
        <v>13.03</v>
      </c>
      <c r="Q914" s="66">
        <f>ROUND(O914*$G914,0)</f>
        <v>68980</v>
      </c>
      <c r="R914" s="69">
        <f>ROUND($I914*(1+$R$824),2)</f>
        <v>13.03</v>
      </c>
      <c r="S914" s="16"/>
      <c r="T914" s="95">
        <f>S914/AU914-1</f>
        <v>-1</v>
      </c>
      <c r="U914" s="55">
        <f>S914-I914</f>
        <v>-11.7</v>
      </c>
      <c r="V914" s="95">
        <f>IF(AW914=0,"",K914/AW914-1)</f>
        <v>0.07044597489510118</v>
      </c>
      <c r="W914" s="33"/>
      <c r="Z914" s="33">
        <v>5167.67</v>
      </c>
      <c r="AA914" s="55">
        <v>33</v>
      </c>
      <c r="AC914" s="59">
        <v>93</v>
      </c>
      <c r="AD914" s="58">
        <f>AC914*E914</f>
        <v>480593.31</v>
      </c>
      <c r="AE914" s="60">
        <f>AC914*G914</f>
        <v>492336.1450221481</v>
      </c>
      <c r="AF914" s="60"/>
      <c r="AG914" s="60"/>
      <c r="AH914" s="60"/>
      <c r="AU914" s="69">
        <v>10.93</v>
      </c>
      <c r="AW914" s="66">
        <f>ROUND(AU914*$E914,0)</f>
        <v>56483</v>
      </c>
      <c r="AX914" s="66" t="s">
        <v>261</v>
      </c>
      <c r="AY914" s="107" t="s">
        <v>339</v>
      </c>
    </row>
    <row r="915" spans="1:51" ht="15.75">
      <c r="A915" s="57">
        <f t="shared" si="210"/>
        <v>913</v>
      </c>
      <c r="B915" s="64" t="s">
        <v>343</v>
      </c>
      <c r="E915" s="17">
        <f>Z915</f>
        <v>168</v>
      </c>
      <c r="G915" s="17">
        <f>E915*$G$926/$E$926</f>
        <v>172.10491832214828</v>
      </c>
      <c r="I915" s="24">
        <f>ROUND(I914*0.9,2)</f>
        <v>10.53</v>
      </c>
      <c r="K915" s="66">
        <f>ROUND(I915*$E915,0)</f>
        <v>1769</v>
      </c>
      <c r="M915" s="66">
        <f>ROUND(I915*$G915,0)</f>
        <v>1812</v>
      </c>
      <c r="O915" s="24">
        <v>11.73</v>
      </c>
      <c r="Q915" s="66">
        <f>ROUND(O915*$G915,0)</f>
        <v>2019</v>
      </c>
      <c r="R915" s="24">
        <f>ROUND(R914*0.9,2)</f>
        <v>11.73</v>
      </c>
      <c r="S915" s="16"/>
      <c r="T915" s="95">
        <f>S915/AU915-1</f>
        <v>-1</v>
      </c>
      <c r="U915" s="55">
        <f>S915-I915</f>
        <v>-10.53</v>
      </c>
      <c r="V915" s="95">
        <f>IF(AW915=0,"",K915/AW915-1)</f>
        <v>0.07017543859649122</v>
      </c>
      <c r="W915" s="33"/>
      <c r="Z915" s="33">
        <v>168</v>
      </c>
      <c r="AA915" s="55">
        <v>34</v>
      </c>
      <c r="AC915" s="59">
        <v>60</v>
      </c>
      <c r="AD915" s="58">
        <f>AC915*E915</f>
        <v>10080</v>
      </c>
      <c r="AE915" s="60">
        <f>AC915*G915</f>
        <v>10326.295099328896</v>
      </c>
      <c r="AF915" s="60"/>
      <c r="AG915" s="60"/>
      <c r="AH915" s="60"/>
      <c r="AU915" s="24">
        <f>ROUND(AU914*0.9,2)</f>
        <v>9.84</v>
      </c>
      <c r="AW915" s="66">
        <f>ROUND(AU915*$E915,0)</f>
        <v>1653</v>
      </c>
      <c r="AX915" s="66" t="s">
        <v>261</v>
      </c>
      <c r="AY915" s="107" t="s">
        <v>339</v>
      </c>
    </row>
    <row r="916" spans="1:51" ht="15.75">
      <c r="A916" s="57">
        <f t="shared" si="210"/>
        <v>914</v>
      </c>
      <c r="B916" s="64" t="s">
        <v>326</v>
      </c>
      <c r="E916" s="17">
        <f>Z916</f>
        <v>4673.07</v>
      </c>
      <c r="G916" s="17">
        <f>E916*$G$926/$E$926</f>
        <v>4787.251968236199</v>
      </c>
      <c r="I916" s="69">
        <v>12.43</v>
      </c>
      <c r="K916" s="66">
        <f>ROUND(I916*$E916,0)</f>
        <v>58086</v>
      </c>
      <c r="M916" s="66">
        <f>ROUND(I916*$G916,0)</f>
        <v>59506</v>
      </c>
      <c r="O916" s="69">
        <v>13.85</v>
      </c>
      <c r="Q916" s="66">
        <f>ROUND(O916*$G916,0)</f>
        <v>66303</v>
      </c>
      <c r="R916" s="69">
        <f>ROUND($I916*(1+$R$824),2)</f>
        <v>13.85</v>
      </c>
      <c r="S916" s="58"/>
      <c r="T916" s="95">
        <f>S916/AU916-1</f>
        <v>-1</v>
      </c>
      <c r="U916" s="55">
        <f>S916-I916</f>
        <v>-12.43</v>
      </c>
      <c r="V916" s="95">
        <f>IF(AW916=0,"",K916/AW916-1)</f>
        <v>0.06970405701552451</v>
      </c>
      <c r="W916" s="33"/>
      <c r="Z916" s="33">
        <v>4673.07</v>
      </c>
      <c r="AA916" s="55">
        <v>35</v>
      </c>
      <c r="AC916" s="59">
        <v>145</v>
      </c>
      <c r="AD916" s="58">
        <f>AC916*E916</f>
        <v>677595.1499999999</v>
      </c>
      <c r="AE916" s="60">
        <f>AC916*G916</f>
        <v>694151.5353942489</v>
      </c>
      <c r="AF916" s="60"/>
      <c r="AG916" s="60"/>
      <c r="AH916" s="60"/>
      <c r="AU916" s="69">
        <v>11.62</v>
      </c>
      <c r="AW916" s="66">
        <f>ROUND(AU916*$E916,0)</f>
        <v>54301</v>
      </c>
      <c r="AX916" s="66" t="s">
        <v>261</v>
      </c>
      <c r="AY916" s="107" t="s">
        <v>339</v>
      </c>
    </row>
    <row r="917" spans="1:51" ht="15.75">
      <c r="A917" s="57">
        <f t="shared" si="210"/>
        <v>915</v>
      </c>
      <c r="B917" s="64" t="s">
        <v>327</v>
      </c>
      <c r="E917" s="22">
        <f>Z917</f>
        <v>441.5</v>
      </c>
      <c r="G917" s="22">
        <f>E917*$G$926/$E$926</f>
        <v>452.2876276144552</v>
      </c>
      <c r="I917" s="127">
        <v>24.56</v>
      </c>
      <c r="J917" s="125"/>
      <c r="K917" s="81">
        <f>ROUND(I917*$E917,0)</f>
        <v>10843</v>
      </c>
      <c r="M917" s="81">
        <f>ROUND(I917*$G917,0)</f>
        <v>11108</v>
      </c>
      <c r="O917" s="127">
        <v>27.36</v>
      </c>
      <c r="P917" s="125"/>
      <c r="Q917" s="81">
        <f>ROUND(O917*$G917,0)</f>
        <v>12375</v>
      </c>
      <c r="R917" s="127">
        <f>ROUND($I917*(1+$R$824),2)</f>
        <v>27.36</v>
      </c>
      <c r="S917" s="58"/>
      <c r="T917" s="95">
        <f>S917/AU917-1</f>
        <v>-1</v>
      </c>
      <c r="U917" s="55">
        <f>S917-I917</f>
        <v>-24.56</v>
      </c>
      <c r="V917" s="95">
        <f>IF(AW917=0,"",K917/AW917-1)</f>
        <v>0.07017370706671922</v>
      </c>
      <c r="W917" s="33"/>
      <c r="Z917" s="33">
        <v>441.5</v>
      </c>
      <c r="AA917" s="55">
        <v>37</v>
      </c>
      <c r="AC917" s="59">
        <v>352</v>
      </c>
      <c r="AD917" s="58">
        <f>AC917*E917</f>
        <v>155408</v>
      </c>
      <c r="AE917" s="60">
        <f>AC917*G917</f>
        <v>159205.2449202882</v>
      </c>
      <c r="AF917" s="60"/>
      <c r="AG917" s="60"/>
      <c r="AH917" s="60"/>
      <c r="AU917" s="127">
        <v>22.95</v>
      </c>
      <c r="AV917" s="125"/>
      <c r="AW917" s="81">
        <f>ROUND(AU917*$E917,0)</f>
        <v>10132</v>
      </c>
      <c r="AX917" s="66" t="s">
        <v>261</v>
      </c>
      <c r="AY917" s="107" t="s">
        <v>339</v>
      </c>
    </row>
    <row r="918" spans="1:51" ht="15.75">
      <c r="A918" s="57">
        <f t="shared" si="210"/>
        <v>916</v>
      </c>
      <c r="B918" s="64" t="s">
        <v>291</v>
      </c>
      <c r="E918" s="17"/>
      <c r="G918" s="17"/>
      <c r="I918" s="76"/>
      <c r="K918" s="66"/>
      <c r="M918" s="66"/>
      <c r="O918" s="76"/>
      <c r="Q918" s="66"/>
      <c r="R918" s="76"/>
      <c r="S918" s="58"/>
      <c r="T918" s="95"/>
      <c r="V918" s="95"/>
      <c r="W918" s="33"/>
      <c r="Z918" s="33"/>
      <c r="AC918" s="58"/>
      <c r="AD918" s="58"/>
      <c r="AE918" s="60"/>
      <c r="AF918" s="60"/>
      <c r="AG918" s="60"/>
      <c r="AH918" s="60"/>
      <c r="AU918" s="76"/>
      <c r="AW918" s="66"/>
      <c r="AX918" s="66" t="s">
        <v>261</v>
      </c>
      <c r="AY918" s="107" t="s">
        <v>339</v>
      </c>
    </row>
    <row r="919" spans="1:51" ht="15.75">
      <c r="A919" s="57">
        <f t="shared" si="210"/>
        <v>917</v>
      </c>
      <c r="B919" s="64" t="s">
        <v>292</v>
      </c>
      <c r="E919" s="17">
        <f aca="true" t="shared" si="244" ref="E919:E924">Z919</f>
        <v>0</v>
      </c>
      <c r="G919" s="17">
        <f aca="true" t="shared" si="245" ref="G919:G924">E919*$G$926/$E$926</f>
        <v>0</v>
      </c>
      <c r="I919" s="69">
        <v>12.37</v>
      </c>
      <c r="K919" s="66">
        <f>ROUND(I919*$E919,0)</f>
        <v>0</v>
      </c>
      <c r="M919" s="66">
        <f>ROUND(I919*$G919,0)</f>
        <v>0</v>
      </c>
      <c r="O919" s="69">
        <v>13.78</v>
      </c>
      <c r="Q919" s="66">
        <f>ROUND(O919*$G919,0)</f>
        <v>0</v>
      </c>
      <c r="R919" s="69">
        <f>ROUND($I919*(1+$R$824),2)</f>
        <v>13.78</v>
      </c>
      <c r="S919" s="58"/>
      <c r="T919" s="95">
        <f>S919/AU919-1</f>
        <v>-1</v>
      </c>
      <c r="U919" s="55">
        <f>S919-I919</f>
        <v>-12.37</v>
      </c>
      <c r="V919" s="95">
        <f>IF(AW919=0,"",K919/AW919-1)</f>
      </c>
      <c r="W919" s="33"/>
      <c r="Z919" s="33">
        <v>0</v>
      </c>
      <c r="AA919" s="55">
        <v>39</v>
      </c>
      <c r="AC919" s="59">
        <v>154</v>
      </c>
      <c r="AD919" s="58">
        <f>AC919*E919</f>
        <v>0</v>
      </c>
      <c r="AE919" s="60">
        <f>AC919*G919</f>
        <v>0</v>
      </c>
      <c r="AF919" s="60"/>
      <c r="AG919" s="60"/>
      <c r="AH919" s="60"/>
      <c r="AU919" s="69">
        <v>11.56</v>
      </c>
      <c r="AW919" s="66">
        <f>ROUND(AU919*$E919,0)</f>
        <v>0</v>
      </c>
      <c r="AX919" s="66" t="s">
        <v>261</v>
      </c>
      <c r="AY919" s="107" t="s">
        <v>339</v>
      </c>
    </row>
    <row r="920" spans="1:51" ht="15.75">
      <c r="A920" s="57">
        <f t="shared" si="210"/>
        <v>918</v>
      </c>
      <c r="B920" s="64" t="s">
        <v>293</v>
      </c>
      <c r="E920" s="17">
        <f t="shared" si="244"/>
        <v>0</v>
      </c>
      <c r="G920" s="17">
        <f t="shared" si="245"/>
        <v>0</v>
      </c>
      <c r="I920" s="69">
        <v>11.86</v>
      </c>
      <c r="K920" s="66">
        <f>ROUND(I920*$E920,0)</f>
        <v>0</v>
      </c>
      <c r="M920" s="66">
        <f>ROUND(I920*$G920,0)</f>
        <v>0</v>
      </c>
      <c r="O920" s="69">
        <v>13.21</v>
      </c>
      <c r="Q920" s="66">
        <f>ROUND(O920*$G920,0)</f>
        <v>0</v>
      </c>
      <c r="R920" s="69">
        <f>ROUND($I920*(1+$R$824),2)</f>
        <v>13.21</v>
      </c>
      <c r="S920" s="58"/>
      <c r="T920" s="95">
        <f>S920/AU920-1</f>
        <v>-1</v>
      </c>
      <c r="U920" s="55">
        <f>S920-I920</f>
        <v>-11.86</v>
      </c>
      <c r="V920" s="95">
        <f>IF(AW920=0,"",K920/AW920-1)</f>
      </c>
      <c r="W920" s="33"/>
      <c r="Z920" s="33">
        <v>0</v>
      </c>
      <c r="AA920" s="55">
        <v>41</v>
      </c>
      <c r="AC920" s="59">
        <v>135</v>
      </c>
      <c r="AD920" s="58">
        <f>AC920*E920</f>
        <v>0</v>
      </c>
      <c r="AE920" s="60">
        <f>AC920*G920</f>
        <v>0</v>
      </c>
      <c r="AF920" s="60"/>
      <c r="AG920" s="60"/>
      <c r="AH920" s="60"/>
      <c r="AU920" s="69">
        <v>11.08</v>
      </c>
      <c r="AW920" s="66">
        <f>ROUND(AU920*$E920,0)</f>
        <v>0</v>
      </c>
      <c r="AX920" s="66" t="s">
        <v>261</v>
      </c>
      <c r="AY920" s="107" t="s">
        <v>339</v>
      </c>
    </row>
    <row r="921" spans="1:51" ht="15.75">
      <c r="A921" s="57">
        <f t="shared" si="210"/>
        <v>919</v>
      </c>
      <c r="B921" s="64" t="s">
        <v>294</v>
      </c>
      <c r="E921" s="17">
        <f t="shared" si="244"/>
        <v>0</v>
      </c>
      <c r="G921" s="17">
        <f t="shared" si="245"/>
        <v>0</v>
      </c>
      <c r="I921" s="24">
        <f>ROUND(I920*0.9,2)</f>
        <v>10.67</v>
      </c>
      <c r="J921" s="76"/>
      <c r="K921" s="66">
        <f>ROUND(I921*$E921,0)</f>
        <v>0</v>
      </c>
      <c r="M921" s="66">
        <f>ROUND(I921*$G921,0)</f>
        <v>0</v>
      </c>
      <c r="O921" s="24">
        <v>11.89</v>
      </c>
      <c r="P921" s="76"/>
      <c r="Q921" s="66">
        <f>ROUND(O921*$G921,0)</f>
        <v>0</v>
      </c>
      <c r="R921" s="24">
        <f>ROUND(R920*0.9,2)</f>
        <v>11.89</v>
      </c>
      <c r="S921" s="58"/>
      <c r="T921" s="95">
        <f>S921/AU921-1</f>
        <v>-1</v>
      </c>
      <c r="U921" s="55">
        <f>S921-I921</f>
        <v>-10.67</v>
      </c>
      <c r="V921" s="95">
        <f>IF(AW921=0,"",K921/AW921-1)</f>
      </c>
      <c r="W921" s="33"/>
      <c r="Z921" s="33">
        <v>0</v>
      </c>
      <c r="AA921" s="55">
        <v>42</v>
      </c>
      <c r="AC921" s="59">
        <v>88</v>
      </c>
      <c r="AD921" s="58">
        <f>AC921*E921</f>
        <v>0</v>
      </c>
      <c r="AE921" s="60">
        <f>AC921*G921</f>
        <v>0</v>
      </c>
      <c r="AF921" s="60"/>
      <c r="AG921" s="60" t="s">
        <v>344</v>
      </c>
      <c r="AH921" s="60"/>
      <c r="AI921" s="87">
        <f>SUM(AE828:AE923)</f>
        <v>29815841.954430938</v>
      </c>
      <c r="AU921" s="24">
        <f>ROUND(AU920*0.9,2)</f>
        <v>9.97</v>
      </c>
      <c r="AV921" s="76"/>
      <c r="AW921" s="66">
        <f>ROUND(AU921*$E921,0)</f>
        <v>0</v>
      </c>
      <c r="AX921" s="66" t="s">
        <v>261</v>
      </c>
      <c r="AY921" s="107" t="s">
        <v>339</v>
      </c>
    </row>
    <row r="922" spans="1:51" ht="15.75">
      <c r="A922" s="57">
        <f t="shared" si="210"/>
        <v>920</v>
      </c>
      <c r="B922" s="64" t="s">
        <v>295</v>
      </c>
      <c r="E922" s="17">
        <f t="shared" si="244"/>
        <v>0</v>
      </c>
      <c r="G922" s="17">
        <f t="shared" si="245"/>
        <v>0</v>
      </c>
      <c r="I922" s="69">
        <v>18.99</v>
      </c>
      <c r="K922" s="66">
        <f>ROUND(I922*$E922,0)</f>
        <v>0</v>
      </c>
      <c r="M922" s="66">
        <f>ROUND(I922*$G922,0)</f>
        <v>0</v>
      </c>
      <c r="O922" s="69">
        <v>21.15</v>
      </c>
      <c r="Q922" s="66">
        <f>ROUND(O922*$G922,0)</f>
        <v>0</v>
      </c>
      <c r="R922" s="69">
        <f>ROUND($I922*(1+$R$824),2)</f>
        <v>21.15</v>
      </c>
      <c r="S922" s="58"/>
      <c r="T922" s="95">
        <f>S922/AU922-1</f>
        <v>-1</v>
      </c>
      <c r="U922" s="55">
        <f>S922-I922</f>
        <v>-18.99</v>
      </c>
      <c r="V922" s="95">
        <f>IF(AW922=0,"",K922/AW922-1)</f>
      </c>
      <c r="W922" s="33"/>
      <c r="Z922" s="33">
        <v>0</v>
      </c>
      <c r="AA922" s="55">
        <v>43</v>
      </c>
      <c r="AC922" s="59">
        <v>271</v>
      </c>
      <c r="AD922" s="58">
        <f>AC922*E922</f>
        <v>0</v>
      </c>
      <c r="AE922" s="60">
        <f>AC922*G922</f>
        <v>0</v>
      </c>
      <c r="AF922" s="60"/>
      <c r="AG922" s="60" t="s">
        <v>345</v>
      </c>
      <c r="AH922" s="60"/>
      <c r="AI922" s="138">
        <f>SUM(AE828:AE923)-G926</f>
        <v>0</v>
      </c>
      <c r="AU922" s="69">
        <v>17.75</v>
      </c>
      <c r="AW922" s="66">
        <f>ROUND(AU922*$E922,0)</f>
        <v>0</v>
      </c>
      <c r="AX922" s="66" t="s">
        <v>261</v>
      </c>
      <c r="AY922" s="107" t="s">
        <v>339</v>
      </c>
    </row>
    <row r="923" spans="1:51" ht="15.75">
      <c r="A923" s="57">
        <f t="shared" si="210"/>
        <v>921</v>
      </c>
      <c r="B923" s="64" t="s">
        <v>296</v>
      </c>
      <c r="E923" s="17">
        <f t="shared" si="244"/>
        <v>0</v>
      </c>
      <c r="G923" s="17">
        <f t="shared" si="245"/>
        <v>0</v>
      </c>
      <c r="I923" s="24">
        <f>ROUND(I922*0.9,2)</f>
        <v>17.09</v>
      </c>
      <c r="J923" s="139"/>
      <c r="K923" s="66">
        <f>ROUND(I923*$E923,0)</f>
        <v>0</v>
      </c>
      <c r="M923" s="66">
        <f>ROUND(I923*$G923,0)</f>
        <v>0</v>
      </c>
      <c r="O923" s="24">
        <v>19.04</v>
      </c>
      <c r="P923" s="139"/>
      <c r="Q923" s="66">
        <f>ROUND(O923*$G923,0)</f>
        <v>0</v>
      </c>
      <c r="R923" s="24">
        <f>ROUND(R922*0.9,2)</f>
        <v>19.04</v>
      </c>
      <c r="S923" s="58"/>
      <c r="T923" s="95">
        <f>S923/AU923-1</f>
        <v>-1</v>
      </c>
      <c r="U923" s="55">
        <f>S923-I923</f>
        <v>-17.09</v>
      </c>
      <c r="V923" s="95">
        <f>IF(AW923=0,"",K923/AW923-1)</f>
      </c>
      <c r="W923" s="33"/>
      <c r="Z923" s="33">
        <v>0</v>
      </c>
      <c r="AA923" s="55">
        <v>44</v>
      </c>
      <c r="AC923" s="59">
        <v>176</v>
      </c>
      <c r="AD923" s="58">
        <f>AC923*E923</f>
        <v>0</v>
      </c>
      <c r="AE923" s="60">
        <f>AC923*G923</f>
        <v>0</v>
      </c>
      <c r="AF923" s="60"/>
      <c r="AH923" s="60"/>
      <c r="AU923" s="24">
        <f>ROUND(AU922*0.9,2)</f>
        <v>15.98</v>
      </c>
      <c r="AV923" s="139"/>
      <c r="AW923" s="66">
        <f>ROUND(AU923*$E923,0)</f>
        <v>0</v>
      </c>
      <c r="AX923" s="66" t="s">
        <v>261</v>
      </c>
      <c r="AY923" s="107" t="s">
        <v>339</v>
      </c>
    </row>
    <row r="924" spans="1:51" ht="15.75">
      <c r="A924" s="57">
        <f t="shared" si="210"/>
        <v>922</v>
      </c>
      <c r="B924" s="64" t="s">
        <v>297</v>
      </c>
      <c r="E924" s="22">
        <f t="shared" si="244"/>
        <v>0</v>
      </c>
      <c r="G924" s="22">
        <f t="shared" si="245"/>
        <v>0</v>
      </c>
      <c r="I924" s="137"/>
      <c r="J924" s="140"/>
      <c r="K924" s="81">
        <f>AW924</f>
        <v>0</v>
      </c>
      <c r="M924" s="81">
        <v>0</v>
      </c>
      <c r="O924" s="137"/>
      <c r="P924" s="140"/>
      <c r="Q924" s="81">
        <v>0</v>
      </c>
      <c r="AC924" s="58"/>
      <c r="AD924" s="58"/>
      <c r="AE924" s="141" t="s">
        <v>346</v>
      </c>
      <c r="AF924" s="141" t="s">
        <v>347</v>
      </c>
      <c r="AG924" s="60"/>
      <c r="AH924" s="60"/>
      <c r="AU924" s="137"/>
      <c r="AV924" s="140"/>
      <c r="AW924" s="81">
        <v>0</v>
      </c>
      <c r="AX924" s="66" t="s">
        <v>261</v>
      </c>
      <c r="AY924" s="107" t="s">
        <v>339</v>
      </c>
    </row>
    <row r="925" spans="1:51" ht="15.75">
      <c r="A925" s="57">
        <f t="shared" si="210"/>
        <v>923</v>
      </c>
      <c r="B925" s="98"/>
      <c r="E925" s="59"/>
      <c r="G925" s="59"/>
      <c r="AC925" s="58" t="s">
        <v>348</v>
      </c>
      <c r="AD925" s="142">
        <f>SUM(AD823:AD923)</f>
        <v>29104696.699999996</v>
      </c>
      <c r="AE925" s="143">
        <f>SUM(AD828:AD880)</f>
        <v>13116492.049999999</v>
      </c>
      <c r="AF925" s="143">
        <f>SUM(AD884:AD923)</f>
        <v>15988204.65</v>
      </c>
      <c r="AG925" s="60"/>
      <c r="AH925" s="60"/>
      <c r="AX925" s="66" t="s">
        <v>261</v>
      </c>
      <c r="AY925" s="107" t="s">
        <v>339</v>
      </c>
    </row>
    <row r="926" spans="1:51" ht="15.75">
      <c r="A926" s="57">
        <f t="shared" si="210"/>
        <v>924</v>
      </c>
      <c r="B926" s="64" t="s">
        <v>349</v>
      </c>
      <c r="E926" s="39">
        <f>SUM(AD828:AD923)</f>
        <v>29104696.699999996</v>
      </c>
      <c r="G926" s="39">
        <v>29815841.954430938</v>
      </c>
      <c r="I926" s="78"/>
      <c r="J926" s="125"/>
      <c r="K926" s="81">
        <f>SUM(K827:K925)</f>
        <v>2469303</v>
      </c>
      <c r="M926" s="81">
        <f>SUM(M827:M925)</f>
        <v>2529638</v>
      </c>
      <c r="O926" s="78"/>
      <c r="P926" s="125"/>
      <c r="Q926" s="81">
        <f>SUM(Q827:Q925)</f>
        <v>2817772</v>
      </c>
      <c r="V926" s="95">
        <f>IF(AW926=0,"",K926/AW926-1)</f>
        <v>0.0702113809016931</v>
      </c>
      <c r="AC926" s="58" t="s">
        <v>350</v>
      </c>
      <c r="AD926" s="142">
        <f>AD925-E926</f>
        <v>0</v>
      </c>
      <c r="AE926" s="143"/>
      <c r="AF926" s="143"/>
      <c r="AG926" s="60"/>
      <c r="AH926" s="60"/>
      <c r="AU926" s="78"/>
      <c r="AV926" s="125"/>
      <c r="AW926" s="81">
        <f>SUM(AW827:AW924)</f>
        <v>2307304</v>
      </c>
      <c r="AX926" s="66" t="s">
        <v>261</v>
      </c>
      <c r="AY926" s="107" t="s">
        <v>339</v>
      </c>
    </row>
    <row r="927" spans="1:51" ht="15.75">
      <c r="A927" s="57">
        <f t="shared" si="210"/>
        <v>925</v>
      </c>
      <c r="B927" s="64" t="s">
        <v>3</v>
      </c>
      <c r="E927" s="130">
        <f>AD927</f>
        <v>1046</v>
      </c>
      <c r="G927" s="17">
        <v>1066.7263141705885</v>
      </c>
      <c r="I927" s="59"/>
      <c r="O927" s="59"/>
      <c r="AC927" s="55" t="s">
        <v>193</v>
      </c>
      <c r="AD927" s="55">
        <f>SUM(AE927:AF927)</f>
        <v>1046</v>
      </c>
      <c r="AE927" s="60">
        <f>2+1+1.17+3+6+3+7.08+20+39.5+4.08+48.25+1+1+63.25+1.08+133.08+4.08+0.67+3.17+7.25+1+2+1+11</f>
        <v>364.66</v>
      </c>
      <c r="AF927" s="60">
        <f>3+10+4+2+3+22.92+3+1+11.42+1.25+2+76.25+164.42+3.08+66.83+2+122.58+5+120.92+1.58+5.5+20.17+1+23.42+3+2</f>
        <v>681.3399999999999</v>
      </c>
      <c r="AG927" s="60"/>
      <c r="AH927" s="60"/>
      <c r="AU927" s="59"/>
      <c r="AX927" s="66" t="s">
        <v>261</v>
      </c>
      <c r="AY927" s="107" t="s">
        <v>339</v>
      </c>
    </row>
    <row r="928" spans="1:51" ht="15.75">
      <c r="A928" s="57">
        <f t="shared" si="210"/>
        <v>926</v>
      </c>
      <c r="B928" s="64" t="s">
        <v>189</v>
      </c>
      <c r="E928" s="39">
        <v>-232482</v>
      </c>
      <c r="G928" s="39">
        <v>0</v>
      </c>
      <c r="I928" s="78"/>
      <c r="J928" s="125"/>
      <c r="K928" s="81">
        <f>AW928</f>
        <v>175730</v>
      </c>
      <c r="M928" s="81">
        <v>0</v>
      </c>
      <c r="O928" s="78"/>
      <c r="P928" s="125"/>
      <c r="Q928" s="81">
        <v>0</v>
      </c>
      <c r="V928" s="95">
        <f>IF(AW929=0,"",K929/AW929-1)</f>
        <v>0.0652423607570416</v>
      </c>
      <c r="AE928" s="60"/>
      <c r="AF928" s="60"/>
      <c r="AG928" s="60"/>
      <c r="AH928" s="60"/>
      <c r="AU928" s="78"/>
      <c r="AV928" s="125"/>
      <c r="AW928" s="81">
        <v>175730</v>
      </c>
      <c r="AX928" s="66" t="s">
        <v>261</v>
      </c>
      <c r="AY928" s="107" t="s">
        <v>339</v>
      </c>
    </row>
    <row r="929" spans="1:51" ht="16.5" thickBot="1">
      <c r="A929" s="57">
        <f t="shared" si="210"/>
        <v>927</v>
      </c>
      <c r="B929" s="64" t="s">
        <v>59</v>
      </c>
      <c r="E929" s="35">
        <f>E928+E926</f>
        <v>28872214.699999996</v>
      </c>
      <c r="G929" s="35">
        <f>G928+G926</f>
        <v>29815841.954430938</v>
      </c>
      <c r="I929" s="131"/>
      <c r="J929" s="131"/>
      <c r="K929" s="131">
        <f>K928+K926</f>
        <v>2645033</v>
      </c>
      <c r="M929" s="131">
        <f>M928+M926</f>
        <v>2529638</v>
      </c>
      <c r="O929" s="131"/>
      <c r="P929" s="131"/>
      <c r="Q929" s="131">
        <f>Q928+Q926</f>
        <v>2817772</v>
      </c>
      <c r="R929" s="85" t="s">
        <v>59</v>
      </c>
      <c r="S929" s="86">
        <f>Q929</f>
        <v>2817772</v>
      </c>
      <c r="U929" s="60"/>
      <c r="V929" s="60"/>
      <c r="AE929" s="60"/>
      <c r="AF929" s="60"/>
      <c r="AG929" s="60"/>
      <c r="AH929" s="60"/>
      <c r="AU929" s="131"/>
      <c r="AV929" s="131"/>
      <c r="AW929" s="131">
        <f>AW928+AW926</f>
        <v>2483034</v>
      </c>
      <c r="AX929" s="66" t="s">
        <v>261</v>
      </c>
      <c r="AY929" s="107" t="s">
        <v>339</v>
      </c>
    </row>
    <row r="930" spans="1:51" ht="16.5" thickTop="1">
      <c r="A930" s="57">
        <f t="shared" si="210"/>
        <v>928</v>
      </c>
      <c r="B930" s="64" t="s">
        <v>60</v>
      </c>
      <c r="E930" s="59"/>
      <c r="G930" s="59"/>
      <c r="I930" s="76"/>
      <c r="J930" s="26">
        <v>0</v>
      </c>
      <c r="K930" s="81">
        <f>ROUND(SUM(K926)*J930,0)</f>
        <v>0</v>
      </c>
      <c r="M930" s="81">
        <f>ROUND(SUM(M926)*J930,0)</f>
        <v>0</v>
      </c>
      <c r="O930" s="76"/>
      <c r="P930" s="26">
        <v>0</v>
      </c>
      <c r="Q930" s="81">
        <f>ROUND(SUM(Q926)*P930,0)</f>
        <v>0</v>
      </c>
      <c r="R930" s="88" t="s">
        <v>61</v>
      </c>
      <c r="S930" s="89">
        <v>2817846.6984965694</v>
      </c>
      <c r="U930" s="60"/>
      <c r="V930" s="60"/>
      <c r="AE930" s="60"/>
      <c r="AF930" s="60"/>
      <c r="AG930" s="60"/>
      <c r="AH930" s="60"/>
      <c r="AU930" s="76"/>
      <c r="AV930" s="26">
        <v>0.0352</v>
      </c>
      <c r="AW930" s="81">
        <f>ROUND(SUM(AW926)*AV930,0)</f>
        <v>81217</v>
      </c>
      <c r="AX930" s="66" t="s">
        <v>261</v>
      </c>
      <c r="AY930" s="107" t="s">
        <v>339</v>
      </c>
    </row>
    <row r="931" spans="1:51" ht="15.75">
      <c r="A931" s="57">
        <f t="shared" si="210"/>
        <v>929</v>
      </c>
      <c r="B931" s="64" t="s">
        <v>62</v>
      </c>
      <c r="E931" s="59"/>
      <c r="G931" s="59"/>
      <c r="I931" s="76"/>
      <c r="J931" s="26">
        <v>0.0274</v>
      </c>
      <c r="K931" s="81">
        <f>ROUND(SUM(K926,K930)*J931,0)</f>
        <v>67659</v>
      </c>
      <c r="M931" s="81">
        <f>ROUND(SUM(M926,M930)*J931,0)</f>
        <v>69312</v>
      </c>
      <c r="O931" s="76"/>
      <c r="P931" s="26">
        <v>0.0274</v>
      </c>
      <c r="Q931" s="81">
        <f>ROUND(SUM(Q926,Q930)*P931,0)</f>
        <v>77207</v>
      </c>
      <c r="R931" s="90" t="s">
        <v>515</v>
      </c>
      <c r="S931" s="91">
        <f>S930-S929</f>
        <v>74.69849656941369</v>
      </c>
      <c r="T931" s="60"/>
      <c r="U931" s="60"/>
      <c r="V931" s="60"/>
      <c r="AG931" s="60"/>
      <c r="AH931" s="60"/>
      <c r="AU931" s="76"/>
      <c r="AV931" s="26"/>
      <c r="AW931" s="81">
        <f>ROUND(SUM(AW926,AW930)*AV931,0)</f>
        <v>0</v>
      </c>
      <c r="AX931" s="66" t="s">
        <v>261</v>
      </c>
      <c r="AY931" s="107" t="s">
        <v>339</v>
      </c>
    </row>
    <row r="932" spans="1:51" ht="15.75">
      <c r="A932" s="57">
        <f t="shared" si="210"/>
        <v>930</v>
      </c>
      <c r="B932" s="64"/>
      <c r="E932" s="144"/>
      <c r="G932" s="144"/>
      <c r="I932" s="71"/>
      <c r="J932" s="63"/>
      <c r="K932" s="77"/>
      <c r="M932" s="77"/>
      <c r="O932" s="71"/>
      <c r="P932" s="63"/>
      <c r="Q932" s="77"/>
      <c r="R932" s="55"/>
      <c r="AE932" s="60"/>
      <c r="AF932" s="60"/>
      <c r="AG932" s="60"/>
      <c r="AH932" s="60"/>
      <c r="AU932" s="71"/>
      <c r="AV932" s="63"/>
      <c r="AW932" s="77"/>
      <c r="AX932" s="66" t="s">
        <v>261</v>
      </c>
      <c r="AY932" s="107" t="s">
        <v>339</v>
      </c>
    </row>
    <row r="933" spans="1:51" ht="15.75">
      <c r="A933" s="57">
        <f t="shared" si="210"/>
        <v>931</v>
      </c>
      <c r="B933" s="98" t="s">
        <v>351</v>
      </c>
      <c r="E933" s="59"/>
      <c r="G933" s="59"/>
      <c r="I933" s="71"/>
      <c r="J933" s="63"/>
      <c r="K933" s="77"/>
      <c r="M933" s="77"/>
      <c r="O933" s="71"/>
      <c r="P933" s="63"/>
      <c r="Q933" s="77"/>
      <c r="X933" s="55" t="s">
        <v>352</v>
      </c>
      <c r="AC933" s="55" t="s">
        <v>353</v>
      </c>
      <c r="AE933" s="60"/>
      <c r="AF933" s="60"/>
      <c r="AG933" s="60"/>
      <c r="AH933" s="60"/>
      <c r="AU933" s="71"/>
      <c r="AV933" s="63"/>
      <c r="AW933" s="77"/>
      <c r="AX933" s="66" t="s">
        <v>87</v>
      </c>
      <c r="AY933" s="58">
        <v>1202</v>
      </c>
    </row>
    <row r="934" spans="1:51" ht="15.75">
      <c r="A934" s="57">
        <f t="shared" si="210"/>
        <v>932</v>
      </c>
      <c r="B934" s="64" t="s">
        <v>14</v>
      </c>
      <c r="E934" s="59"/>
      <c r="G934" s="59"/>
      <c r="X934" s="118" t="s">
        <v>354</v>
      </c>
      <c r="Y934" s="118" t="s">
        <v>355</v>
      </c>
      <c r="Z934" s="118" t="s">
        <v>356</v>
      </c>
      <c r="AA934" s="55" t="s">
        <v>357</v>
      </c>
      <c r="AC934" s="118" t="s">
        <v>354</v>
      </c>
      <c r="AD934" s="118" t="s">
        <v>355</v>
      </c>
      <c r="AE934" s="118" t="s">
        <v>356</v>
      </c>
      <c r="AF934" s="55" t="s">
        <v>357</v>
      </c>
      <c r="AG934" s="55" t="s">
        <v>358</v>
      </c>
      <c r="AH934" s="60"/>
      <c r="AX934" s="66" t="s">
        <v>87</v>
      </c>
      <c r="AY934" s="58">
        <v>1202</v>
      </c>
    </row>
    <row r="935" spans="1:51" ht="15.75">
      <c r="A935" s="57">
        <f t="shared" si="210"/>
        <v>933</v>
      </c>
      <c r="B935" s="64" t="s">
        <v>359</v>
      </c>
      <c r="E935" s="17">
        <f>AA935</f>
        <v>24642.65</v>
      </c>
      <c r="G935" s="17">
        <v>25130.939967395654</v>
      </c>
      <c r="I935" s="69">
        <v>3.28</v>
      </c>
      <c r="K935" s="66">
        <f>ROUND(I935*$E935,0)</f>
        <v>80828</v>
      </c>
      <c r="M935" s="66">
        <f>ROUND(I935*$G935,0)</f>
        <v>82429</v>
      </c>
      <c r="O935" s="69">
        <v>3.5</v>
      </c>
      <c r="Q935" s="66">
        <f>ROUND(O935*$G935,0)</f>
        <v>87958</v>
      </c>
      <c r="W935" s="55" t="s">
        <v>360</v>
      </c>
      <c r="X935" s="56">
        <f>3851.43+12+348+24+48+24+12+96+12+12</f>
        <v>4439.43</v>
      </c>
      <c r="Y935" s="56">
        <f>95</f>
        <v>95</v>
      </c>
      <c r="Z935" s="56">
        <f>18460.09+79.13+23+11+58+22+9+77+22+22+22+33+22+12+212+420+48+36+364+12+12+24+24+24+60</f>
        <v>20108.22</v>
      </c>
      <c r="AA935" s="56">
        <f>SUM(X935:Z935)</f>
        <v>24642.65</v>
      </c>
      <c r="AC935" s="56">
        <f>X935*$G$935/$E$935</f>
        <v>4527.39655919535</v>
      </c>
      <c r="AD935" s="56">
        <f>Y935*$G$935/$E$935</f>
        <v>96.88240903078959</v>
      </c>
      <c r="AE935" s="56">
        <f>Z935*$G$935/$E$935</f>
        <v>20506.660999169515</v>
      </c>
      <c r="AF935" s="121">
        <f>SUM(AC935:AE935)</f>
        <v>25130.939967395654</v>
      </c>
      <c r="AG935" s="120">
        <f>AF935-G935</f>
        <v>0</v>
      </c>
      <c r="AH935" s="60"/>
      <c r="AU935" s="69">
        <v>3.28</v>
      </c>
      <c r="AW935" s="66">
        <f>ROUND(AU935*$E935,0)</f>
        <v>80828</v>
      </c>
      <c r="AX935" s="66" t="s">
        <v>87</v>
      </c>
      <c r="AY935" s="58">
        <v>1202</v>
      </c>
    </row>
    <row r="936" spans="1:51" ht="15.75">
      <c r="A936" s="57">
        <f t="shared" si="210"/>
        <v>934</v>
      </c>
      <c r="B936" s="64" t="s">
        <v>361</v>
      </c>
      <c r="E936" s="17">
        <f>AA936</f>
        <v>11576012</v>
      </c>
      <c r="G936" s="17">
        <v>11858860.712834572</v>
      </c>
      <c r="J936" s="73">
        <v>5.5408</v>
      </c>
      <c r="K936" s="66">
        <f>ROUND(J936*$E936/100,0)</f>
        <v>641404</v>
      </c>
      <c r="M936" s="66">
        <f>ROUND(J936*$G936/100,0)</f>
        <v>657076</v>
      </c>
      <c r="P936" s="73">
        <v>5.7313</v>
      </c>
      <c r="Q936" s="66">
        <f>ROUND(P936*$G936/100,0)</f>
        <v>679667</v>
      </c>
      <c r="S936" s="68">
        <f>ROUND(P936*$S$940/$S$938,4)</f>
        <v>0</v>
      </c>
      <c r="T936" s="70"/>
      <c r="U936" s="66"/>
      <c r="V936" s="17"/>
      <c r="W936" s="55" t="s">
        <v>7</v>
      </c>
      <c r="X936" s="145">
        <f>1491459+10626+55681+6603+25248+14736+13680+67295+31560+4212</f>
        <v>1721100</v>
      </c>
      <c r="Y936" s="56">
        <v>60155</v>
      </c>
      <c r="Z936" s="145">
        <f>8550745+67342+4600+6050+34679+14300+6300+57750+17600+18700+19800+33000+26400+18000+111510+257881+42096+41040+255512+29460+2100+8424+29448+31560+110460</f>
        <v>9794757</v>
      </c>
      <c r="AA936" s="56">
        <f>SUM(X936:Z936)</f>
        <v>11576012</v>
      </c>
      <c r="AC936" s="56">
        <f>X936*$G$936/$E$936</f>
        <v>1763153.422168151</v>
      </c>
      <c r="AD936" s="56">
        <f>Y936*$G$936/$E$936</f>
        <v>61624.82953374303</v>
      </c>
      <c r="AE936" s="56">
        <f>Z936*$G$936/$E$936</f>
        <v>10034082.46113268</v>
      </c>
      <c r="AF936" s="56">
        <f>AA936*$G$936/$E$936</f>
        <v>11858860.712834572</v>
      </c>
      <c r="AG936" s="120">
        <f>AF936-G936</f>
        <v>0</v>
      </c>
      <c r="AH936" s="60"/>
      <c r="AV936" s="73">
        <v>5.1438</v>
      </c>
      <c r="AW936" s="66">
        <f>ROUND(AV936*$E936/100,0)</f>
        <v>595447</v>
      </c>
      <c r="AX936" s="66" t="s">
        <v>87</v>
      </c>
      <c r="AY936" s="58">
        <v>1202</v>
      </c>
    </row>
    <row r="937" spans="1:51" ht="15.75">
      <c r="A937" s="57">
        <f t="shared" si="210"/>
        <v>935</v>
      </c>
      <c r="B937" s="64" t="s">
        <v>57</v>
      </c>
      <c r="E937" s="22">
        <v>-74098</v>
      </c>
      <c r="G937" s="22">
        <v>0</v>
      </c>
      <c r="I937" s="76"/>
      <c r="K937" s="81">
        <f>AW937</f>
        <v>59245.9831406927</v>
      </c>
      <c r="M937" s="81">
        <v>0</v>
      </c>
      <c r="O937" s="76"/>
      <c r="Q937" s="81">
        <v>0</v>
      </c>
      <c r="U937" s="66"/>
      <c r="V937" s="17"/>
      <c r="AE937" s="60"/>
      <c r="AF937" s="60"/>
      <c r="AG937" s="60"/>
      <c r="AH937" s="60"/>
      <c r="AU937" s="76"/>
      <c r="AW937" s="81">
        <v>59245.9831406927</v>
      </c>
      <c r="AX937" s="66" t="s">
        <v>87</v>
      </c>
      <c r="AY937" s="58">
        <v>1202</v>
      </c>
    </row>
    <row r="938" spans="1:51" ht="16.5" thickBot="1">
      <c r="A938" s="57">
        <f t="shared" si="210"/>
        <v>936</v>
      </c>
      <c r="B938" s="58" t="s">
        <v>59</v>
      </c>
      <c r="E938" s="99">
        <f>E936+E937</f>
        <v>11501914</v>
      </c>
      <c r="G938" s="99">
        <f>G936+G937</f>
        <v>11858860.712834572</v>
      </c>
      <c r="I938" s="96"/>
      <c r="J938" s="96"/>
      <c r="K938" s="97">
        <f>K935+K936+K937</f>
        <v>781477.9831406927</v>
      </c>
      <c r="M938" s="97">
        <f>M935+M936+M937</f>
        <v>739505</v>
      </c>
      <c r="O938" s="96"/>
      <c r="P938" s="96"/>
      <c r="Q938" s="97">
        <f>Q935+Q936+Q937</f>
        <v>767625</v>
      </c>
      <c r="R938" s="85" t="s">
        <v>59</v>
      </c>
      <c r="S938" s="86">
        <f>Q938</f>
        <v>767625</v>
      </c>
      <c r="U938" s="66"/>
      <c r="V938" s="60"/>
      <c r="W938" s="60"/>
      <c r="AE938" s="60"/>
      <c r="AF938" s="60"/>
      <c r="AG938" s="60"/>
      <c r="AH938" s="60"/>
      <c r="AU938" s="96"/>
      <c r="AV938" s="96"/>
      <c r="AW938" s="97">
        <f>AW935+AW936+AW937</f>
        <v>735520.9831406927</v>
      </c>
      <c r="AX938" s="66" t="s">
        <v>87</v>
      </c>
      <c r="AY938" s="58">
        <v>1202</v>
      </c>
    </row>
    <row r="939" spans="1:51" ht="16.5" thickTop="1">
      <c r="A939" s="57">
        <f t="shared" si="210"/>
        <v>937</v>
      </c>
      <c r="B939" s="64" t="s">
        <v>60</v>
      </c>
      <c r="E939" s="59"/>
      <c r="G939" s="59"/>
      <c r="I939" s="76"/>
      <c r="J939" s="26">
        <v>0</v>
      </c>
      <c r="K939" s="81">
        <f>ROUND(SUM(K936)*J939,0)</f>
        <v>0</v>
      </c>
      <c r="M939" s="81">
        <f>ROUND(SUM(M936)*J939,0)</f>
        <v>0</v>
      </c>
      <c r="O939" s="76"/>
      <c r="P939" s="26">
        <v>0</v>
      </c>
      <c r="Q939" s="81">
        <f>ROUND(SUM(Q936)*P939,0)</f>
        <v>0</v>
      </c>
      <c r="R939" s="88" t="s">
        <v>61</v>
      </c>
      <c r="S939" s="89">
        <v>767631.2452626947</v>
      </c>
      <c r="V939" s="60"/>
      <c r="W939" s="60"/>
      <c r="AE939" s="60"/>
      <c r="AF939" s="60"/>
      <c r="AG939" s="60"/>
      <c r="AH939" s="60"/>
      <c r="AU939" s="76"/>
      <c r="AV939" s="26">
        <v>0.0391</v>
      </c>
      <c r="AW939" s="81">
        <f>ROUND(SUM(AW936)*AV939,0)</f>
        <v>23282</v>
      </c>
      <c r="AX939" s="66" t="s">
        <v>87</v>
      </c>
      <c r="AY939" s="58">
        <v>1202</v>
      </c>
    </row>
    <row r="940" spans="1:51" ht="15.75">
      <c r="A940" s="57">
        <f aca="true" t="shared" si="246" ref="A940:A1003">A939+1</f>
        <v>938</v>
      </c>
      <c r="B940" s="64" t="s">
        <v>62</v>
      </c>
      <c r="E940" s="59"/>
      <c r="G940" s="59"/>
      <c r="I940" s="76"/>
      <c r="J940" s="26">
        <v>0.03</v>
      </c>
      <c r="K940" s="81">
        <f>ROUND(SUM(K936,K939)*J940,0)</f>
        <v>19242</v>
      </c>
      <c r="M940" s="81">
        <f>ROUND(SUM(M936,M939)*J940,0)</f>
        <v>19712</v>
      </c>
      <c r="O940" s="76"/>
      <c r="P940" s="26">
        <v>0.03</v>
      </c>
      <c r="Q940" s="81">
        <f>ROUND(SUM(Q936,Q939)*P940,0)</f>
        <v>20390</v>
      </c>
      <c r="R940" s="90" t="s">
        <v>515</v>
      </c>
      <c r="S940" s="91">
        <f>S939-S938</f>
        <v>6.2452626946615055</v>
      </c>
      <c r="V940" s="60"/>
      <c r="W940" s="60"/>
      <c r="AG940" s="60"/>
      <c r="AH940" s="60"/>
      <c r="AU940" s="76"/>
      <c r="AV940" s="26"/>
      <c r="AW940" s="81">
        <f>ROUND(SUM(AW936,AW939)*AV940,0)</f>
        <v>0</v>
      </c>
      <c r="AX940" s="66" t="s">
        <v>87</v>
      </c>
      <c r="AY940" s="58">
        <v>1202</v>
      </c>
    </row>
    <row r="941" spans="1:51" ht="15.75">
      <c r="A941" s="57">
        <f t="shared" si="246"/>
        <v>939</v>
      </c>
      <c r="B941" s="64"/>
      <c r="E941" s="59"/>
      <c r="G941" s="59"/>
      <c r="I941" s="76"/>
      <c r="J941" s="26"/>
      <c r="K941" s="77"/>
      <c r="M941" s="77"/>
      <c r="O941" s="76"/>
      <c r="P941" s="26"/>
      <c r="Q941" s="77"/>
      <c r="R941" s="133"/>
      <c r="S941" s="77"/>
      <c r="V941" s="60"/>
      <c r="W941" s="60"/>
      <c r="AG941" s="60"/>
      <c r="AH941" s="60"/>
      <c r="AU941" s="76"/>
      <c r="AV941" s="26"/>
      <c r="AW941" s="77"/>
      <c r="AX941" s="66" t="s">
        <v>87</v>
      </c>
      <c r="AY941" s="58">
        <v>1202</v>
      </c>
    </row>
    <row r="942" spans="1:51" ht="15.75">
      <c r="A942" s="57">
        <f t="shared" si="246"/>
        <v>940</v>
      </c>
      <c r="B942" s="98" t="s">
        <v>362</v>
      </c>
      <c r="E942" s="59"/>
      <c r="G942" s="59"/>
      <c r="R942" s="55"/>
      <c r="AC942" s="55" t="s">
        <v>353</v>
      </c>
      <c r="AE942" s="60"/>
      <c r="AF942" s="60"/>
      <c r="AG942" s="60"/>
      <c r="AH942" s="60"/>
      <c r="AX942" s="66" t="s">
        <v>87</v>
      </c>
      <c r="AY942" s="58">
        <v>1203</v>
      </c>
    </row>
    <row r="943" spans="1:51" ht="15.75">
      <c r="A943" s="57">
        <f t="shared" si="246"/>
        <v>941</v>
      </c>
      <c r="B943" s="64" t="s">
        <v>363</v>
      </c>
      <c r="E943" s="59"/>
      <c r="G943" s="59"/>
      <c r="U943" s="66"/>
      <c r="X943" s="118" t="s">
        <v>364</v>
      </c>
      <c r="Y943" s="118" t="s">
        <v>365</v>
      </c>
      <c r="Z943" s="118" t="s">
        <v>366</v>
      </c>
      <c r="AA943" s="55" t="s">
        <v>357</v>
      </c>
      <c r="AC943" s="118" t="s">
        <v>364</v>
      </c>
      <c r="AD943" s="118" t="s">
        <v>365</v>
      </c>
      <c r="AE943" s="118" t="s">
        <v>366</v>
      </c>
      <c r="AF943" s="55" t="s">
        <v>357</v>
      </c>
      <c r="AG943" s="55" t="s">
        <v>358</v>
      </c>
      <c r="AH943" s="60"/>
      <c r="AX943" s="66" t="s">
        <v>87</v>
      </c>
      <c r="AY943" s="58">
        <v>1203</v>
      </c>
    </row>
    <row r="944" spans="1:51" ht="15.75">
      <c r="A944" s="57">
        <f t="shared" si="246"/>
        <v>942</v>
      </c>
      <c r="B944" s="64" t="s">
        <v>367</v>
      </c>
      <c r="E944" s="17">
        <f>AA944</f>
        <v>0</v>
      </c>
      <c r="G944" s="17">
        <f>E944*($G$947/$E$947)</f>
        <v>0</v>
      </c>
      <c r="I944" s="24">
        <f>5*I945+I946</f>
        <v>117.64999999999999</v>
      </c>
      <c r="K944" s="66">
        <f>ROUND(I944*$E944,0)</f>
        <v>0</v>
      </c>
      <c r="M944" s="66">
        <f>ROUND(I944*$G944,0)</f>
        <v>0</v>
      </c>
      <c r="O944" s="24">
        <f>I944</f>
        <v>117.64999999999999</v>
      </c>
      <c r="Q944" s="66">
        <f>ROUND(O944*$G944,0)</f>
        <v>0</v>
      </c>
      <c r="R944" s="146"/>
      <c r="V944" s="64" t="s">
        <v>367</v>
      </c>
      <c r="AA944" s="55">
        <f>SUM(X944:Z944)</f>
        <v>0</v>
      </c>
      <c r="AC944" s="56"/>
      <c r="AD944" s="56"/>
      <c r="AE944" s="56"/>
      <c r="AF944" s="60"/>
      <c r="AG944" s="60"/>
      <c r="AH944" s="60"/>
      <c r="AU944" s="24">
        <f>5*AU945+AU946</f>
        <v>117.64999999999999</v>
      </c>
      <c r="AW944" s="66">
        <f>ROUND(AU944*$E944,0)</f>
        <v>0</v>
      </c>
      <c r="AX944" s="66" t="s">
        <v>87</v>
      </c>
      <c r="AY944" s="58">
        <v>1203</v>
      </c>
    </row>
    <row r="945" spans="1:51" ht="15.75">
      <c r="A945" s="57">
        <f t="shared" si="246"/>
        <v>943</v>
      </c>
      <c r="B945" s="64" t="s">
        <v>368</v>
      </c>
      <c r="E945" s="17">
        <f>AA945</f>
        <v>17043</v>
      </c>
      <c r="G945" s="17">
        <f>E945*($G$947/$E$947)</f>
        <v>17380.704180123652</v>
      </c>
      <c r="I945" s="69">
        <v>10.11</v>
      </c>
      <c r="K945" s="66">
        <f>ROUND(I945*$E945,0)</f>
        <v>172305</v>
      </c>
      <c r="M945" s="66">
        <f>ROUND(I945*$G945,0)</f>
        <v>175719</v>
      </c>
      <c r="O945" s="69">
        <v>10.11</v>
      </c>
      <c r="Q945" s="66">
        <f>ROUND(O945*$G945,0)</f>
        <v>175719</v>
      </c>
      <c r="R945" s="146"/>
      <c r="U945" s="68"/>
      <c r="V945" s="64" t="s">
        <v>368</v>
      </c>
      <c r="X945" s="56">
        <f>5358+9853</f>
        <v>15211</v>
      </c>
      <c r="Y945" s="56">
        <f>152+43</f>
        <v>195</v>
      </c>
      <c r="Z945" s="56">
        <f>623+1014</f>
        <v>1637</v>
      </c>
      <c r="AA945" s="56">
        <f>SUM(X945:Z945)</f>
        <v>17043</v>
      </c>
      <c r="AC945" s="56">
        <f aca="true" t="shared" si="247" ref="AC945:AE947">X945*$G$947/$E$947</f>
        <v>15512.403408077265</v>
      </c>
      <c r="AD945" s="56">
        <f t="shared" si="247"/>
        <v>198.86389222109437</v>
      </c>
      <c r="AE945" s="56">
        <f t="shared" si="247"/>
        <v>1669.43687982529</v>
      </c>
      <c r="AF945" s="121">
        <f>SUM(AC945:AE945)</f>
        <v>17380.70418012365</v>
      </c>
      <c r="AG945" s="121">
        <f>AF945-G945</f>
        <v>0</v>
      </c>
      <c r="AH945" s="60"/>
      <c r="AU945" s="69">
        <v>10.11</v>
      </c>
      <c r="AW945" s="66">
        <f>ROUND(AU945*$E945,0)</f>
        <v>172305</v>
      </c>
      <c r="AX945" s="66" t="s">
        <v>87</v>
      </c>
      <c r="AY945" s="58">
        <v>1203</v>
      </c>
    </row>
    <row r="946" spans="1:51" ht="15.75">
      <c r="A946" s="57">
        <f t="shared" si="246"/>
        <v>944</v>
      </c>
      <c r="B946" s="64" t="s">
        <v>369</v>
      </c>
      <c r="E946" s="17">
        <f>AA946</f>
        <v>290.12</v>
      </c>
      <c r="G946" s="17">
        <f>E946*($G$947/$E$947)</f>
        <v>295.86867903171236</v>
      </c>
      <c r="I946" s="69">
        <v>67.1</v>
      </c>
      <c r="K946" s="66">
        <f>ROUND(I946*$E946,0)</f>
        <v>19467</v>
      </c>
      <c r="M946" s="66">
        <f>ROUND(I946*$G946,0)</f>
        <v>19853</v>
      </c>
      <c r="O946" s="69">
        <v>67.1</v>
      </c>
      <c r="Q946" s="66">
        <f>ROUND(O946*$G946,0)</f>
        <v>19853</v>
      </c>
      <c r="R946" s="146"/>
      <c r="V946" s="64" t="s">
        <v>369</v>
      </c>
      <c r="X946" s="56">
        <f>99.46+111.89+34.01+1</f>
        <v>246.35999999999999</v>
      </c>
      <c r="Y946" s="56">
        <f>4.08+2+1</f>
        <v>7.08</v>
      </c>
      <c r="Z946" s="56">
        <f>16.23+7+13.45</f>
        <v>36.68</v>
      </c>
      <c r="AA946" s="56">
        <f>SUM(X946:Z946)</f>
        <v>290.12</v>
      </c>
      <c r="AC946" s="56">
        <f t="shared" si="247"/>
        <v>251.24158198763493</v>
      </c>
      <c r="AD946" s="56">
        <f t="shared" si="247"/>
        <v>7.220289009873581</v>
      </c>
      <c r="AE946" s="56">
        <f t="shared" si="247"/>
        <v>37.406808034203806</v>
      </c>
      <c r="AF946" s="121">
        <f>SUM(AC946:AE946)</f>
        <v>295.8686790317123</v>
      </c>
      <c r="AG946" s="121">
        <f>AF946-G946</f>
        <v>0</v>
      </c>
      <c r="AH946" s="60"/>
      <c r="AU946" s="69">
        <v>67.1</v>
      </c>
      <c r="AW946" s="66">
        <f>ROUND(AU946*$E946,0)</f>
        <v>19467</v>
      </c>
      <c r="AX946" s="66" t="s">
        <v>87</v>
      </c>
      <c r="AY946" s="58">
        <v>1203</v>
      </c>
    </row>
    <row r="947" spans="1:51" ht="15.75">
      <c r="A947" s="57">
        <f t="shared" si="246"/>
        <v>945</v>
      </c>
      <c r="B947" s="64" t="s">
        <v>370</v>
      </c>
      <c r="E947" s="17">
        <f>AA947</f>
        <v>3444.1000000000004</v>
      </c>
      <c r="G947" s="17">
        <v>3512.3442625572884</v>
      </c>
      <c r="I947" s="69">
        <v>5.74</v>
      </c>
      <c r="K947" s="66">
        <f>ROUND(I947*$E947,0)</f>
        <v>19769</v>
      </c>
      <c r="M947" s="66">
        <f>ROUND(I947*$G947,0)</f>
        <v>20161</v>
      </c>
      <c r="O947" s="69">
        <v>5.74</v>
      </c>
      <c r="Q947" s="66">
        <f>ROUND(O947*$G947,0)</f>
        <v>20161</v>
      </c>
      <c r="R947" s="69">
        <f>ROUND(O947*$S$952/$S$950,2)</f>
        <v>0</v>
      </c>
      <c r="S947" s="68"/>
      <c r="T947" s="70"/>
      <c r="U947" s="66"/>
      <c r="V947" s="64" t="s">
        <v>370</v>
      </c>
      <c r="X947" s="56">
        <f>1173.7+1328+404.97+12</f>
        <v>2918.67</v>
      </c>
      <c r="Y947" s="56">
        <f>45.03+24+12</f>
        <v>81.03</v>
      </c>
      <c r="Z947" s="56">
        <f>194.1+84+166.3</f>
        <v>444.40000000000003</v>
      </c>
      <c r="AA947" s="56">
        <f>SUM(X947:Z947)</f>
        <v>3444.1000000000004</v>
      </c>
      <c r="AC947" s="56">
        <f t="shared" si="247"/>
        <v>2976.5029554304697</v>
      </c>
      <c r="AD947" s="56">
        <f t="shared" si="247"/>
        <v>82.63559582910399</v>
      </c>
      <c r="AE947" s="56">
        <f t="shared" si="247"/>
        <v>453.2057112977146</v>
      </c>
      <c r="AF947" s="121">
        <f>SUM(AC947:AE947)</f>
        <v>3512.3442625572884</v>
      </c>
      <c r="AG947" s="121">
        <f>AF947-G947</f>
        <v>0</v>
      </c>
      <c r="AH947" s="60"/>
      <c r="AU947" s="69">
        <v>5.74</v>
      </c>
      <c r="AW947" s="66">
        <f>ROUND(AU947*$E947,0)</f>
        <v>19769</v>
      </c>
      <c r="AX947" s="66" t="s">
        <v>87</v>
      </c>
      <c r="AY947" s="58">
        <v>1203</v>
      </c>
    </row>
    <row r="948" spans="1:51" ht="15.75">
      <c r="A948" s="57">
        <f t="shared" si="246"/>
        <v>946</v>
      </c>
      <c r="B948" s="64" t="s">
        <v>361</v>
      </c>
      <c r="E948" s="17">
        <f>AA948</f>
        <v>10031307</v>
      </c>
      <c r="G948" s="17">
        <v>10276412.332734488</v>
      </c>
      <c r="J948" s="73">
        <v>4.957799999999999</v>
      </c>
      <c r="K948" s="66">
        <f>ROUND(J948*$E948/100,0)</f>
        <v>497332</v>
      </c>
      <c r="M948" s="66">
        <f>ROUND(J948*$G948/100,0)</f>
        <v>509484</v>
      </c>
      <c r="P948" s="73">
        <v>4.957799999999999</v>
      </c>
      <c r="Q948" s="66">
        <f>ROUND(P948*$G948/100,0)</f>
        <v>509484</v>
      </c>
      <c r="S948" s="68">
        <f>ROUND(P948*$S$952/$S$950,4)</f>
        <v>0</v>
      </c>
      <c r="T948" s="70"/>
      <c r="U948" s="66"/>
      <c r="V948" s="17"/>
      <c r="W948" s="147" t="s">
        <v>7</v>
      </c>
      <c r="X948" s="56">
        <f>1387209+7200748+273129+5557</f>
        <v>8866643</v>
      </c>
      <c r="Y948" s="56">
        <f>4380+2639</f>
        <v>7019</v>
      </c>
      <c r="Z948" s="56">
        <f>440794+309257+407594</f>
        <v>1157645</v>
      </c>
      <c r="AA948" s="56">
        <f>SUM(X948:Z948)</f>
        <v>10031307</v>
      </c>
      <c r="AC948" s="56">
        <f>X948*$G$948/$E$948</f>
        <v>9083290.888730045</v>
      </c>
      <c r="AD948" s="56">
        <f>Y948*$G$948/$E$948</f>
        <v>7190.502510137848</v>
      </c>
      <c r="AE948" s="56">
        <f>Z948*$G$948/$E$948</f>
        <v>1185930.9414943054</v>
      </c>
      <c r="AF948" s="121">
        <f>SUM(AC948:AE948)</f>
        <v>10276412.332734488</v>
      </c>
      <c r="AG948" s="121">
        <f>AF948-G948</f>
        <v>0</v>
      </c>
      <c r="AH948" s="60"/>
      <c r="AV948" s="73">
        <v>4.9578</v>
      </c>
      <c r="AW948" s="66">
        <f>ROUND(AV948*$E948/100,0)</f>
        <v>497332</v>
      </c>
      <c r="AX948" s="66" t="s">
        <v>87</v>
      </c>
      <c r="AY948" s="58">
        <v>1203</v>
      </c>
    </row>
    <row r="949" spans="1:51" ht="15.75">
      <c r="A949" s="57">
        <f t="shared" si="246"/>
        <v>947</v>
      </c>
      <c r="B949" s="64" t="s">
        <v>57</v>
      </c>
      <c r="E949" s="22">
        <v>12089</v>
      </c>
      <c r="G949" s="22">
        <v>0</v>
      </c>
      <c r="I949" s="76"/>
      <c r="K949" s="81">
        <f>AW949</f>
        <v>8176.401363305144</v>
      </c>
      <c r="M949" s="81">
        <v>0</v>
      </c>
      <c r="O949" s="76"/>
      <c r="Q949" s="81">
        <v>0</v>
      </c>
      <c r="U949" s="66"/>
      <c r="V949" s="17"/>
      <c r="X949" s="56"/>
      <c r="Y949" s="56"/>
      <c r="Z949" s="56"/>
      <c r="AA949" s="56"/>
      <c r="AC949" s="56"/>
      <c r="AD949" s="56"/>
      <c r="AE949" s="56"/>
      <c r="AF949" s="60"/>
      <c r="AG949" s="60"/>
      <c r="AH949" s="60"/>
      <c r="AU949" s="76"/>
      <c r="AW949" s="81">
        <v>8176.401363305144</v>
      </c>
      <c r="AX949" s="66" t="s">
        <v>87</v>
      </c>
      <c r="AY949" s="58">
        <v>1203</v>
      </c>
    </row>
    <row r="950" spans="1:51" ht="16.5" thickBot="1">
      <c r="A950" s="57">
        <f t="shared" si="246"/>
        <v>948</v>
      </c>
      <c r="B950" s="58" t="s">
        <v>59</v>
      </c>
      <c r="E950" s="99">
        <f>E948+E949</f>
        <v>10043396</v>
      </c>
      <c r="G950" s="99">
        <f>G948+G949</f>
        <v>10276412.332734488</v>
      </c>
      <c r="I950" s="96"/>
      <c r="J950" s="96"/>
      <c r="K950" s="97">
        <f>SUM(K945:K949)</f>
        <v>717049.4013633052</v>
      </c>
      <c r="M950" s="97">
        <f>SUM(M945:M949)</f>
        <v>725217</v>
      </c>
      <c r="O950" s="96"/>
      <c r="P950" s="96"/>
      <c r="Q950" s="97">
        <f>SUM(Q945:Q949)</f>
        <v>725217</v>
      </c>
      <c r="R950" s="85" t="s">
        <v>59</v>
      </c>
      <c r="S950" s="86">
        <f>Q950</f>
        <v>725217</v>
      </c>
      <c r="U950" s="66"/>
      <c r="V950" s="60"/>
      <c r="W950" s="60"/>
      <c r="AE950" s="60"/>
      <c r="AF950" s="60"/>
      <c r="AG950" s="60"/>
      <c r="AH950" s="60"/>
      <c r="AU950" s="96"/>
      <c r="AV950" s="96"/>
      <c r="AW950" s="97">
        <f>SUM(AW945:AW949)</f>
        <v>717049.4013633052</v>
      </c>
      <c r="AX950" s="66" t="s">
        <v>87</v>
      </c>
      <c r="AY950" s="58">
        <v>1203</v>
      </c>
    </row>
    <row r="951" spans="1:51" ht="16.5" thickTop="1">
      <c r="A951" s="57">
        <f t="shared" si="246"/>
        <v>949</v>
      </c>
      <c r="B951" s="64" t="s">
        <v>60</v>
      </c>
      <c r="E951" s="59"/>
      <c r="G951" s="59"/>
      <c r="I951" s="76"/>
      <c r="J951" s="26">
        <v>0</v>
      </c>
      <c r="K951" s="81">
        <f>ROUND(SUM(K948)*J951,0)</f>
        <v>0</v>
      </c>
      <c r="M951" s="81">
        <f>ROUND(SUM(M948)*J951,0)</f>
        <v>0</v>
      </c>
      <c r="O951" s="76"/>
      <c r="P951" s="26">
        <v>0</v>
      </c>
      <c r="Q951" s="81">
        <f>ROUND(SUM(Q948)*O951,0)</f>
        <v>0</v>
      </c>
      <c r="R951" s="88" t="s">
        <v>61</v>
      </c>
      <c r="S951" s="89">
        <v>725217</v>
      </c>
      <c r="V951" s="60"/>
      <c r="W951" s="60"/>
      <c r="AE951" s="60"/>
      <c r="AF951" s="60"/>
      <c r="AG951" s="60"/>
      <c r="AH951" s="60"/>
      <c r="AU951" s="76"/>
      <c r="AV951" s="26">
        <v>0.0484</v>
      </c>
      <c r="AW951" s="81">
        <f>ROUND(SUM(AW948)*AV951,0)</f>
        <v>24071</v>
      </c>
      <c r="AX951" s="66" t="s">
        <v>87</v>
      </c>
      <c r="AY951" s="58">
        <v>1203</v>
      </c>
    </row>
    <row r="952" spans="1:51" ht="15.75">
      <c r="A952" s="57">
        <f t="shared" si="246"/>
        <v>950</v>
      </c>
      <c r="B952" s="64" t="s">
        <v>62</v>
      </c>
      <c r="E952" s="59"/>
      <c r="G952" s="59"/>
      <c r="I952" s="76"/>
      <c r="J952" s="26">
        <v>0.0415</v>
      </c>
      <c r="K952" s="81">
        <f>ROUND(SUM(K948,K951)*J952,0)</f>
        <v>20639</v>
      </c>
      <c r="M952" s="81">
        <f>ROUND(SUM(M948,M951)*J952,0)</f>
        <v>21144</v>
      </c>
      <c r="O952" s="76"/>
      <c r="P952" s="26">
        <v>0.0415</v>
      </c>
      <c r="Q952" s="81">
        <f>ROUND(SUM(Q948,Q951)*P952,0)</f>
        <v>21144</v>
      </c>
      <c r="R952" s="90" t="s">
        <v>515</v>
      </c>
      <c r="S952" s="91">
        <f>S951-S950</f>
        <v>0</v>
      </c>
      <c r="U952" s="66"/>
      <c r="V952" s="60"/>
      <c r="W952" s="60"/>
      <c r="AG952" s="60"/>
      <c r="AH952" s="60"/>
      <c r="AU952" s="76"/>
      <c r="AV952" s="26"/>
      <c r="AW952" s="81">
        <f>ROUND(SUM(AW948,AW951)*AV952,0)</f>
        <v>0</v>
      </c>
      <c r="AX952" s="66" t="s">
        <v>87</v>
      </c>
      <c r="AY952" s="58">
        <v>1203</v>
      </c>
    </row>
    <row r="953" spans="1:51" ht="15.75">
      <c r="A953" s="57">
        <f t="shared" si="246"/>
        <v>951</v>
      </c>
      <c r="E953" s="59"/>
      <c r="G953" s="59"/>
      <c r="R953" s="55"/>
      <c r="AE953" s="60"/>
      <c r="AF953" s="60"/>
      <c r="AG953" s="60"/>
      <c r="AH953" s="60"/>
      <c r="AX953" s="66" t="s">
        <v>87</v>
      </c>
      <c r="AY953" s="58">
        <v>1203</v>
      </c>
    </row>
    <row r="954" spans="1:51" ht="15.75">
      <c r="A954" s="57">
        <f t="shared" si="246"/>
        <v>952</v>
      </c>
      <c r="E954" s="59"/>
      <c r="G954" s="59"/>
      <c r="U954" s="66"/>
      <c r="AE954" s="60"/>
      <c r="AF954" s="60"/>
      <c r="AG954" s="60"/>
      <c r="AH954" s="60"/>
      <c r="AX954" s="66" t="s">
        <v>87</v>
      </c>
      <c r="AY954" s="58">
        <v>1203</v>
      </c>
    </row>
    <row r="955" spans="1:51" ht="15.75">
      <c r="A955" s="57">
        <f t="shared" si="246"/>
        <v>953</v>
      </c>
      <c r="E955" s="59"/>
      <c r="G955" s="59"/>
      <c r="U955" s="68"/>
      <c r="AE955" s="60"/>
      <c r="AF955" s="60"/>
      <c r="AG955" s="60"/>
      <c r="AH955" s="60"/>
      <c r="AX955" s="66" t="s">
        <v>87</v>
      </c>
      <c r="AY955" s="58">
        <v>1203</v>
      </c>
    </row>
    <row r="956" spans="1:51" ht="16.5" thickBot="1">
      <c r="A956" s="57">
        <f t="shared" si="246"/>
        <v>954</v>
      </c>
      <c r="B956" s="64" t="s">
        <v>371</v>
      </c>
      <c r="E956" s="99">
        <f>E950+E938+E929</f>
        <v>50417524.699999996</v>
      </c>
      <c r="G956" s="99">
        <f>G950+G938+G929</f>
        <v>51951115</v>
      </c>
      <c r="I956" s="97"/>
      <c r="J956" s="97"/>
      <c r="K956" s="97">
        <f>K950+K938+K929</f>
        <v>4143560.384503998</v>
      </c>
      <c r="M956" s="97">
        <f>M950+M938+M929</f>
        <v>3994360</v>
      </c>
      <c r="O956" s="97"/>
      <c r="P956" s="97"/>
      <c r="Q956" s="97">
        <f>Q950+Q938+Q929</f>
        <v>4310614</v>
      </c>
      <c r="AE956" s="60"/>
      <c r="AF956" s="60"/>
      <c r="AG956" s="60"/>
      <c r="AH956" s="60"/>
      <c r="AU956" s="97"/>
      <c r="AV956" s="97"/>
      <c r="AW956" s="97">
        <f>AW950+AW938+AW929</f>
        <v>3935604.384503998</v>
      </c>
      <c r="AX956" s="66" t="s">
        <v>87</v>
      </c>
      <c r="AY956" s="58">
        <v>1203</v>
      </c>
    </row>
    <row r="957" spans="1:51" ht="16.5" thickTop="1">
      <c r="A957" s="57">
        <f t="shared" si="246"/>
        <v>955</v>
      </c>
      <c r="B957" s="64" t="s">
        <v>372</v>
      </c>
      <c r="E957" s="59"/>
      <c r="G957" s="59"/>
      <c r="I957" s="76"/>
      <c r="J957" s="26">
        <f>K957/SUM(K948,K936,K926)</f>
        <v>0</v>
      </c>
      <c r="K957" s="81">
        <f>K930+K939+K951</f>
        <v>0</v>
      </c>
      <c r="M957" s="81">
        <f>M930+M939+M951</f>
        <v>0</v>
      </c>
      <c r="O957" s="76"/>
      <c r="P957" s="26">
        <f>Q957/SUM(Q948,Q936,Q926)</f>
        <v>0</v>
      </c>
      <c r="Q957" s="81">
        <f>Q930+Q939+Q951</f>
        <v>0</v>
      </c>
      <c r="AE957" s="60"/>
      <c r="AF957" s="60"/>
      <c r="AG957" s="60"/>
      <c r="AH957" s="60"/>
      <c r="AU957" s="76"/>
      <c r="AV957" s="26">
        <f>AW957/SUM(AW948,AW936,AW926)</f>
        <v>0.037813782781185044</v>
      </c>
      <c r="AW957" s="81">
        <f>AW930+AW939+AW951</f>
        <v>128570</v>
      </c>
      <c r="AX957" s="66" t="s">
        <v>87</v>
      </c>
      <c r="AY957" s="58">
        <v>1203</v>
      </c>
    </row>
    <row r="958" spans="1:51" ht="15.75">
      <c r="A958" s="57">
        <f t="shared" si="246"/>
        <v>956</v>
      </c>
      <c r="B958" s="64" t="s">
        <v>373</v>
      </c>
      <c r="E958" s="59"/>
      <c r="G958" s="59"/>
      <c r="I958" s="76"/>
      <c r="J958" s="26">
        <f>K958/SUM(K948,K936,K926)</f>
        <v>0.02980566451748443</v>
      </c>
      <c r="K958" s="81">
        <f>K931+K940+K952</f>
        <v>107540</v>
      </c>
      <c r="M958" s="81">
        <f>M931+M940+M952</f>
        <v>110168</v>
      </c>
      <c r="O958" s="76"/>
      <c r="P958" s="26">
        <f>Q958/SUM(Q948,Q936,Q926)</f>
        <v>0.029633961021961242</v>
      </c>
      <c r="Q958" s="81">
        <f>Q931+Q940+Q952</f>
        <v>118741</v>
      </c>
      <c r="S958" s="60"/>
      <c r="T958" s="60"/>
      <c r="U958" s="60"/>
      <c r="V958" s="60"/>
      <c r="AG958" s="60"/>
      <c r="AH958" s="60"/>
      <c r="AU958" s="76"/>
      <c r="AV958" s="26">
        <f>AW958/SUM(AW948,AW936,AW926)</f>
        <v>0</v>
      </c>
      <c r="AW958" s="81">
        <f>AW931+AW940+AW952</f>
        <v>0</v>
      </c>
      <c r="AX958" s="66" t="s">
        <v>87</v>
      </c>
      <c r="AY958" s="58">
        <v>1203</v>
      </c>
    </row>
    <row r="959" spans="1:51" ht="15.75">
      <c r="A959" s="57">
        <f t="shared" si="246"/>
        <v>957</v>
      </c>
      <c r="AE959" s="60"/>
      <c r="AF959" s="60"/>
      <c r="AG959" s="60"/>
      <c r="AH959" s="60"/>
      <c r="AX959" s="66" t="s">
        <v>87</v>
      </c>
      <c r="AY959" s="58">
        <v>1203</v>
      </c>
    </row>
    <row r="960" spans="1:51" ht="15.75">
      <c r="A960" s="57">
        <f t="shared" si="246"/>
        <v>958</v>
      </c>
      <c r="B960" s="64" t="s">
        <v>374</v>
      </c>
      <c r="E960" s="59"/>
      <c r="G960" s="59"/>
      <c r="R960" s="58" t="s">
        <v>148</v>
      </c>
      <c r="AE960" s="60"/>
      <c r="AF960" s="60"/>
      <c r="AG960" s="60"/>
      <c r="AH960" s="60"/>
      <c r="AX960" s="66" t="s">
        <v>261</v>
      </c>
      <c r="AY960" s="107" t="s">
        <v>375</v>
      </c>
    </row>
    <row r="961" spans="1:51" ht="15.75">
      <c r="A961" s="57">
        <f t="shared" si="246"/>
        <v>959</v>
      </c>
      <c r="B961" s="64" t="s">
        <v>15</v>
      </c>
      <c r="E961" s="59"/>
      <c r="G961" s="59"/>
      <c r="R961" s="117">
        <v>0.11413000000000001</v>
      </c>
      <c r="S961" s="87">
        <f>ABS(S1043)</f>
        <v>37.76381809322629</v>
      </c>
      <c r="AE961" s="60"/>
      <c r="AF961" s="60"/>
      <c r="AG961" s="60"/>
      <c r="AH961" s="60"/>
      <c r="AX961" s="66" t="s">
        <v>261</v>
      </c>
      <c r="AY961" s="107" t="s">
        <v>375</v>
      </c>
    </row>
    <row r="962" spans="1:51" ht="15.75">
      <c r="A962" s="57">
        <f t="shared" si="246"/>
        <v>960</v>
      </c>
      <c r="B962" s="98" t="s">
        <v>376</v>
      </c>
      <c r="E962" s="59"/>
      <c r="G962" s="59"/>
      <c r="R962" s="60"/>
      <c r="S962" s="60"/>
      <c r="T962" s="60"/>
      <c r="AE962" s="60"/>
      <c r="AF962" s="60"/>
      <c r="AG962" s="60"/>
      <c r="AH962" s="60"/>
      <c r="AX962" s="66" t="s">
        <v>261</v>
      </c>
      <c r="AY962" s="107" t="s">
        <v>375</v>
      </c>
    </row>
    <row r="963" spans="1:51" ht="15.75">
      <c r="A963" s="57">
        <f t="shared" si="246"/>
        <v>961</v>
      </c>
      <c r="B963" s="98" t="s">
        <v>377</v>
      </c>
      <c r="E963" s="59"/>
      <c r="G963" s="59"/>
      <c r="R963" s="60"/>
      <c r="S963" s="60"/>
      <c r="T963" s="60"/>
      <c r="Z963" s="55" t="s">
        <v>30</v>
      </c>
      <c r="AA963" s="55" t="s">
        <v>158</v>
      </c>
      <c r="AC963" s="58" t="s">
        <v>378</v>
      </c>
      <c r="AD963" s="58" t="s">
        <v>307</v>
      </c>
      <c r="AE963" s="58" t="s">
        <v>151</v>
      </c>
      <c r="AF963" s="60"/>
      <c r="AG963" s="60"/>
      <c r="AH963" s="60"/>
      <c r="AX963" s="66" t="s">
        <v>261</v>
      </c>
      <c r="AY963" s="107" t="s">
        <v>375</v>
      </c>
    </row>
    <row r="964" spans="1:51" ht="15.75">
      <c r="A964" s="57">
        <f t="shared" si="246"/>
        <v>962</v>
      </c>
      <c r="B964" s="64" t="s">
        <v>379</v>
      </c>
      <c r="E964" s="59"/>
      <c r="G964" s="59"/>
      <c r="I964" s="76"/>
      <c r="K964" s="66"/>
      <c r="M964" s="66"/>
      <c r="O964" s="76"/>
      <c r="Q964" s="66"/>
      <c r="AC964" s="58"/>
      <c r="AD964" s="58"/>
      <c r="AE964" s="60"/>
      <c r="AF964" s="60"/>
      <c r="AG964" s="60"/>
      <c r="AH964" s="60"/>
      <c r="AU964" s="76"/>
      <c r="AW964" s="66"/>
      <c r="AX964" s="66" t="s">
        <v>261</v>
      </c>
      <c r="AY964" s="107" t="s">
        <v>375</v>
      </c>
    </row>
    <row r="965" spans="1:51" ht="15.75">
      <c r="A965" s="57">
        <f t="shared" si="246"/>
        <v>963</v>
      </c>
      <c r="B965" s="64" t="s">
        <v>516</v>
      </c>
      <c r="E965" s="59"/>
      <c r="G965" s="59"/>
      <c r="I965" s="76"/>
      <c r="K965" s="66"/>
      <c r="M965" s="66"/>
      <c r="O965" s="76"/>
      <c r="Q965" s="66"/>
      <c r="R965" s="58" t="s">
        <v>0</v>
      </c>
      <c r="AC965" s="58"/>
      <c r="AD965" s="58"/>
      <c r="AE965" s="60"/>
      <c r="AF965" s="60"/>
      <c r="AG965" s="60"/>
      <c r="AH965" s="60"/>
      <c r="AU965" s="76"/>
      <c r="AW965" s="66"/>
      <c r="AX965" s="66" t="s">
        <v>261</v>
      </c>
      <c r="AY965" s="107" t="s">
        <v>375</v>
      </c>
    </row>
    <row r="966" spans="1:51" ht="15.75">
      <c r="A966" s="57">
        <f t="shared" si="246"/>
        <v>964</v>
      </c>
      <c r="B966" s="64" t="s">
        <v>277</v>
      </c>
      <c r="E966" s="59"/>
      <c r="G966" s="59"/>
      <c r="I966" s="76"/>
      <c r="K966" s="66"/>
      <c r="M966" s="66"/>
      <c r="O966" s="76"/>
      <c r="Q966" s="66"/>
      <c r="AC966" s="58"/>
      <c r="AD966" s="58"/>
      <c r="AE966" s="60"/>
      <c r="AF966" s="60"/>
      <c r="AG966" s="60"/>
      <c r="AH966" s="60"/>
      <c r="AU966" s="76"/>
      <c r="AW966" s="66"/>
      <c r="AX966" s="66" t="s">
        <v>261</v>
      </c>
      <c r="AY966" s="107" t="s">
        <v>375</v>
      </c>
    </row>
    <row r="967" spans="1:51" ht="15.75">
      <c r="A967" s="57">
        <f t="shared" si="246"/>
        <v>965</v>
      </c>
      <c r="B967" s="64" t="s">
        <v>280</v>
      </c>
      <c r="E967" s="59">
        <f aca="true" t="shared" si="248" ref="E967:E975">Z967</f>
        <v>1502</v>
      </c>
      <c r="G967" s="59">
        <f aca="true" t="shared" si="249" ref="G967:G975">E967*$G$1038/$E$1038</f>
        <v>3247.2653679073487</v>
      </c>
      <c r="I967" s="69">
        <v>1.86</v>
      </c>
      <c r="K967" s="66">
        <f>ROUND(I967*$E967,0)</f>
        <v>2794</v>
      </c>
      <c r="M967" s="66">
        <f>ROUND(I967*$G967,0)</f>
        <v>6040</v>
      </c>
      <c r="O967" s="69">
        <v>2.07</v>
      </c>
      <c r="Q967" s="66">
        <f>ROUND(O967*$G967,0)</f>
        <v>6722</v>
      </c>
      <c r="R967" s="69">
        <f>ROUND($I967*(1+$R$961),2)</f>
        <v>2.07</v>
      </c>
      <c r="S967" s="58"/>
      <c r="T967" s="95">
        <f>S967/AU967-1</f>
        <v>-1</v>
      </c>
      <c r="U967" s="55">
        <f>S967-I967</f>
        <v>-1.86</v>
      </c>
      <c r="W967" s="33"/>
      <c r="Z967" s="55">
        <v>1502</v>
      </c>
      <c r="AA967" s="55">
        <v>1</v>
      </c>
      <c r="AC967" s="59">
        <v>39</v>
      </c>
      <c r="AD967" s="58">
        <f>AC967*E967</f>
        <v>58578</v>
      </c>
      <c r="AE967" s="60">
        <f>AC967*G967</f>
        <v>126643.3493483866</v>
      </c>
      <c r="AF967" s="60"/>
      <c r="AG967" s="60"/>
      <c r="AH967" s="60"/>
      <c r="AU967" s="69">
        <v>1.75</v>
      </c>
      <c r="AW967" s="66">
        <f>ROUND(AU967*$E967,0)</f>
        <v>2629</v>
      </c>
      <c r="AX967" s="66" t="s">
        <v>261</v>
      </c>
      <c r="AY967" s="107" t="s">
        <v>375</v>
      </c>
    </row>
    <row r="968" spans="1:51" ht="15.75">
      <c r="A968" s="57">
        <f t="shared" si="246"/>
        <v>966</v>
      </c>
      <c r="B968" s="64" t="s">
        <v>282</v>
      </c>
      <c r="E968" s="59">
        <f t="shared" si="248"/>
        <v>5030.71</v>
      </c>
      <c r="G968" s="59">
        <f t="shared" si="249"/>
        <v>10876.198641135272</v>
      </c>
      <c r="I968" s="69">
        <v>2.72</v>
      </c>
      <c r="K968" s="66">
        <f>ROUND(I968*$E968,0)</f>
        <v>13684</v>
      </c>
      <c r="M968" s="66">
        <f>ROUND(I968*$G968,0)</f>
        <v>29583</v>
      </c>
      <c r="O968" s="69">
        <v>3.03</v>
      </c>
      <c r="Q968" s="66">
        <f>ROUND(O968*$G968,0)</f>
        <v>32955</v>
      </c>
      <c r="R968" s="69">
        <f>ROUND($I968*(1+$R$961),2)</f>
        <v>3.03</v>
      </c>
      <c r="S968" s="58"/>
      <c r="T968" s="95">
        <f>S968/AU968-1</f>
        <v>-1</v>
      </c>
      <c r="U968" s="55">
        <f>S968-I968</f>
        <v>-2.72</v>
      </c>
      <c r="W968" s="33"/>
      <c r="Z968" s="55">
        <v>5030.71</v>
      </c>
      <c r="AA968" s="55">
        <v>2</v>
      </c>
      <c r="AC968" s="59">
        <v>59</v>
      </c>
      <c r="AD968" s="58">
        <f>AC968*E968</f>
        <v>296811.89</v>
      </c>
      <c r="AE968" s="60">
        <f>AC968*G968</f>
        <v>641695.7198269811</v>
      </c>
      <c r="AF968" s="60"/>
      <c r="AG968" s="60"/>
      <c r="AH968" s="60"/>
      <c r="AU968" s="69">
        <v>2.56</v>
      </c>
      <c r="AW968" s="66">
        <f>ROUND(AU968*$E968,0)</f>
        <v>12879</v>
      </c>
      <c r="AX968" s="66" t="s">
        <v>261</v>
      </c>
      <c r="AY968" s="107" t="s">
        <v>375</v>
      </c>
    </row>
    <row r="969" spans="1:51" ht="15.75">
      <c r="A969" s="57">
        <f t="shared" si="246"/>
        <v>967</v>
      </c>
      <c r="B969" s="64" t="s">
        <v>380</v>
      </c>
      <c r="E969" s="59">
        <f t="shared" si="248"/>
        <v>254.67</v>
      </c>
      <c r="G969" s="59">
        <f t="shared" si="249"/>
        <v>550.5865986983785</v>
      </c>
      <c r="I969" s="69">
        <v>4.85</v>
      </c>
      <c r="K969" s="66">
        <f>ROUND(I969*$E969,0)</f>
        <v>1235</v>
      </c>
      <c r="M969" s="66">
        <f>ROUND(I969*$G969,0)</f>
        <v>2670</v>
      </c>
      <c r="O969" s="69">
        <v>5.4</v>
      </c>
      <c r="Q969" s="66">
        <f>ROUND(O969*$G969,0)</f>
        <v>2973</v>
      </c>
      <c r="R969" s="69">
        <f>ROUND($I969*(1+$R$961),2)</f>
        <v>5.4</v>
      </c>
      <c r="S969" s="58"/>
      <c r="T969" s="95">
        <f>S969/AU969-1</f>
        <v>-1</v>
      </c>
      <c r="U969" s="55">
        <f>S969-I969</f>
        <v>-4.85</v>
      </c>
      <c r="W969" s="33"/>
      <c r="Z969" s="55">
        <v>254.67</v>
      </c>
      <c r="AA969" s="55">
        <v>3</v>
      </c>
      <c r="AC969" s="59">
        <v>96</v>
      </c>
      <c r="AD969" s="58">
        <f>AC969*E969</f>
        <v>24448.32</v>
      </c>
      <c r="AE969" s="60">
        <f>AC969*G969</f>
        <v>52856.31347504433</v>
      </c>
      <c r="AF969" s="60"/>
      <c r="AG969" s="60"/>
      <c r="AH969" s="60"/>
      <c r="AU969" s="69">
        <v>4.56</v>
      </c>
      <c r="AW969" s="66">
        <f>ROUND(AU969*$E969,0)</f>
        <v>1161</v>
      </c>
      <c r="AX969" s="66" t="s">
        <v>261</v>
      </c>
      <c r="AY969" s="107" t="s">
        <v>375</v>
      </c>
    </row>
    <row r="970" spans="1:51" ht="15.75">
      <c r="A970" s="57">
        <f t="shared" si="246"/>
        <v>968</v>
      </c>
      <c r="B970" s="64" t="s">
        <v>286</v>
      </c>
      <c r="E970" s="59">
        <f t="shared" si="248"/>
        <v>0</v>
      </c>
      <c r="G970" s="59">
        <f t="shared" si="249"/>
        <v>0</v>
      </c>
      <c r="I970" s="69">
        <v>7.45</v>
      </c>
      <c r="K970" s="66">
        <f>ROUND(I970*$E970,0)</f>
        <v>0</v>
      </c>
      <c r="M970" s="66">
        <f>ROUND(I970*$G970,0)</f>
        <v>0</v>
      </c>
      <c r="O970" s="69">
        <v>8.3</v>
      </c>
      <c r="Q970" s="66">
        <f>ROUND(O970*$G970,0)</f>
        <v>0</v>
      </c>
      <c r="R970" s="69">
        <f>ROUND($I970*(1+$R$961),2)</f>
        <v>8.3</v>
      </c>
      <c r="S970" s="58"/>
      <c r="T970" s="95">
        <f>S970/AU970-1</f>
        <v>-1</v>
      </c>
      <c r="U970" s="55">
        <f>S970-I970</f>
        <v>-7.45</v>
      </c>
      <c r="W970" s="33"/>
      <c r="Z970" s="55">
        <v>0</v>
      </c>
      <c r="AA970" s="55">
        <v>4</v>
      </c>
      <c r="AC970" s="59">
        <v>148</v>
      </c>
      <c r="AD970" s="58">
        <f>AC970*E970</f>
        <v>0</v>
      </c>
      <c r="AE970" s="60">
        <f>AC970*G970</f>
        <v>0</v>
      </c>
      <c r="AF970" s="60"/>
      <c r="AG970" s="60"/>
      <c r="AH970" s="60"/>
      <c r="AU970" s="69">
        <v>7</v>
      </c>
      <c r="AW970" s="66">
        <f>ROUND(AU970*$E970,0)</f>
        <v>0</v>
      </c>
      <c r="AX970" s="66" t="s">
        <v>261</v>
      </c>
      <c r="AY970" s="107" t="s">
        <v>375</v>
      </c>
    </row>
    <row r="971" spans="1:51" ht="15.75">
      <c r="A971" s="57">
        <f t="shared" si="246"/>
        <v>969</v>
      </c>
      <c r="B971" s="64" t="s">
        <v>322</v>
      </c>
      <c r="E971" s="59">
        <f t="shared" si="248"/>
        <v>0</v>
      </c>
      <c r="G971" s="59">
        <f t="shared" si="249"/>
        <v>0</v>
      </c>
      <c r="I971" s="76"/>
      <c r="K971" s="66"/>
      <c r="M971" s="66"/>
      <c r="O971" s="76"/>
      <c r="Q971" s="66"/>
      <c r="R971" s="76"/>
      <c r="S971" s="58"/>
      <c r="T971" s="95"/>
      <c r="AC971" s="58"/>
      <c r="AD971" s="58"/>
      <c r="AE971" s="60"/>
      <c r="AF971" s="60"/>
      <c r="AG971" s="60"/>
      <c r="AH971" s="60"/>
      <c r="AU971" s="76"/>
      <c r="AW971" s="66"/>
      <c r="AX971" s="66" t="s">
        <v>261</v>
      </c>
      <c r="AY971" s="107" t="s">
        <v>375</v>
      </c>
    </row>
    <row r="972" spans="1:51" ht="15.75">
      <c r="A972" s="57">
        <f t="shared" si="246"/>
        <v>970</v>
      </c>
      <c r="B972" s="64" t="s">
        <v>381</v>
      </c>
      <c r="E972" s="59">
        <f t="shared" si="248"/>
        <v>106.34</v>
      </c>
      <c r="G972" s="59">
        <f t="shared" si="249"/>
        <v>229.9029289102979</v>
      </c>
      <c r="I972" s="69">
        <v>1.89</v>
      </c>
      <c r="K972" s="66">
        <f>ROUND(I972*$E972,0)</f>
        <v>201</v>
      </c>
      <c r="M972" s="66">
        <f>ROUND(I972*$G972,0)</f>
        <v>435</v>
      </c>
      <c r="O972" s="69">
        <v>2.11</v>
      </c>
      <c r="Q972" s="66">
        <f>ROUND(O972*$G972,0)</f>
        <v>485</v>
      </c>
      <c r="R972" s="69">
        <f>ROUND($I972*(1+$R$961),2)</f>
        <v>2.11</v>
      </c>
      <c r="S972" s="58"/>
      <c r="T972" s="95">
        <f>S972/AU972-1</f>
        <v>-1</v>
      </c>
      <c r="U972" s="55">
        <f>S972-I972</f>
        <v>-1.89</v>
      </c>
      <c r="W972" s="33"/>
      <c r="Z972" s="55">
        <v>106.34</v>
      </c>
      <c r="AA972" s="55">
        <v>5</v>
      </c>
      <c r="AC972" s="59">
        <v>39</v>
      </c>
      <c r="AD972" s="58">
        <f>AC972*E972</f>
        <v>4147.26</v>
      </c>
      <c r="AE972" s="60">
        <f>AC972*G972</f>
        <v>8966.214227501618</v>
      </c>
      <c r="AF972" s="60"/>
      <c r="AG972" s="60"/>
      <c r="AH972" s="60"/>
      <c r="AU972" s="69">
        <v>1.78</v>
      </c>
      <c r="AW972" s="66">
        <f>ROUND(AU972*$E972,0)</f>
        <v>189</v>
      </c>
      <c r="AX972" s="66" t="s">
        <v>261</v>
      </c>
      <c r="AY972" s="107" t="s">
        <v>375</v>
      </c>
    </row>
    <row r="973" spans="1:51" ht="15.75">
      <c r="A973" s="57">
        <f t="shared" si="246"/>
        <v>971</v>
      </c>
      <c r="B973" s="64" t="s">
        <v>323</v>
      </c>
      <c r="E973" s="59">
        <f t="shared" si="248"/>
        <v>1337.87</v>
      </c>
      <c r="G973" s="59">
        <f t="shared" si="249"/>
        <v>2892.422714888285</v>
      </c>
      <c r="I973" s="69">
        <v>3.31</v>
      </c>
      <c r="K973" s="66">
        <f>ROUND(I973*$E973,0)</f>
        <v>4428</v>
      </c>
      <c r="M973" s="66">
        <f>ROUND(I973*$G973,0)</f>
        <v>9574</v>
      </c>
      <c r="O973" s="69">
        <v>3.69</v>
      </c>
      <c r="Q973" s="66">
        <f>ROUND(O973*$G973,0)</f>
        <v>10673</v>
      </c>
      <c r="R973" s="69">
        <f>ROUND($I973*(1+$R$961),2)</f>
        <v>3.69</v>
      </c>
      <c r="S973" s="58"/>
      <c r="T973" s="95">
        <f>S973/AU973-1</f>
        <v>-1</v>
      </c>
      <c r="U973" s="55">
        <f>S973-I973</f>
        <v>-3.31</v>
      </c>
      <c r="W973" s="33"/>
      <c r="Z973" s="55">
        <v>1337.87</v>
      </c>
      <c r="AA973" s="55">
        <v>6</v>
      </c>
      <c r="AC973" s="59">
        <v>69</v>
      </c>
      <c r="AD973" s="58">
        <f>AC973*E973</f>
        <v>92313.03</v>
      </c>
      <c r="AE973" s="60">
        <f>AC973*G973</f>
        <v>199577.16732729168</v>
      </c>
      <c r="AF973" s="60"/>
      <c r="AG973" s="60"/>
      <c r="AH973" s="60"/>
      <c r="AU973" s="69">
        <v>3.11</v>
      </c>
      <c r="AW973" s="66">
        <f>ROUND(AU973*$E973,0)</f>
        <v>4161</v>
      </c>
      <c r="AX973" s="66" t="s">
        <v>261</v>
      </c>
      <c r="AY973" s="107" t="s">
        <v>375</v>
      </c>
    </row>
    <row r="974" spans="1:51" ht="15.75">
      <c r="A974" s="57">
        <f t="shared" si="246"/>
        <v>972</v>
      </c>
      <c r="B974" s="64" t="s">
        <v>325</v>
      </c>
      <c r="E974" s="59">
        <f t="shared" si="248"/>
        <v>731.47</v>
      </c>
      <c r="G974" s="59">
        <f t="shared" si="249"/>
        <v>1581.4095863270227</v>
      </c>
      <c r="I974" s="69">
        <v>4.59</v>
      </c>
      <c r="K974" s="66">
        <f>ROUND(I974*$E974,0)</f>
        <v>3357</v>
      </c>
      <c r="M974" s="66">
        <f>ROUND(I974*$G974,0)</f>
        <v>7259</v>
      </c>
      <c r="O974" s="69">
        <v>5.11</v>
      </c>
      <c r="Q974" s="66">
        <f>ROUND(O974*$G974,0)</f>
        <v>8081</v>
      </c>
      <c r="R974" s="69">
        <f>ROUND($I974*(1+$R$961),2)</f>
        <v>5.11</v>
      </c>
      <c r="S974" s="58"/>
      <c r="T974" s="95">
        <f>S974/AU974-1</f>
        <v>-1</v>
      </c>
      <c r="U974" s="55">
        <f>S974-I974</f>
        <v>-4.59</v>
      </c>
      <c r="W974" s="33"/>
      <c r="Z974" s="55">
        <v>731.47</v>
      </c>
      <c r="AA974" s="55">
        <v>7</v>
      </c>
      <c r="AC974" s="59">
        <v>93</v>
      </c>
      <c r="AD974" s="58">
        <f>AC974*E974</f>
        <v>68026.71</v>
      </c>
      <c r="AE974" s="60">
        <f>AC974*G974</f>
        <v>147071.09152841312</v>
      </c>
      <c r="AF974" s="60"/>
      <c r="AG974" s="60"/>
      <c r="AH974" s="60"/>
      <c r="AU974" s="69">
        <v>4.31</v>
      </c>
      <c r="AW974" s="66">
        <f>ROUND(AU974*$E974,0)</f>
        <v>3153</v>
      </c>
      <c r="AX974" s="66" t="s">
        <v>261</v>
      </c>
      <c r="AY974" s="107" t="s">
        <v>375</v>
      </c>
    </row>
    <row r="975" spans="1:51" ht="15.75">
      <c r="A975" s="57">
        <f t="shared" si="246"/>
        <v>973</v>
      </c>
      <c r="B975" s="64" t="s">
        <v>326</v>
      </c>
      <c r="E975" s="59">
        <f t="shared" si="248"/>
        <v>2391.47</v>
      </c>
      <c r="G975" s="59">
        <f t="shared" si="249"/>
        <v>5170.264786544199</v>
      </c>
      <c r="I975" s="69">
        <v>7.26</v>
      </c>
      <c r="K975" s="66">
        <f>ROUND(I975*$E975,0)</f>
        <v>17362</v>
      </c>
      <c r="M975" s="66">
        <f>ROUND(I975*$G975,0)</f>
        <v>37536</v>
      </c>
      <c r="O975" s="69">
        <v>8.09</v>
      </c>
      <c r="Q975" s="66">
        <f>ROUND(O975*$G975,0)</f>
        <v>41827</v>
      </c>
      <c r="R975" s="69">
        <f>ROUND($I975*(1+$R$961),2)</f>
        <v>8.09</v>
      </c>
      <c r="S975" s="58"/>
      <c r="T975" s="95">
        <f>S975/AU975-1</f>
        <v>-1</v>
      </c>
      <c r="U975" s="55">
        <f>S975-I975</f>
        <v>-7.26</v>
      </c>
      <c r="W975" s="33"/>
      <c r="Z975" s="55">
        <v>2391.47</v>
      </c>
      <c r="AA975" s="55">
        <v>8</v>
      </c>
      <c r="AC975" s="59">
        <v>145</v>
      </c>
      <c r="AD975" s="58">
        <f>AC975*E975</f>
        <v>346763.14999999997</v>
      </c>
      <c r="AE975" s="60">
        <f>AC975*G975</f>
        <v>749688.3940489088</v>
      </c>
      <c r="AF975" s="60"/>
      <c r="AG975" s="60"/>
      <c r="AH975" s="60"/>
      <c r="AU975" s="69">
        <v>6.82</v>
      </c>
      <c r="AW975" s="66">
        <f>ROUND(AU975*$E975,0)</f>
        <v>16310</v>
      </c>
      <c r="AX975" s="66" t="s">
        <v>261</v>
      </c>
      <c r="AY975" s="107" t="s">
        <v>375</v>
      </c>
    </row>
    <row r="976" spans="1:51" ht="15.75">
      <c r="A976" s="57">
        <f t="shared" si="246"/>
        <v>974</v>
      </c>
      <c r="B976" s="64" t="s">
        <v>517</v>
      </c>
      <c r="E976" s="78"/>
      <c r="G976" s="78"/>
      <c r="I976" s="127"/>
      <c r="J976" s="125"/>
      <c r="K976" s="81"/>
      <c r="M976" s="81"/>
      <c r="O976" s="127"/>
      <c r="P976" s="125"/>
      <c r="Q976" s="81"/>
      <c r="R976" s="127"/>
      <c r="S976" s="125"/>
      <c r="T976" s="95"/>
      <c r="W976" s="33"/>
      <c r="AC976" s="58"/>
      <c r="AD976" s="58"/>
      <c r="AE976" s="60"/>
      <c r="AF976" s="60"/>
      <c r="AG976" s="60"/>
      <c r="AH976" s="60"/>
      <c r="AU976" s="127"/>
      <c r="AV976" s="125"/>
      <c r="AW976" s="81"/>
      <c r="AX976" s="66" t="s">
        <v>261</v>
      </c>
      <c r="AY976" s="107" t="s">
        <v>375</v>
      </c>
    </row>
    <row r="977" spans="1:51" ht="15.75">
      <c r="A977" s="57">
        <f t="shared" si="246"/>
        <v>975</v>
      </c>
      <c r="B977" s="64" t="s">
        <v>277</v>
      </c>
      <c r="E977" s="59"/>
      <c r="G977" s="59"/>
      <c r="I977" s="76"/>
      <c r="K977" s="66"/>
      <c r="M977" s="66"/>
      <c r="O977" s="76"/>
      <c r="Q977" s="66"/>
      <c r="R977" s="76"/>
      <c r="S977" s="58"/>
      <c r="T977" s="95"/>
      <c r="AC977" s="58"/>
      <c r="AD977" s="58"/>
      <c r="AE977" s="60"/>
      <c r="AF977" s="60"/>
      <c r="AG977" s="60"/>
      <c r="AH977" s="60"/>
      <c r="AU977" s="76"/>
      <c r="AW977" s="66"/>
      <c r="AX977" s="66" t="s">
        <v>261</v>
      </c>
      <c r="AY977" s="107" t="s">
        <v>375</v>
      </c>
    </row>
    <row r="978" spans="1:51" ht="15.75">
      <c r="A978" s="57">
        <f t="shared" si="246"/>
        <v>976</v>
      </c>
      <c r="B978" s="64" t="s">
        <v>280</v>
      </c>
      <c r="E978" s="59">
        <f>Z978</f>
        <v>406.7</v>
      </c>
      <c r="G978" s="59">
        <f>E978*$G$1038/$E$1038</f>
        <v>879.2695240532082</v>
      </c>
      <c r="I978" s="69">
        <v>5.18</v>
      </c>
      <c r="K978" s="66">
        <f>ROUND(I978*$E978,0)</f>
        <v>2107</v>
      </c>
      <c r="M978" s="66">
        <f>ROUND(I978*$G978,0)</f>
        <v>4555</v>
      </c>
      <c r="O978" s="69">
        <v>5.77</v>
      </c>
      <c r="Q978" s="66">
        <f>ROUND(O978*$G978,0)</f>
        <v>5073</v>
      </c>
      <c r="R978" s="69">
        <f>ROUND($I978*(1+$R$961),2)</f>
        <v>5.77</v>
      </c>
      <c r="S978" s="58"/>
      <c r="T978" s="95">
        <f>S978/AU978-1</f>
        <v>-1</v>
      </c>
      <c r="U978" s="55">
        <f>S978-I978</f>
        <v>-5.18</v>
      </c>
      <c r="W978" s="33"/>
      <c r="Z978" s="55">
        <v>406.7</v>
      </c>
      <c r="AA978" s="55">
        <v>1</v>
      </c>
      <c r="AC978" s="59">
        <v>39</v>
      </c>
      <c r="AD978" s="58">
        <f>AC978*E978</f>
        <v>15861.3</v>
      </c>
      <c r="AE978" s="60">
        <f>AC978*G978</f>
        <v>34291.51143807512</v>
      </c>
      <c r="AF978" s="60"/>
      <c r="AG978" s="60"/>
      <c r="AH978" s="60"/>
      <c r="AU978" s="69">
        <v>4.87</v>
      </c>
      <c r="AW978" s="66">
        <f>ROUND(AU978*$E978,0)</f>
        <v>1981</v>
      </c>
      <c r="AX978" s="66" t="s">
        <v>261</v>
      </c>
      <c r="AY978" s="107" t="s">
        <v>375</v>
      </c>
    </row>
    <row r="979" spans="1:51" ht="15.75">
      <c r="A979" s="57">
        <f t="shared" si="246"/>
        <v>977</v>
      </c>
      <c r="B979" s="64" t="s">
        <v>282</v>
      </c>
      <c r="E979" s="59">
        <f>Z979</f>
        <v>19.6</v>
      </c>
      <c r="G979" s="59">
        <f>E979*$G$1038/$E$1038</f>
        <v>42.374434894130516</v>
      </c>
      <c r="I979" s="69">
        <v>6.15</v>
      </c>
      <c r="K979" s="66">
        <f>ROUND(I979*$E979,0)</f>
        <v>121</v>
      </c>
      <c r="M979" s="66">
        <f>ROUND(I979*$G979,0)</f>
        <v>261</v>
      </c>
      <c r="O979" s="69">
        <v>6.85</v>
      </c>
      <c r="Q979" s="66">
        <f>ROUND(O979*$G979,0)</f>
        <v>290</v>
      </c>
      <c r="R979" s="69">
        <f>ROUND($I979*(1+$R$961),2)</f>
        <v>6.85</v>
      </c>
      <c r="S979" s="58"/>
      <c r="T979" s="95">
        <f>S979/AU979-1</f>
        <v>-1</v>
      </c>
      <c r="U979" s="55">
        <f>S979-I979</f>
        <v>-6.15</v>
      </c>
      <c r="W979" s="33"/>
      <c r="Z979" s="55">
        <v>19.6</v>
      </c>
      <c r="AA979" s="55">
        <v>2</v>
      </c>
      <c r="AC979" s="59">
        <v>59</v>
      </c>
      <c r="AD979" s="58">
        <f>AC979*E979</f>
        <v>1156.4</v>
      </c>
      <c r="AE979" s="60">
        <f>AC979*G979</f>
        <v>2500.0916587537004</v>
      </c>
      <c r="AF979" s="60"/>
      <c r="AG979" s="60"/>
      <c r="AH979" s="60"/>
      <c r="AU979" s="69">
        <v>5.78</v>
      </c>
      <c r="AW979" s="66">
        <f>ROUND(AU979*$E979,0)</f>
        <v>113</v>
      </c>
      <c r="AX979" s="66" t="s">
        <v>261</v>
      </c>
      <c r="AY979" s="107" t="s">
        <v>375</v>
      </c>
    </row>
    <row r="980" spans="1:51" ht="15.75">
      <c r="A980" s="57">
        <f t="shared" si="246"/>
        <v>978</v>
      </c>
      <c r="B980" s="64" t="s">
        <v>284</v>
      </c>
      <c r="E980" s="59">
        <f>Z980</f>
        <v>0</v>
      </c>
      <c r="G980" s="59">
        <f>E980*$G$1038/$E$1038</f>
        <v>0</v>
      </c>
      <c r="I980" s="69">
        <v>8.87</v>
      </c>
      <c r="K980" s="66">
        <f>ROUND(I980*$E980,0)</f>
        <v>0</v>
      </c>
      <c r="M980" s="66">
        <f>ROUND(I980*$G980,0)</f>
        <v>0</v>
      </c>
      <c r="O980" s="69">
        <v>9.88</v>
      </c>
      <c r="Q980" s="66">
        <f>ROUND(O980*$G980,0)</f>
        <v>0</v>
      </c>
      <c r="R980" s="69">
        <f>ROUND($I980*(1+$R$961),2)</f>
        <v>9.88</v>
      </c>
      <c r="S980" s="58"/>
      <c r="T980" s="95">
        <f>S980/AU980-1</f>
        <v>-1</v>
      </c>
      <c r="U980" s="55">
        <f>S980-I980</f>
        <v>-8.87</v>
      </c>
      <c r="W980" s="33"/>
      <c r="Z980" s="55">
        <v>0</v>
      </c>
      <c r="AA980" s="55">
        <v>3</v>
      </c>
      <c r="AC980" s="59">
        <v>96</v>
      </c>
      <c r="AD980" s="58">
        <f>AC980*E980</f>
        <v>0</v>
      </c>
      <c r="AE980" s="60">
        <f>AC980*G980</f>
        <v>0</v>
      </c>
      <c r="AF980" s="60"/>
      <c r="AG980" s="60"/>
      <c r="AH980" s="60"/>
      <c r="AU980" s="69">
        <v>8.33</v>
      </c>
      <c r="AW980" s="66">
        <f>ROUND(AU980*$E980,0)</f>
        <v>0</v>
      </c>
      <c r="AX980" s="66" t="s">
        <v>261</v>
      </c>
      <c r="AY980" s="107" t="s">
        <v>375</v>
      </c>
    </row>
    <row r="981" spans="1:51" ht="15.75">
      <c r="A981" s="57">
        <f t="shared" si="246"/>
        <v>979</v>
      </c>
      <c r="B981" s="64" t="s">
        <v>286</v>
      </c>
      <c r="E981" s="59">
        <f>Z981</f>
        <v>0</v>
      </c>
      <c r="G981" s="59">
        <f>E981*$G$1038/$E$1038</f>
        <v>0</v>
      </c>
      <c r="I981" s="69">
        <v>11.56</v>
      </c>
      <c r="K981" s="66">
        <f>ROUND(I981*$E981,0)</f>
        <v>0</v>
      </c>
      <c r="M981" s="66">
        <f>ROUND(I981*$G981,0)</f>
        <v>0</v>
      </c>
      <c r="O981" s="69">
        <v>12.88</v>
      </c>
      <c r="Q981" s="66">
        <f>ROUND(O981*$G981,0)</f>
        <v>0</v>
      </c>
      <c r="R981" s="69">
        <f>ROUND($I981*(1+$R$961),2)</f>
        <v>12.88</v>
      </c>
      <c r="S981" s="58"/>
      <c r="T981" s="95">
        <f>S981/AU981-1</f>
        <v>-1</v>
      </c>
      <c r="U981" s="55">
        <f>S981-I981</f>
        <v>-11.56</v>
      </c>
      <c r="W981" s="33"/>
      <c r="Z981" s="55">
        <v>0</v>
      </c>
      <c r="AA981" s="55">
        <v>4</v>
      </c>
      <c r="AC981" s="59">
        <v>148</v>
      </c>
      <c r="AD981" s="58">
        <f>AC981*E981</f>
        <v>0</v>
      </c>
      <c r="AE981" s="60">
        <f>AC981*G981</f>
        <v>0</v>
      </c>
      <c r="AF981" s="60"/>
      <c r="AG981" s="60"/>
      <c r="AH981" s="60"/>
      <c r="AU981" s="69">
        <v>10.86</v>
      </c>
      <c r="AW981" s="66">
        <f>ROUND(AU981*$E981,0)</f>
        <v>0</v>
      </c>
      <c r="AX981" s="66" t="s">
        <v>261</v>
      </c>
      <c r="AY981" s="107" t="s">
        <v>375</v>
      </c>
    </row>
    <row r="982" spans="1:51" ht="15.75">
      <c r="A982" s="57">
        <f t="shared" si="246"/>
        <v>980</v>
      </c>
      <c r="B982" s="64" t="s">
        <v>322</v>
      </c>
      <c r="E982" s="59"/>
      <c r="G982" s="59"/>
      <c r="I982" s="76"/>
      <c r="K982" s="66"/>
      <c r="M982" s="66"/>
      <c r="O982" s="76"/>
      <c r="Q982" s="66"/>
      <c r="R982" s="76"/>
      <c r="S982" s="58"/>
      <c r="T982" s="95"/>
      <c r="AC982" s="58"/>
      <c r="AD982" s="58"/>
      <c r="AE982" s="60"/>
      <c r="AF982" s="60"/>
      <c r="AG982" s="60"/>
      <c r="AH982" s="60"/>
      <c r="AU982" s="76"/>
      <c r="AW982" s="66"/>
      <c r="AX982" s="66" t="s">
        <v>261</v>
      </c>
      <c r="AY982" s="107" t="s">
        <v>375</v>
      </c>
    </row>
    <row r="983" spans="1:51" ht="15.75">
      <c r="A983" s="57">
        <f t="shared" si="246"/>
        <v>981</v>
      </c>
      <c r="B983" s="64" t="s">
        <v>381</v>
      </c>
      <c r="E983" s="59">
        <f>Z983</f>
        <v>0</v>
      </c>
      <c r="G983" s="59">
        <f>E983*$G$1038/$E$1038</f>
        <v>0</v>
      </c>
      <c r="I983" s="69">
        <v>6.82</v>
      </c>
      <c r="K983" s="66">
        <f>ROUND(I983*$E983,0)</f>
        <v>0</v>
      </c>
      <c r="M983" s="66">
        <f>ROUND(I983*$G983,0)</f>
        <v>0</v>
      </c>
      <c r="O983" s="69">
        <v>7.6</v>
      </c>
      <c r="Q983" s="66">
        <f>ROUND(O983*$G983,0)</f>
        <v>0</v>
      </c>
      <c r="R983" s="69">
        <f>ROUND($I983*(1+$R$961),2)</f>
        <v>7.6</v>
      </c>
      <c r="S983" s="58"/>
      <c r="T983" s="95">
        <f>S983/AU983-1</f>
        <v>-1</v>
      </c>
      <c r="U983" s="55">
        <f>S983-I983</f>
        <v>-6.82</v>
      </c>
      <c r="W983" s="33"/>
      <c r="Z983" s="55">
        <v>0</v>
      </c>
      <c r="AA983" s="55">
        <v>5</v>
      </c>
      <c r="AC983" s="59">
        <v>39</v>
      </c>
      <c r="AD983" s="58">
        <f>AC983*E983</f>
        <v>0</v>
      </c>
      <c r="AE983" s="60">
        <f>AC983*G983</f>
        <v>0</v>
      </c>
      <c r="AF983" s="60"/>
      <c r="AG983" s="60"/>
      <c r="AH983" s="60"/>
      <c r="AU983" s="69">
        <v>6.41</v>
      </c>
      <c r="AW983" s="66">
        <f>ROUND(AU983*$E983,0)</f>
        <v>0</v>
      </c>
      <c r="AX983" s="66" t="s">
        <v>261</v>
      </c>
      <c r="AY983" s="107" t="s">
        <v>375</v>
      </c>
    </row>
    <row r="984" spans="1:51" ht="15.75">
      <c r="A984" s="57">
        <f t="shared" si="246"/>
        <v>982</v>
      </c>
      <c r="B984" s="64" t="s">
        <v>323</v>
      </c>
      <c r="E984" s="59">
        <f>Z984</f>
        <v>16.4</v>
      </c>
      <c r="G984" s="59">
        <f>E984*$G$1038/$E$1038</f>
        <v>35.456159809374505</v>
      </c>
      <c r="I984" s="69">
        <v>8.24</v>
      </c>
      <c r="K984" s="66">
        <f>ROUND(I984*$E984,0)</f>
        <v>135</v>
      </c>
      <c r="M984" s="66">
        <f>ROUND(I984*$G984,0)</f>
        <v>292</v>
      </c>
      <c r="O984" s="69">
        <v>9.18</v>
      </c>
      <c r="Q984" s="66">
        <f>ROUND(O984*$G984,0)</f>
        <v>325</v>
      </c>
      <c r="R984" s="69">
        <f>ROUND($I984*(1+$R$961),2)</f>
        <v>9.18</v>
      </c>
      <c r="S984" s="58"/>
      <c r="T984" s="95">
        <f>S984/AU984-1</f>
        <v>-1</v>
      </c>
      <c r="U984" s="55">
        <f>S984-I984</f>
        <v>-8.24</v>
      </c>
      <c r="W984" s="33"/>
      <c r="Z984" s="55">
        <v>16.4</v>
      </c>
      <c r="AA984" s="55">
        <v>6</v>
      </c>
      <c r="AC984" s="59">
        <v>69</v>
      </c>
      <c r="AD984" s="58">
        <f>AC984*E984</f>
        <v>1131.6</v>
      </c>
      <c r="AE984" s="60">
        <f>AC984*G984</f>
        <v>2446.475026846841</v>
      </c>
      <c r="AF984" s="60"/>
      <c r="AG984" s="60"/>
      <c r="AH984" s="60"/>
      <c r="AU984" s="69">
        <v>7.74</v>
      </c>
      <c r="AW984" s="66">
        <f>ROUND(AU984*$E984,0)</f>
        <v>127</v>
      </c>
      <c r="AX984" s="66" t="s">
        <v>261</v>
      </c>
      <c r="AY984" s="107" t="s">
        <v>375</v>
      </c>
    </row>
    <row r="985" spans="1:51" ht="15.75">
      <c r="A985" s="57">
        <f t="shared" si="246"/>
        <v>983</v>
      </c>
      <c r="B985" s="64" t="s">
        <v>325</v>
      </c>
      <c r="E985" s="59">
        <f>Z985</f>
        <v>416.2</v>
      </c>
      <c r="G985" s="59">
        <f>E985*$G$1038/$E$1038</f>
        <v>899.8081532110775</v>
      </c>
      <c r="I985" s="69">
        <v>10.5</v>
      </c>
      <c r="K985" s="66">
        <f>ROUND(I985*$E985,0)</f>
        <v>4370</v>
      </c>
      <c r="M985" s="66">
        <f>ROUND(I985*$G985,0)</f>
        <v>9448</v>
      </c>
      <c r="O985" s="69">
        <v>11.7</v>
      </c>
      <c r="Q985" s="66">
        <f>ROUND(O985*$G985,0)</f>
        <v>10528</v>
      </c>
      <c r="R985" s="69">
        <f>ROUND($I985*(1+$R$961),2)</f>
        <v>11.7</v>
      </c>
      <c r="S985" s="58"/>
      <c r="T985" s="95">
        <f>S985/AU985-1</f>
        <v>-1</v>
      </c>
      <c r="U985" s="55">
        <f>S985-I985</f>
        <v>-10.5</v>
      </c>
      <c r="W985" s="33"/>
      <c r="Z985" s="55">
        <v>416.2</v>
      </c>
      <c r="AA985" s="55">
        <v>7</v>
      </c>
      <c r="AC985" s="59">
        <v>93</v>
      </c>
      <c r="AD985" s="58">
        <f>AC985*E985</f>
        <v>38706.6</v>
      </c>
      <c r="AE985" s="60">
        <f>AC985*G985</f>
        <v>83682.1582486302</v>
      </c>
      <c r="AF985" s="60"/>
      <c r="AG985" s="60"/>
      <c r="AH985" s="60"/>
      <c r="AU985" s="69">
        <v>9.86</v>
      </c>
      <c r="AW985" s="66">
        <f>ROUND(AU985*$E985,0)</f>
        <v>4104</v>
      </c>
      <c r="AX985" s="66" t="s">
        <v>261</v>
      </c>
      <c r="AY985" s="107" t="s">
        <v>375</v>
      </c>
    </row>
    <row r="986" spans="1:51" ht="15.75">
      <c r="A986" s="57">
        <f t="shared" si="246"/>
        <v>984</v>
      </c>
      <c r="B986" s="64" t="s">
        <v>326</v>
      </c>
      <c r="E986" s="59">
        <f>Z986</f>
        <v>0</v>
      </c>
      <c r="G986" s="59">
        <f>E986*$G$1038/$E$1038</f>
        <v>0</v>
      </c>
      <c r="I986" s="69">
        <v>11.73</v>
      </c>
      <c r="K986" s="66">
        <f>ROUND(I986*$E986,0)</f>
        <v>0</v>
      </c>
      <c r="M986" s="66">
        <f>ROUND(I986*$G986,0)</f>
        <v>0</v>
      </c>
      <c r="O986" s="69">
        <v>13.07</v>
      </c>
      <c r="Q986" s="66">
        <f>ROUND(O986*$G986,0)</f>
        <v>0</v>
      </c>
      <c r="R986" s="69">
        <f>ROUND($I986*(1+$R$961),2)</f>
        <v>13.07</v>
      </c>
      <c r="S986" s="58"/>
      <c r="T986" s="95">
        <f>S986/AU986-1</f>
        <v>-1</v>
      </c>
      <c r="U986" s="55">
        <f>S986-I986</f>
        <v>-11.73</v>
      </c>
      <c r="W986" s="33"/>
      <c r="Z986" s="55">
        <v>0</v>
      </c>
      <c r="AA986" s="55">
        <v>8</v>
      </c>
      <c r="AC986" s="59">
        <v>145</v>
      </c>
      <c r="AD986" s="58">
        <f>AC986*E986</f>
        <v>0</v>
      </c>
      <c r="AE986" s="60">
        <f>AC986*G986</f>
        <v>0</v>
      </c>
      <c r="AF986" s="60"/>
      <c r="AG986" s="60"/>
      <c r="AH986" s="60"/>
      <c r="AU986" s="69">
        <v>11.02</v>
      </c>
      <c r="AW986" s="66">
        <f>ROUND(AU986*$E986,0)</f>
        <v>0</v>
      </c>
      <c r="AX986" s="66" t="s">
        <v>261</v>
      </c>
      <c r="AY986" s="107" t="s">
        <v>375</v>
      </c>
    </row>
    <row r="987" spans="1:51" ht="15.75">
      <c r="A987" s="57">
        <f t="shared" si="246"/>
        <v>985</v>
      </c>
      <c r="B987" s="64" t="s">
        <v>518</v>
      </c>
      <c r="E987" s="78"/>
      <c r="G987" s="78"/>
      <c r="I987" s="127"/>
      <c r="J987" s="125"/>
      <c r="K987" s="81"/>
      <c r="M987" s="81"/>
      <c r="O987" s="127"/>
      <c r="P987" s="125"/>
      <c r="Q987" s="81"/>
      <c r="R987" s="127"/>
      <c r="S987" s="125"/>
      <c r="T987" s="95"/>
      <c r="W987" s="33"/>
      <c r="AC987" s="58"/>
      <c r="AD987" s="58"/>
      <c r="AE987" s="60"/>
      <c r="AF987" s="60"/>
      <c r="AG987" s="60"/>
      <c r="AH987" s="60"/>
      <c r="AU987" s="127"/>
      <c r="AV987" s="125"/>
      <c r="AW987" s="81"/>
      <c r="AX987" s="66" t="s">
        <v>261</v>
      </c>
      <c r="AY987" s="107" t="s">
        <v>375</v>
      </c>
    </row>
    <row r="988" spans="1:51" ht="15.75">
      <c r="A988" s="57">
        <f t="shared" si="246"/>
        <v>986</v>
      </c>
      <c r="B988" s="64" t="s">
        <v>277</v>
      </c>
      <c r="E988" s="59"/>
      <c r="G988" s="59"/>
      <c r="I988" s="76"/>
      <c r="K988" s="66"/>
      <c r="M988" s="66"/>
      <c r="O988" s="76"/>
      <c r="Q988" s="66"/>
      <c r="R988" s="76"/>
      <c r="S988" s="58"/>
      <c r="T988" s="95"/>
      <c r="AC988" s="58"/>
      <c r="AD988" s="58"/>
      <c r="AE988" s="60"/>
      <c r="AF988" s="60"/>
      <c r="AG988" s="60"/>
      <c r="AH988" s="60"/>
      <c r="AU988" s="76"/>
      <c r="AW988" s="66"/>
      <c r="AX988" s="66" t="s">
        <v>261</v>
      </c>
      <c r="AY988" s="107" t="s">
        <v>375</v>
      </c>
    </row>
    <row r="989" spans="1:51" ht="15.75">
      <c r="A989" s="57">
        <f t="shared" si="246"/>
        <v>987</v>
      </c>
      <c r="B989" s="64" t="s">
        <v>280</v>
      </c>
      <c r="E989" s="59">
        <f>Z989</f>
        <v>282.6</v>
      </c>
      <c r="G989" s="59">
        <f>E989*$G$1038/$E$1038</f>
        <v>610.9701684225146</v>
      </c>
      <c r="I989" s="69">
        <v>34.62</v>
      </c>
      <c r="K989" s="66">
        <f>ROUND(I989*$E989,0)</f>
        <v>9784</v>
      </c>
      <c r="M989" s="66">
        <f>ROUND(I989*$G989,0)</f>
        <v>21152</v>
      </c>
      <c r="O989" s="69">
        <v>38.57</v>
      </c>
      <c r="Q989" s="66">
        <f>ROUND(O989*$G989,0)</f>
        <v>23565</v>
      </c>
      <c r="R989" s="69">
        <f>ROUND($I989*(1+$R$961),2)</f>
        <v>38.57</v>
      </c>
      <c r="S989" s="58"/>
      <c r="T989" s="95">
        <f>S989/AU989-1</f>
        <v>-1</v>
      </c>
      <c r="U989" s="55">
        <f>S989-I989</f>
        <v>-34.62</v>
      </c>
      <c r="W989" s="33"/>
      <c r="Z989" s="55">
        <v>282.6</v>
      </c>
      <c r="AA989" s="55">
        <v>1</v>
      </c>
      <c r="AC989" s="59">
        <v>39</v>
      </c>
      <c r="AD989" s="58">
        <f>AC989*E989</f>
        <v>11021.400000000001</v>
      </c>
      <c r="AE989" s="60">
        <f aca="true" t="shared" si="250" ref="AE989:AE997">AC989*G989</f>
        <v>23827.83656847807</v>
      </c>
      <c r="AF989" s="60"/>
      <c r="AG989" s="60"/>
      <c r="AH989" s="60"/>
      <c r="AU989" s="69">
        <v>32.52</v>
      </c>
      <c r="AW989" s="66">
        <f>ROUND(AU989*$E989,0)</f>
        <v>9190</v>
      </c>
      <c r="AX989" s="66" t="s">
        <v>261</v>
      </c>
      <c r="AY989" s="107" t="s">
        <v>375</v>
      </c>
    </row>
    <row r="990" spans="1:51" ht="15.75">
      <c r="A990" s="57">
        <f t="shared" si="246"/>
        <v>988</v>
      </c>
      <c r="B990" s="64" t="s">
        <v>282</v>
      </c>
      <c r="E990" s="59">
        <f>Z990</f>
        <v>120</v>
      </c>
      <c r="G990" s="59">
        <f>E990*$G$1038/$E$1038</f>
        <v>259.4353156783501</v>
      </c>
      <c r="I990" s="69">
        <v>35.58</v>
      </c>
      <c r="K990" s="66">
        <f>ROUND(I990*$E990,0)</f>
        <v>4270</v>
      </c>
      <c r="M990" s="66">
        <f>ROUND(I990*$G990,0)</f>
        <v>9231</v>
      </c>
      <c r="O990" s="69">
        <v>39.64</v>
      </c>
      <c r="Q990" s="66">
        <f>ROUND(O990*$G990,0)</f>
        <v>10284</v>
      </c>
      <c r="R990" s="69">
        <f>ROUND($I990*(1+$R$961),2)</f>
        <v>39.64</v>
      </c>
      <c r="S990" s="58"/>
      <c r="T990" s="95">
        <f>S990/AU990-1</f>
        <v>-1</v>
      </c>
      <c r="U990" s="55">
        <f>S990-I990</f>
        <v>-35.58</v>
      </c>
      <c r="W990" s="33"/>
      <c r="Z990" s="55">
        <v>120</v>
      </c>
      <c r="AA990" s="55">
        <v>2</v>
      </c>
      <c r="AC990" s="59">
        <v>59</v>
      </c>
      <c r="AD990" s="58">
        <f>AC990*E990</f>
        <v>7080</v>
      </c>
      <c r="AE990" s="60">
        <f t="shared" si="250"/>
        <v>15306.683625022655</v>
      </c>
      <c r="AF990" s="60"/>
      <c r="AG990" s="60"/>
      <c r="AH990" s="60"/>
      <c r="AU990" s="69">
        <v>33.43</v>
      </c>
      <c r="AW990" s="66">
        <f>ROUND(AU990*$E990,0)</f>
        <v>4012</v>
      </c>
      <c r="AX990" s="66" t="s">
        <v>261</v>
      </c>
      <c r="AY990" s="107" t="s">
        <v>375</v>
      </c>
    </row>
    <row r="991" spans="1:51" ht="15.75">
      <c r="A991" s="57">
        <f t="shared" si="246"/>
        <v>989</v>
      </c>
      <c r="B991" s="64" t="s">
        <v>284</v>
      </c>
      <c r="E991" s="59">
        <f>Z991</f>
        <v>60</v>
      </c>
      <c r="G991" s="59">
        <f>E991*$G$1038/$E$1038</f>
        <v>129.71765783917505</v>
      </c>
      <c r="I991" s="69">
        <v>38.3</v>
      </c>
      <c r="K991" s="66">
        <f>ROUND(I991*$E991,0)</f>
        <v>2298</v>
      </c>
      <c r="M991" s="66">
        <f>ROUND(I991*$G991,0)</f>
        <v>4968</v>
      </c>
      <c r="O991" s="69">
        <v>42.67</v>
      </c>
      <c r="Q991" s="66">
        <f>ROUND(O991*$G991,0)</f>
        <v>5535</v>
      </c>
      <c r="R991" s="69">
        <f>ROUND($I991*(1+$R$961),2)</f>
        <v>42.67</v>
      </c>
      <c r="S991" s="58"/>
      <c r="T991" s="95">
        <f>S991/AU991-1</f>
        <v>-1</v>
      </c>
      <c r="U991" s="55">
        <f>S991-I991</f>
        <v>-38.3</v>
      </c>
      <c r="W991" s="33"/>
      <c r="Z991" s="55">
        <v>60</v>
      </c>
      <c r="AA991" s="55">
        <v>3</v>
      </c>
      <c r="AC991" s="59">
        <v>96</v>
      </c>
      <c r="AD991" s="58">
        <f>AC991*E991</f>
        <v>5760</v>
      </c>
      <c r="AE991" s="60">
        <f t="shared" si="250"/>
        <v>12452.895152560804</v>
      </c>
      <c r="AF991" s="60"/>
      <c r="AG991" s="60"/>
      <c r="AH991" s="60"/>
      <c r="AU991" s="69">
        <v>35.98</v>
      </c>
      <c r="AW991" s="66">
        <f>ROUND(AU991*$E991,0)</f>
        <v>2159</v>
      </c>
      <c r="AX991" s="66" t="s">
        <v>261</v>
      </c>
      <c r="AY991" s="107" t="s">
        <v>375</v>
      </c>
    </row>
    <row r="992" spans="1:51" ht="15.75">
      <c r="A992" s="57">
        <f t="shared" si="246"/>
        <v>990</v>
      </c>
      <c r="B992" s="64" t="s">
        <v>286</v>
      </c>
      <c r="E992" s="59">
        <f>Z992</f>
        <v>0</v>
      </c>
      <c r="G992" s="59">
        <f>E992*$G$1038/$E$1038</f>
        <v>0</v>
      </c>
      <c r="I992" s="69">
        <v>40.99</v>
      </c>
      <c r="K992" s="66">
        <f>ROUND(I992*$E992,0)</f>
        <v>0</v>
      </c>
      <c r="M992" s="66">
        <f>ROUND(I992*$G992,0)</f>
        <v>0</v>
      </c>
      <c r="O992" s="69">
        <v>45.67</v>
      </c>
      <c r="Q992" s="66">
        <f>ROUND(O992*$G992,0)</f>
        <v>0</v>
      </c>
      <c r="R992" s="69">
        <f>ROUND($I992*(1+$R$961),2)</f>
        <v>45.67</v>
      </c>
      <c r="S992" s="58"/>
      <c r="T992" s="95">
        <f>S992/AU992-1</f>
        <v>-1</v>
      </c>
      <c r="U992" s="55">
        <f>S992-I992</f>
        <v>-40.99</v>
      </c>
      <c r="W992" s="33"/>
      <c r="Z992" s="55">
        <v>0</v>
      </c>
      <c r="AA992" s="55">
        <v>4</v>
      </c>
      <c r="AC992" s="59">
        <v>148</v>
      </c>
      <c r="AD992" s="58">
        <f>AC992*E992</f>
        <v>0</v>
      </c>
      <c r="AE992" s="60">
        <f t="shared" si="250"/>
        <v>0</v>
      </c>
      <c r="AF992" s="60"/>
      <c r="AG992" s="60"/>
      <c r="AH992" s="60"/>
      <c r="AU992" s="69">
        <v>38.51</v>
      </c>
      <c r="AW992" s="66">
        <f>ROUND(AU992*$E992,0)</f>
        <v>0</v>
      </c>
      <c r="AX992" s="66" t="s">
        <v>261</v>
      </c>
      <c r="AY992" s="107" t="s">
        <v>375</v>
      </c>
    </row>
    <row r="993" spans="1:51" ht="15.75">
      <c r="A993" s="57">
        <f t="shared" si="246"/>
        <v>991</v>
      </c>
      <c r="B993" s="64" t="s">
        <v>322</v>
      </c>
      <c r="E993" s="59"/>
      <c r="G993" s="59"/>
      <c r="I993" s="76"/>
      <c r="K993" s="66"/>
      <c r="M993" s="66"/>
      <c r="O993" s="76"/>
      <c r="Q993" s="66"/>
      <c r="R993" s="76"/>
      <c r="S993" s="58"/>
      <c r="T993" s="95"/>
      <c r="AC993" s="58"/>
      <c r="AD993" s="58"/>
      <c r="AE993" s="60">
        <f t="shared" si="250"/>
        <v>0</v>
      </c>
      <c r="AF993" s="60"/>
      <c r="AG993" s="60"/>
      <c r="AH993" s="60"/>
      <c r="AU993" s="76"/>
      <c r="AW993" s="66"/>
      <c r="AX993" s="66" t="s">
        <v>261</v>
      </c>
      <c r="AY993" s="107" t="s">
        <v>375</v>
      </c>
    </row>
    <row r="994" spans="1:51" ht="15.75">
      <c r="A994" s="57">
        <f t="shared" si="246"/>
        <v>992</v>
      </c>
      <c r="B994" s="64" t="s">
        <v>381</v>
      </c>
      <c r="E994" s="59">
        <f>Z994</f>
        <v>0</v>
      </c>
      <c r="G994" s="59">
        <f>E994*$G$1038/$E$1038</f>
        <v>0</v>
      </c>
      <c r="I994" s="69">
        <v>36.26</v>
      </c>
      <c r="K994" s="66">
        <f>ROUND(I994*$E994,0)</f>
        <v>0</v>
      </c>
      <c r="M994" s="66">
        <f>ROUND(I994*$G994,0)</f>
        <v>0</v>
      </c>
      <c r="O994" s="69">
        <v>40.4</v>
      </c>
      <c r="Q994" s="66">
        <f>ROUND(O994*$G994,0)</f>
        <v>0</v>
      </c>
      <c r="R994" s="69">
        <f>ROUND($I994*(1+$R$961),2)</f>
        <v>40.4</v>
      </c>
      <c r="S994" s="58"/>
      <c r="T994" s="95">
        <f>S994/AU994-1</f>
        <v>-1</v>
      </c>
      <c r="U994" s="55">
        <f>S994-I994</f>
        <v>-36.26</v>
      </c>
      <c r="W994" s="33"/>
      <c r="Z994" s="55">
        <v>0</v>
      </c>
      <c r="AA994" s="55">
        <v>5</v>
      </c>
      <c r="AC994" s="59">
        <v>39</v>
      </c>
      <c r="AD994" s="58">
        <f>AC994*E994</f>
        <v>0</v>
      </c>
      <c r="AE994" s="60">
        <f t="shared" si="250"/>
        <v>0</v>
      </c>
      <c r="AF994" s="60"/>
      <c r="AG994" s="60"/>
      <c r="AH994" s="60"/>
      <c r="AU994" s="69">
        <v>34.06</v>
      </c>
      <c r="AW994" s="66">
        <f>ROUND(AU994*$E994,0)</f>
        <v>0</v>
      </c>
      <c r="AX994" s="66" t="s">
        <v>261</v>
      </c>
      <c r="AY994" s="107" t="s">
        <v>375</v>
      </c>
    </row>
    <row r="995" spans="1:51" ht="15.75">
      <c r="A995" s="57">
        <f t="shared" si="246"/>
        <v>993</v>
      </c>
      <c r="B995" s="64" t="s">
        <v>323</v>
      </c>
      <c r="E995" s="59">
        <f>Z995</f>
        <v>0</v>
      </c>
      <c r="G995" s="59">
        <f>E995*$G$1038/$E$1038</f>
        <v>0</v>
      </c>
      <c r="I995" s="69">
        <v>37.67</v>
      </c>
      <c r="K995" s="66">
        <f>ROUND(I995*$E995,0)</f>
        <v>0</v>
      </c>
      <c r="M995" s="66">
        <f>ROUND(I995*$G995,0)</f>
        <v>0</v>
      </c>
      <c r="O995" s="69">
        <v>41.97</v>
      </c>
      <c r="Q995" s="66">
        <f>ROUND(O995*$G995,0)</f>
        <v>0</v>
      </c>
      <c r="R995" s="69">
        <f>ROUND($I995*(1+$R$961),2)</f>
        <v>41.97</v>
      </c>
      <c r="S995" s="58"/>
      <c r="T995" s="95">
        <f>S995/AU995-1</f>
        <v>-1</v>
      </c>
      <c r="U995" s="55">
        <f>S995-I995</f>
        <v>-37.67</v>
      </c>
      <c r="W995" s="33"/>
      <c r="Z995" s="55">
        <v>0</v>
      </c>
      <c r="AA995" s="55">
        <v>6</v>
      </c>
      <c r="AC995" s="59">
        <v>69</v>
      </c>
      <c r="AD995" s="58">
        <f>AC995*E995</f>
        <v>0</v>
      </c>
      <c r="AE995" s="60">
        <f t="shared" si="250"/>
        <v>0</v>
      </c>
      <c r="AF995" s="60"/>
      <c r="AG995" s="60"/>
      <c r="AH995" s="60"/>
      <c r="AU995" s="69">
        <v>35.39</v>
      </c>
      <c r="AW995" s="66">
        <f>ROUND(AU995*$E995,0)</f>
        <v>0</v>
      </c>
      <c r="AX995" s="66" t="s">
        <v>261</v>
      </c>
      <c r="AY995" s="107" t="s">
        <v>375</v>
      </c>
    </row>
    <row r="996" spans="1:51" ht="15.75">
      <c r="A996" s="57">
        <f t="shared" si="246"/>
        <v>994</v>
      </c>
      <c r="B996" s="64" t="s">
        <v>325</v>
      </c>
      <c r="E996" s="59">
        <f>Z996</f>
        <v>0</v>
      </c>
      <c r="G996" s="59">
        <f>E996*$G$1038/$E$1038</f>
        <v>0</v>
      </c>
      <c r="I996" s="69">
        <v>39.93</v>
      </c>
      <c r="K996" s="66">
        <f>ROUND(I996*$E996,0)</f>
        <v>0</v>
      </c>
      <c r="M996" s="66">
        <f>ROUND(I996*$G996,0)</f>
        <v>0</v>
      </c>
      <c r="O996" s="69">
        <v>44.49</v>
      </c>
      <c r="Q996" s="66">
        <f>ROUND(O996*$G996,0)</f>
        <v>0</v>
      </c>
      <c r="R996" s="69">
        <f>ROUND($I996*(1+$R$961),2)</f>
        <v>44.49</v>
      </c>
      <c r="S996" s="58"/>
      <c r="T996" s="95">
        <f>S996/AU996-1</f>
        <v>-1</v>
      </c>
      <c r="U996" s="55">
        <f>S996-I996</f>
        <v>-39.93</v>
      </c>
      <c r="W996" s="33"/>
      <c r="Z996" s="55">
        <v>0</v>
      </c>
      <c r="AA996" s="55">
        <v>7</v>
      </c>
      <c r="AC996" s="59">
        <v>93</v>
      </c>
      <c r="AD996" s="58">
        <f>AC996*E996</f>
        <v>0</v>
      </c>
      <c r="AE996" s="60">
        <f t="shared" si="250"/>
        <v>0</v>
      </c>
      <c r="AF996" s="60"/>
      <c r="AG996" s="60"/>
      <c r="AH996" s="60"/>
      <c r="AU996" s="69">
        <v>37.51</v>
      </c>
      <c r="AW996" s="66">
        <f>ROUND(AU996*$E996,0)</f>
        <v>0</v>
      </c>
      <c r="AX996" s="66" t="s">
        <v>261</v>
      </c>
      <c r="AY996" s="107" t="s">
        <v>375</v>
      </c>
    </row>
    <row r="997" spans="1:51" ht="15.75">
      <c r="A997" s="57">
        <f t="shared" si="246"/>
        <v>995</v>
      </c>
      <c r="B997" s="64" t="s">
        <v>326</v>
      </c>
      <c r="E997" s="59">
        <f>Z997</f>
        <v>0</v>
      </c>
      <c r="G997" s="59">
        <f>E997*$G$1038/$E$1038</f>
        <v>0</v>
      </c>
      <c r="I997" s="69">
        <v>41.16</v>
      </c>
      <c r="K997" s="66">
        <f>ROUND(I997*$E997,0)</f>
        <v>0</v>
      </c>
      <c r="M997" s="66">
        <f>ROUND(I997*$G997,0)</f>
        <v>0</v>
      </c>
      <c r="O997" s="69">
        <v>45.86</v>
      </c>
      <c r="Q997" s="66">
        <f>ROUND(O997*$G997,0)</f>
        <v>0</v>
      </c>
      <c r="R997" s="69">
        <f>ROUND($I997*(1+$R$961),2)</f>
        <v>45.86</v>
      </c>
      <c r="S997" s="58"/>
      <c r="T997" s="95">
        <f>S997/AU997-1</f>
        <v>-1</v>
      </c>
      <c r="U997" s="55">
        <f>S997-I997</f>
        <v>-41.16</v>
      </c>
      <c r="W997" s="33"/>
      <c r="Z997" s="55">
        <v>0</v>
      </c>
      <c r="AA997" s="55">
        <v>8</v>
      </c>
      <c r="AC997" s="59">
        <v>145</v>
      </c>
      <c r="AD997" s="58">
        <f>AC997*E997</f>
        <v>0</v>
      </c>
      <c r="AE997" s="60">
        <f t="shared" si="250"/>
        <v>0</v>
      </c>
      <c r="AF997" s="60"/>
      <c r="AG997" s="60"/>
      <c r="AH997" s="60"/>
      <c r="AU997" s="69">
        <v>38.67</v>
      </c>
      <c r="AW997" s="66">
        <f>ROUND(AU997*$E997,0)</f>
        <v>0</v>
      </c>
      <c r="AX997" s="66" t="s">
        <v>261</v>
      </c>
      <c r="AY997" s="107" t="s">
        <v>375</v>
      </c>
    </row>
    <row r="998" spans="1:51" ht="15.75">
      <c r="A998" s="57">
        <f t="shared" si="246"/>
        <v>996</v>
      </c>
      <c r="B998" s="64" t="s">
        <v>374</v>
      </c>
      <c r="E998" s="59"/>
      <c r="G998" s="59"/>
      <c r="S998" s="58"/>
      <c r="T998" s="95"/>
      <c r="AE998" s="60"/>
      <c r="AF998" s="60"/>
      <c r="AG998" s="60"/>
      <c r="AH998" s="60"/>
      <c r="AX998" s="66" t="s">
        <v>261</v>
      </c>
      <c r="AY998" s="107" t="s">
        <v>382</v>
      </c>
    </row>
    <row r="999" spans="1:51" ht="15.75">
      <c r="A999" s="57">
        <f t="shared" si="246"/>
        <v>997</v>
      </c>
      <c r="B999" s="64" t="s">
        <v>383</v>
      </c>
      <c r="E999" s="59"/>
      <c r="G999" s="59"/>
      <c r="I999" s="76"/>
      <c r="K999" s="66"/>
      <c r="M999" s="66"/>
      <c r="O999" s="76"/>
      <c r="Q999" s="66"/>
      <c r="R999" s="76"/>
      <c r="S999" s="58"/>
      <c r="T999" s="95"/>
      <c r="AC999" s="58"/>
      <c r="AD999" s="58"/>
      <c r="AE999" s="60"/>
      <c r="AF999" s="60"/>
      <c r="AG999" s="60"/>
      <c r="AH999" s="60"/>
      <c r="AU999" s="76"/>
      <c r="AW999" s="66"/>
      <c r="AX999" s="66" t="s">
        <v>261</v>
      </c>
      <c r="AY999" s="107" t="s">
        <v>382</v>
      </c>
    </row>
    <row r="1000" spans="1:51" ht="15.75">
      <c r="A1000" s="57">
        <f t="shared" si="246"/>
        <v>998</v>
      </c>
      <c r="B1000" s="64" t="s">
        <v>519</v>
      </c>
      <c r="E1000" s="59"/>
      <c r="G1000" s="59"/>
      <c r="I1000" s="76"/>
      <c r="K1000" s="66"/>
      <c r="M1000" s="66"/>
      <c r="O1000" s="76"/>
      <c r="Q1000" s="66"/>
      <c r="R1000" s="76"/>
      <c r="S1000" s="58"/>
      <c r="T1000" s="95"/>
      <c r="AC1000" s="58"/>
      <c r="AD1000" s="58"/>
      <c r="AE1000" s="60"/>
      <c r="AF1000" s="60"/>
      <c r="AG1000" s="60"/>
      <c r="AH1000" s="60"/>
      <c r="AU1000" s="76"/>
      <c r="AW1000" s="66"/>
      <c r="AX1000" s="66" t="s">
        <v>261</v>
      </c>
      <c r="AY1000" s="107" t="s">
        <v>382</v>
      </c>
    </row>
    <row r="1001" spans="1:51" ht="15.75">
      <c r="A1001" s="57">
        <f t="shared" si="246"/>
        <v>999</v>
      </c>
      <c r="B1001" s="64" t="s">
        <v>277</v>
      </c>
      <c r="E1001" s="59"/>
      <c r="G1001" s="59"/>
      <c r="I1001" s="76"/>
      <c r="K1001" s="66"/>
      <c r="M1001" s="66"/>
      <c r="O1001" s="76"/>
      <c r="Q1001" s="66"/>
      <c r="R1001" s="76"/>
      <c r="S1001" s="58"/>
      <c r="T1001" s="95"/>
      <c r="AC1001" s="58"/>
      <c r="AD1001" s="58"/>
      <c r="AE1001" s="60"/>
      <c r="AF1001" s="60"/>
      <c r="AG1001" s="60"/>
      <c r="AH1001" s="60"/>
      <c r="AU1001" s="76"/>
      <c r="AW1001" s="66"/>
      <c r="AX1001" s="66" t="s">
        <v>261</v>
      </c>
      <c r="AY1001" s="107" t="s">
        <v>382</v>
      </c>
    </row>
    <row r="1002" spans="1:51" ht="15.75">
      <c r="A1002" s="57">
        <f t="shared" si="246"/>
        <v>1000</v>
      </c>
      <c r="B1002" s="64" t="s">
        <v>280</v>
      </c>
      <c r="E1002" s="59">
        <f>Z1002</f>
        <v>11035.13</v>
      </c>
      <c r="G1002" s="59">
        <f>E1002*$G$1038/$E$1038</f>
        <v>23857.520292513593</v>
      </c>
      <c r="I1002" s="69">
        <v>1.86</v>
      </c>
      <c r="K1002" s="66">
        <f>ROUND(I1002*$E1002,0)</f>
        <v>20525</v>
      </c>
      <c r="M1002" s="66">
        <f>ROUND(I1002*$G1002,0)</f>
        <v>44375</v>
      </c>
      <c r="O1002" s="69">
        <v>2.07</v>
      </c>
      <c r="Q1002" s="66">
        <f>ROUND(O1002*$G1002,0)</f>
        <v>49385</v>
      </c>
      <c r="R1002" s="69">
        <f>ROUND($I1002*(1+$R$961),2)</f>
        <v>2.07</v>
      </c>
      <c r="S1002" s="58"/>
      <c r="T1002" s="95">
        <f>S1002/AU1002-1</f>
        <v>-1</v>
      </c>
      <c r="U1002" s="55">
        <f>S1002-I1002</f>
        <v>-1.86</v>
      </c>
      <c r="W1002" s="33"/>
      <c r="Z1002" s="55">
        <v>11035.13</v>
      </c>
      <c r="AA1002" s="55">
        <v>1</v>
      </c>
      <c r="AC1002" s="59">
        <v>39</v>
      </c>
      <c r="AD1002" s="58">
        <f>AC1002*E1002</f>
        <v>430370.06999999995</v>
      </c>
      <c r="AE1002" s="60">
        <f aca="true" t="shared" si="251" ref="AE1002:AE1010">AC1002*G1002</f>
        <v>930443.2914080301</v>
      </c>
      <c r="AF1002" s="60"/>
      <c r="AG1002" s="60"/>
      <c r="AH1002" s="60"/>
      <c r="AU1002" s="69">
        <v>1.75</v>
      </c>
      <c r="AW1002" s="66">
        <f>ROUND(AU1002*$E1002,0)</f>
        <v>19311</v>
      </c>
      <c r="AX1002" s="66" t="s">
        <v>261</v>
      </c>
      <c r="AY1002" s="107" t="s">
        <v>382</v>
      </c>
    </row>
    <row r="1003" spans="1:51" ht="15.75">
      <c r="A1003" s="57">
        <f t="shared" si="246"/>
        <v>1001</v>
      </c>
      <c r="B1003" s="64" t="s">
        <v>282</v>
      </c>
      <c r="E1003" s="59">
        <f>Z1003</f>
        <v>57488.04</v>
      </c>
      <c r="G1003" s="59">
        <f>E1003*$G$1038/$E$1038</f>
        <v>124286.89837608013</v>
      </c>
      <c r="I1003" s="69">
        <v>2.72</v>
      </c>
      <c r="K1003" s="66">
        <f>ROUND(I1003*$E1003,0)</f>
        <v>156367</v>
      </c>
      <c r="M1003" s="66">
        <f>ROUND(I1003*$G1003,0)</f>
        <v>338060</v>
      </c>
      <c r="O1003" s="69">
        <v>3.03</v>
      </c>
      <c r="Q1003" s="66">
        <f>ROUND(O1003*$G1003,0)</f>
        <v>376589</v>
      </c>
      <c r="R1003" s="69">
        <f>ROUND($I1003*(1+$R$961),2)</f>
        <v>3.03</v>
      </c>
      <c r="S1003" s="58"/>
      <c r="T1003" s="95">
        <f>S1003/AU1003-1</f>
        <v>-1</v>
      </c>
      <c r="U1003" s="55">
        <f>S1003-I1003</f>
        <v>-2.72</v>
      </c>
      <c r="W1003" s="33"/>
      <c r="Z1003" s="55">
        <v>57488.04</v>
      </c>
      <c r="AA1003" s="55">
        <v>2</v>
      </c>
      <c r="AC1003" s="59">
        <v>59</v>
      </c>
      <c r="AD1003" s="58">
        <f>AC1003*E1003</f>
        <v>3391794.36</v>
      </c>
      <c r="AE1003" s="60">
        <f t="shared" si="251"/>
        <v>7332927.004188728</v>
      </c>
      <c r="AF1003" s="60"/>
      <c r="AG1003" s="60"/>
      <c r="AH1003" s="60"/>
      <c r="AU1003" s="69">
        <v>2.56</v>
      </c>
      <c r="AW1003" s="66">
        <f>ROUND(AU1003*$E1003,0)</f>
        <v>147169</v>
      </c>
      <c r="AX1003" s="66" t="s">
        <v>261</v>
      </c>
      <c r="AY1003" s="107" t="s">
        <v>382</v>
      </c>
    </row>
    <row r="1004" spans="1:51" ht="15.75">
      <c r="A1004" s="57">
        <f aca="true" t="shared" si="252" ref="A1004:A1067">A1003+1</f>
        <v>1002</v>
      </c>
      <c r="B1004" s="64" t="s">
        <v>284</v>
      </c>
      <c r="E1004" s="59">
        <f>Z1004</f>
        <v>1370.54</v>
      </c>
      <c r="G1004" s="59">
        <f>E1004*$G$1038/$E$1038</f>
        <v>2963.0539795817162</v>
      </c>
      <c r="I1004" s="69">
        <v>4.85</v>
      </c>
      <c r="K1004" s="66">
        <f>ROUND(I1004*$E1004,0)</f>
        <v>6647</v>
      </c>
      <c r="M1004" s="66">
        <f>ROUND(I1004*$G1004,0)</f>
        <v>14371</v>
      </c>
      <c r="O1004" s="69">
        <v>5.4</v>
      </c>
      <c r="Q1004" s="66">
        <f>ROUND(O1004*$G1004,0)</f>
        <v>16000</v>
      </c>
      <c r="R1004" s="69">
        <f>ROUND($I1004*(1+$R$961),2)</f>
        <v>5.4</v>
      </c>
      <c r="S1004" s="58"/>
      <c r="T1004" s="95">
        <f>S1004/AU1004-1</f>
        <v>-1</v>
      </c>
      <c r="U1004" s="55">
        <f>S1004-I1004</f>
        <v>-4.85</v>
      </c>
      <c r="W1004" s="33"/>
      <c r="Z1004" s="55">
        <v>1370.54</v>
      </c>
      <c r="AA1004" s="55">
        <v>3</v>
      </c>
      <c r="AC1004" s="59">
        <v>96</v>
      </c>
      <c r="AD1004" s="58">
        <f>AC1004*E1004</f>
        <v>131571.84</v>
      </c>
      <c r="AE1004" s="60">
        <f t="shared" si="251"/>
        <v>284453.18203984475</v>
      </c>
      <c r="AF1004" s="60"/>
      <c r="AG1004" s="60"/>
      <c r="AH1004" s="60"/>
      <c r="AU1004" s="69">
        <v>4.56</v>
      </c>
      <c r="AW1004" s="66">
        <f>ROUND(AU1004*$E1004,0)</f>
        <v>6250</v>
      </c>
      <c r="AX1004" s="66" t="s">
        <v>261</v>
      </c>
      <c r="AY1004" s="107" t="s">
        <v>382</v>
      </c>
    </row>
    <row r="1005" spans="1:51" ht="15.75">
      <c r="A1005" s="57">
        <f t="shared" si="252"/>
        <v>1003</v>
      </c>
      <c r="B1005" s="64" t="s">
        <v>286</v>
      </c>
      <c r="E1005" s="59">
        <f>Z1005</f>
        <v>0</v>
      </c>
      <c r="G1005" s="59">
        <f>E1005*$G$1038/$E$1038</f>
        <v>0</v>
      </c>
      <c r="I1005" s="69">
        <v>7.45</v>
      </c>
      <c r="K1005" s="66">
        <f>ROUND(I1005*$E1005,0)</f>
        <v>0</v>
      </c>
      <c r="M1005" s="66">
        <f>ROUND(I1005*$G1005,0)</f>
        <v>0</v>
      </c>
      <c r="O1005" s="69">
        <v>8.3</v>
      </c>
      <c r="Q1005" s="66">
        <f>ROUND(O1005*$G1005,0)</f>
        <v>0</v>
      </c>
      <c r="R1005" s="69">
        <f>ROUND($I1005*(1+$R$961),2)</f>
        <v>8.3</v>
      </c>
      <c r="S1005" s="58"/>
      <c r="T1005" s="95">
        <f>S1005/AU1005-1</f>
        <v>-1</v>
      </c>
      <c r="U1005" s="55">
        <f>S1005-I1005</f>
        <v>-7.45</v>
      </c>
      <c r="W1005" s="33"/>
      <c r="Z1005" s="55">
        <v>0</v>
      </c>
      <c r="AA1005" s="55">
        <v>4</v>
      </c>
      <c r="AC1005" s="59">
        <v>148</v>
      </c>
      <c r="AD1005" s="58">
        <f>AC1005*E1005</f>
        <v>0</v>
      </c>
      <c r="AE1005" s="60">
        <f t="shared" si="251"/>
        <v>0</v>
      </c>
      <c r="AF1005" s="60"/>
      <c r="AG1005" s="60"/>
      <c r="AH1005" s="60"/>
      <c r="AU1005" s="69">
        <v>7</v>
      </c>
      <c r="AW1005" s="66">
        <f>ROUND(AU1005*$E1005,0)</f>
        <v>0</v>
      </c>
      <c r="AX1005" s="66" t="s">
        <v>261</v>
      </c>
      <c r="AY1005" s="107" t="s">
        <v>382</v>
      </c>
    </row>
    <row r="1006" spans="1:51" ht="15.75">
      <c r="A1006" s="57">
        <f t="shared" si="252"/>
        <v>1004</v>
      </c>
      <c r="B1006" s="64" t="s">
        <v>322</v>
      </c>
      <c r="E1006" s="59"/>
      <c r="G1006" s="59"/>
      <c r="I1006" s="76"/>
      <c r="K1006" s="66"/>
      <c r="M1006" s="66"/>
      <c r="O1006" s="76"/>
      <c r="Q1006" s="66"/>
      <c r="R1006" s="76"/>
      <c r="S1006" s="58"/>
      <c r="T1006" s="95"/>
      <c r="AC1006" s="58"/>
      <c r="AD1006" s="58"/>
      <c r="AE1006" s="60">
        <f t="shared" si="251"/>
        <v>0</v>
      </c>
      <c r="AF1006" s="60"/>
      <c r="AG1006" s="60"/>
      <c r="AH1006" s="60"/>
      <c r="AU1006" s="76"/>
      <c r="AW1006" s="66"/>
      <c r="AX1006" s="66" t="s">
        <v>261</v>
      </c>
      <c r="AY1006" s="107" t="s">
        <v>382</v>
      </c>
    </row>
    <row r="1007" spans="1:51" ht="15.75">
      <c r="A1007" s="57">
        <f t="shared" si="252"/>
        <v>1005</v>
      </c>
      <c r="B1007" s="64" t="s">
        <v>381</v>
      </c>
      <c r="E1007" s="59">
        <f>Z1007</f>
        <v>0</v>
      </c>
      <c r="G1007" s="59">
        <f>E1007*$G$1038/$E$1038</f>
        <v>0</v>
      </c>
      <c r="I1007" s="69">
        <v>1.89</v>
      </c>
      <c r="K1007" s="66">
        <f>ROUND(I1007*$E1007,0)</f>
        <v>0</v>
      </c>
      <c r="M1007" s="66">
        <f>ROUND(I1007*$G1007,0)</f>
        <v>0</v>
      </c>
      <c r="O1007" s="69">
        <v>2.11</v>
      </c>
      <c r="Q1007" s="66">
        <f>ROUND(O1007*$G1007,0)</f>
        <v>0</v>
      </c>
      <c r="R1007" s="69">
        <f>ROUND($I1007*(1+$R$961),2)</f>
        <v>2.11</v>
      </c>
      <c r="S1007" s="58"/>
      <c r="T1007" s="95">
        <f>S1007/AU1007-1</f>
        <v>-1</v>
      </c>
      <c r="U1007" s="55">
        <f>S1007-I1007</f>
        <v>-1.89</v>
      </c>
      <c r="W1007" s="33"/>
      <c r="Z1007" s="55">
        <v>0</v>
      </c>
      <c r="AA1007" s="55">
        <v>5</v>
      </c>
      <c r="AC1007" s="59">
        <v>39</v>
      </c>
      <c r="AD1007" s="58">
        <f>AC1007*E1007</f>
        <v>0</v>
      </c>
      <c r="AE1007" s="60">
        <f t="shared" si="251"/>
        <v>0</v>
      </c>
      <c r="AF1007" s="60"/>
      <c r="AG1007" s="60"/>
      <c r="AH1007" s="60"/>
      <c r="AU1007" s="69">
        <v>1.78</v>
      </c>
      <c r="AW1007" s="66">
        <f>ROUND(AU1007*$E1007,0)</f>
        <v>0</v>
      </c>
      <c r="AX1007" s="66" t="s">
        <v>261</v>
      </c>
      <c r="AY1007" s="107" t="s">
        <v>382</v>
      </c>
    </row>
    <row r="1008" spans="1:51" ht="15.75">
      <c r="A1008" s="57">
        <f t="shared" si="252"/>
        <v>1006</v>
      </c>
      <c r="B1008" s="64" t="s">
        <v>323</v>
      </c>
      <c r="E1008" s="59">
        <f>Z1008</f>
        <v>335.2</v>
      </c>
      <c r="G1008" s="59">
        <f>E1008*$G$1038/$E$1038</f>
        <v>724.6893151281913</v>
      </c>
      <c r="I1008" s="69">
        <v>3.31</v>
      </c>
      <c r="K1008" s="66">
        <f>ROUND(I1008*$E1008,0)</f>
        <v>1110</v>
      </c>
      <c r="M1008" s="66">
        <f>ROUND(I1008*$G1008,0)</f>
        <v>2399</v>
      </c>
      <c r="O1008" s="69">
        <v>3.69</v>
      </c>
      <c r="Q1008" s="66">
        <f>ROUND(O1008*$G1008,0)</f>
        <v>2674</v>
      </c>
      <c r="R1008" s="69">
        <f>ROUND($I1008*(1+$R$961),2)</f>
        <v>3.69</v>
      </c>
      <c r="S1008" s="58"/>
      <c r="T1008" s="95">
        <f>S1008/AU1008-1</f>
        <v>-1</v>
      </c>
      <c r="U1008" s="55">
        <f>S1008-I1008</f>
        <v>-3.31</v>
      </c>
      <c r="W1008" s="33"/>
      <c r="Z1008" s="55">
        <v>335.2</v>
      </c>
      <c r="AA1008" s="55">
        <v>6</v>
      </c>
      <c r="AC1008" s="59">
        <v>69</v>
      </c>
      <c r="AD1008" s="58">
        <f>AC1008*E1008</f>
        <v>23128.8</v>
      </c>
      <c r="AE1008" s="60">
        <f t="shared" si="251"/>
        <v>50003.5627438452</v>
      </c>
      <c r="AF1008" s="60"/>
      <c r="AG1008" s="60"/>
      <c r="AH1008" s="60"/>
      <c r="AU1008" s="69">
        <v>3.11</v>
      </c>
      <c r="AW1008" s="66">
        <f>ROUND(AU1008*$E1008,0)</f>
        <v>1042</v>
      </c>
      <c r="AX1008" s="66" t="s">
        <v>261</v>
      </c>
      <c r="AY1008" s="107" t="s">
        <v>382</v>
      </c>
    </row>
    <row r="1009" spans="1:51" ht="15.75">
      <c r="A1009" s="57">
        <f t="shared" si="252"/>
        <v>1007</v>
      </c>
      <c r="B1009" s="64" t="s">
        <v>325</v>
      </c>
      <c r="E1009" s="59">
        <f>Z1009</f>
        <v>1008</v>
      </c>
      <c r="G1009" s="59">
        <f>E1009*$G$1038/$E$1038</f>
        <v>2179.2566516981406</v>
      </c>
      <c r="I1009" s="69">
        <v>4.59</v>
      </c>
      <c r="K1009" s="66">
        <f>ROUND(I1009*$E1009,0)</f>
        <v>4627</v>
      </c>
      <c r="M1009" s="66">
        <f>ROUND(I1009*$G1009,0)</f>
        <v>10003</v>
      </c>
      <c r="O1009" s="69">
        <v>5.11</v>
      </c>
      <c r="Q1009" s="66">
        <f>ROUND(O1009*$G1009,0)</f>
        <v>11136</v>
      </c>
      <c r="R1009" s="69">
        <f>ROUND($I1009*(1+$R$961),2)</f>
        <v>5.11</v>
      </c>
      <c r="S1009" s="58"/>
      <c r="T1009" s="95">
        <f>S1009/AU1009-1</f>
        <v>-1</v>
      </c>
      <c r="U1009" s="55">
        <f>S1009-I1009</f>
        <v>-4.59</v>
      </c>
      <c r="W1009" s="33"/>
      <c r="Z1009" s="55">
        <v>1008</v>
      </c>
      <c r="AA1009" s="55">
        <v>7</v>
      </c>
      <c r="AC1009" s="59">
        <v>93</v>
      </c>
      <c r="AD1009" s="58">
        <f>AC1009*E1009</f>
        <v>93744</v>
      </c>
      <c r="AE1009" s="60">
        <f t="shared" si="251"/>
        <v>202670.86860792708</v>
      </c>
      <c r="AF1009" s="60"/>
      <c r="AG1009" s="60"/>
      <c r="AH1009" s="60"/>
      <c r="AU1009" s="69">
        <v>4.31</v>
      </c>
      <c r="AW1009" s="66">
        <f>ROUND(AU1009*$E1009,0)</f>
        <v>4344</v>
      </c>
      <c r="AX1009" s="66" t="s">
        <v>261</v>
      </c>
      <c r="AY1009" s="107" t="s">
        <v>382</v>
      </c>
    </row>
    <row r="1010" spans="1:51" ht="15.75">
      <c r="A1010" s="57">
        <f t="shared" si="252"/>
        <v>1008</v>
      </c>
      <c r="B1010" s="64" t="s">
        <v>326</v>
      </c>
      <c r="E1010" s="59">
        <f>Z1010</f>
        <v>595.8</v>
      </c>
      <c r="G1010" s="59">
        <f>E1010*$G$1038/$E$1038</f>
        <v>1288.096342343008</v>
      </c>
      <c r="I1010" s="69">
        <v>7.26</v>
      </c>
      <c r="K1010" s="66">
        <f>ROUND(I1010*$E1010,0)</f>
        <v>4326</v>
      </c>
      <c r="M1010" s="66">
        <f>ROUND(I1010*$G1010,0)</f>
        <v>9352</v>
      </c>
      <c r="O1010" s="69">
        <v>8.09</v>
      </c>
      <c r="Q1010" s="66">
        <f>ROUND(O1010*$G1010,0)</f>
        <v>10421</v>
      </c>
      <c r="R1010" s="69">
        <f>ROUND($I1010*(1+$R$961),2)</f>
        <v>8.09</v>
      </c>
      <c r="S1010" s="58"/>
      <c r="T1010" s="95">
        <f>S1010/AU1010-1</f>
        <v>-1</v>
      </c>
      <c r="U1010" s="55">
        <f>S1010-I1010</f>
        <v>-7.26</v>
      </c>
      <c r="W1010" s="33"/>
      <c r="Z1010" s="55">
        <v>595.8</v>
      </c>
      <c r="AA1010" s="55">
        <v>8</v>
      </c>
      <c r="AC1010" s="59">
        <v>145</v>
      </c>
      <c r="AD1010" s="58">
        <f>AC1010*E1010</f>
        <v>86391</v>
      </c>
      <c r="AE1010" s="60">
        <f t="shared" si="251"/>
        <v>186773.96963973617</v>
      </c>
      <c r="AF1010" s="60"/>
      <c r="AG1010" s="60"/>
      <c r="AH1010" s="60"/>
      <c r="AU1010" s="69">
        <v>6.82</v>
      </c>
      <c r="AW1010" s="66">
        <f>ROUND(AU1010*$E1010,0)</f>
        <v>4063</v>
      </c>
      <c r="AX1010" s="66" t="s">
        <v>261</v>
      </c>
      <c r="AY1010" s="107" t="s">
        <v>382</v>
      </c>
    </row>
    <row r="1011" spans="1:51" ht="15.75">
      <c r="A1011" s="57">
        <f t="shared" si="252"/>
        <v>1009</v>
      </c>
      <c r="B1011" s="64" t="s">
        <v>520</v>
      </c>
      <c r="E1011" s="78"/>
      <c r="G1011" s="78"/>
      <c r="I1011" s="127"/>
      <c r="J1011" s="125"/>
      <c r="K1011" s="81"/>
      <c r="M1011" s="81"/>
      <c r="O1011" s="127"/>
      <c r="P1011" s="125"/>
      <c r="Q1011" s="81"/>
      <c r="R1011" s="127"/>
      <c r="S1011" s="125"/>
      <c r="T1011" s="95"/>
      <c r="W1011" s="33"/>
      <c r="AC1011" s="58"/>
      <c r="AD1011" s="58"/>
      <c r="AE1011" s="60"/>
      <c r="AF1011" s="60"/>
      <c r="AG1011" s="60"/>
      <c r="AH1011" s="60"/>
      <c r="AU1011" s="127"/>
      <c r="AV1011" s="125"/>
      <c r="AW1011" s="81"/>
      <c r="AX1011" s="66" t="s">
        <v>261</v>
      </c>
      <c r="AY1011" s="107" t="s">
        <v>382</v>
      </c>
    </row>
    <row r="1012" spans="1:51" ht="15.75">
      <c r="A1012" s="57">
        <f t="shared" si="252"/>
        <v>1010</v>
      </c>
      <c r="B1012" s="64" t="s">
        <v>277</v>
      </c>
      <c r="E1012" s="59"/>
      <c r="G1012" s="59"/>
      <c r="I1012" s="76"/>
      <c r="K1012" s="66"/>
      <c r="M1012" s="66"/>
      <c r="O1012" s="76"/>
      <c r="Q1012" s="66"/>
      <c r="R1012" s="76"/>
      <c r="S1012" s="58"/>
      <c r="T1012" s="95"/>
      <c r="AC1012" s="58"/>
      <c r="AD1012" s="58"/>
      <c r="AE1012" s="60"/>
      <c r="AF1012" s="60"/>
      <c r="AG1012" s="60"/>
      <c r="AH1012" s="60"/>
      <c r="AU1012" s="76"/>
      <c r="AW1012" s="66"/>
      <c r="AX1012" s="66" t="s">
        <v>261</v>
      </c>
      <c r="AY1012" s="107" t="s">
        <v>382</v>
      </c>
    </row>
    <row r="1013" spans="1:51" ht="15.75">
      <c r="A1013" s="57">
        <f t="shared" si="252"/>
        <v>1011</v>
      </c>
      <c r="B1013" s="64" t="s">
        <v>280</v>
      </c>
      <c r="E1013" s="59">
        <f>Z1013</f>
        <v>2125.71</v>
      </c>
      <c r="G1013" s="59">
        <f>E1013*$G$1038/$E$1038</f>
        <v>4595.702040755213</v>
      </c>
      <c r="I1013" s="69">
        <v>5.18</v>
      </c>
      <c r="K1013" s="66">
        <f>ROUND(I1013*$E1013,0)</f>
        <v>11011</v>
      </c>
      <c r="M1013" s="66">
        <f>ROUND(I1013*$G1013,0)</f>
        <v>23806</v>
      </c>
      <c r="O1013" s="69">
        <v>5.77</v>
      </c>
      <c r="Q1013" s="66">
        <f>ROUND(O1013*$G1013,0)</f>
        <v>26517</v>
      </c>
      <c r="R1013" s="69">
        <f>ROUND($I1013*(1+$R$961),2)</f>
        <v>5.77</v>
      </c>
      <c r="S1013" s="58"/>
      <c r="T1013" s="95">
        <f>S1013/AU1013-1</f>
        <v>-1</v>
      </c>
      <c r="U1013" s="55">
        <f>S1013-I1013</f>
        <v>-5.18</v>
      </c>
      <c r="W1013" s="33"/>
      <c r="Z1013" s="55">
        <v>2125.71</v>
      </c>
      <c r="AA1013" s="55">
        <v>1</v>
      </c>
      <c r="AC1013" s="59">
        <v>39</v>
      </c>
      <c r="AD1013" s="58">
        <f>AC1013*E1013</f>
        <v>82902.69</v>
      </c>
      <c r="AE1013" s="60">
        <f>AC1013*G1013</f>
        <v>179232.37958945328</v>
      </c>
      <c r="AF1013" s="60"/>
      <c r="AG1013" s="60"/>
      <c r="AH1013" s="60"/>
      <c r="AU1013" s="69">
        <v>4.87</v>
      </c>
      <c r="AW1013" s="66">
        <f>ROUND(AU1013*$E1013,0)</f>
        <v>10352</v>
      </c>
      <c r="AX1013" s="66" t="s">
        <v>261</v>
      </c>
      <c r="AY1013" s="107" t="s">
        <v>382</v>
      </c>
    </row>
    <row r="1014" spans="1:51" ht="15.75">
      <c r="A1014" s="57">
        <f t="shared" si="252"/>
        <v>1012</v>
      </c>
      <c r="B1014" s="64" t="s">
        <v>282</v>
      </c>
      <c r="E1014" s="59">
        <f>Z1014</f>
        <v>348.5</v>
      </c>
      <c r="G1014" s="59">
        <f>E1014*$G$1038/$E$1038</f>
        <v>753.4433959492084</v>
      </c>
      <c r="I1014" s="69">
        <v>6.15</v>
      </c>
      <c r="K1014" s="66">
        <f>ROUND(I1014*$E1014,0)</f>
        <v>2143</v>
      </c>
      <c r="M1014" s="66">
        <f>ROUND(I1014*$G1014,0)</f>
        <v>4634</v>
      </c>
      <c r="O1014" s="69">
        <v>6.85</v>
      </c>
      <c r="Q1014" s="66">
        <f>ROUND(O1014*$G1014,0)</f>
        <v>5161</v>
      </c>
      <c r="R1014" s="69">
        <f>ROUND($I1014*(1+$R$961),2)</f>
        <v>6.85</v>
      </c>
      <c r="S1014" s="58"/>
      <c r="T1014" s="95">
        <f>S1014/AU1014-1</f>
        <v>-1</v>
      </c>
      <c r="U1014" s="55">
        <f>S1014-I1014</f>
        <v>-6.15</v>
      </c>
      <c r="W1014" s="33"/>
      <c r="Z1014" s="55">
        <v>348.5</v>
      </c>
      <c r="AA1014" s="55">
        <v>2</v>
      </c>
      <c r="AC1014" s="59">
        <v>59</v>
      </c>
      <c r="AD1014" s="58">
        <f>AC1014*E1014</f>
        <v>20561.5</v>
      </c>
      <c r="AE1014" s="60">
        <f>AC1014*G1014</f>
        <v>44453.16036100329</v>
      </c>
      <c r="AF1014" s="60"/>
      <c r="AG1014" s="60"/>
      <c r="AH1014" s="60"/>
      <c r="AU1014" s="69">
        <v>5.78</v>
      </c>
      <c r="AW1014" s="66">
        <f>ROUND(AU1014*$E1014,0)</f>
        <v>2014</v>
      </c>
      <c r="AX1014" s="66" t="s">
        <v>261</v>
      </c>
      <c r="AY1014" s="107" t="s">
        <v>382</v>
      </c>
    </row>
    <row r="1015" spans="1:51" ht="15.75">
      <c r="A1015" s="57">
        <f t="shared" si="252"/>
        <v>1013</v>
      </c>
      <c r="B1015" s="64" t="s">
        <v>284</v>
      </c>
      <c r="E1015" s="59">
        <f>Z1015</f>
        <v>1756.37</v>
      </c>
      <c r="G1015" s="59">
        <f>E1015*$G$1038/$E$1038</f>
        <v>3797.2033783165307</v>
      </c>
      <c r="I1015" s="69">
        <v>8.87</v>
      </c>
      <c r="K1015" s="66">
        <f>ROUND(I1015*$E1015,0)</f>
        <v>15579</v>
      </c>
      <c r="M1015" s="66">
        <f>ROUND(I1015*$G1015,0)</f>
        <v>33681</v>
      </c>
      <c r="O1015" s="69">
        <v>9.88</v>
      </c>
      <c r="Q1015" s="66">
        <f>ROUND(O1015*$G1015,0)</f>
        <v>37516</v>
      </c>
      <c r="R1015" s="69">
        <f>ROUND($I1015*(1+$R$961),2)</f>
        <v>9.88</v>
      </c>
      <c r="S1015" s="58"/>
      <c r="T1015" s="95">
        <f>S1015/AU1015-1</f>
        <v>-1</v>
      </c>
      <c r="U1015" s="55">
        <f>S1015-I1015</f>
        <v>-8.87</v>
      </c>
      <c r="W1015" s="33"/>
      <c r="Z1015" s="55">
        <v>1756.37</v>
      </c>
      <c r="AA1015" s="55">
        <v>3</v>
      </c>
      <c r="AC1015" s="59">
        <v>96</v>
      </c>
      <c r="AD1015" s="58">
        <f>AC1015*E1015</f>
        <v>168611.52</v>
      </c>
      <c r="AE1015" s="60">
        <f>AC1015*G1015</f>
        <v>364531.5243183869</v>
      </c>
      <c r="AF1015" s="60"/>
      <c r="AG1015" s="60"/>
      <c r="AH1015" s="60"/>
      <c r="AU1015" s="69">
        <v>8.33</v>
      </c>
      <c r="AW1015" s="66">
        <f>ROUND(AU1015*$E1015,0)</f>
        <v>14631</v>
      </c>
      <c r="AX1015" s="66" t="s">
        <v>261</v>
      </c>
      <c r="AY1015" s="107" t="s">
        <v>382</v>
      </c>
    </row>
    <row r="1016" spans="1:51" ht="15.75">
      <c r="A1016" s="57">
        <f t="shared" si="252"/>
        <v>1014</v>
      </c>
      <c r="B1016" s="64" t="s">
        <v>286</v>
      </c>
      <c r="E1016" s="59">
        <f>Z1016</f>
        <v>0</v>
      </c>
      <c r="G1016" s="59">
        <f>E1016*$G$1038/$E$1038</f>
        <v>0</v>
      </c>
      <c r="I1016" s="69">
        <v>11.56</v>
      </c>
      <c r="K1016" s="66">
        <f>ROUND(I1016*$E1016,0)</f>
        <v>0</v>
      </c>
      <c r="M1016" s="66">
        <f>ROUND(I1016*$G1016,0)</f>
        <v>0</v>
      </c>
      <c r="O1016" s="69">
        <v>12.88</v>
      </c>
      <c r="Q1016" s="66">
        <f>ROUND(O1016*$G1016,0)</f>
        <v>0</v>
      </c>
      <c r="R1016" s="69">
        <f>ROUND($I1016*(1+$R$961),2)</f>
        <v>12.88</v>
      </c>
      <c r="S1016" s="58"/>
      <c r="T1016" s="95">
        <f>S1016/AU1016-1</f>
        <v>-1</v>
      </c>
      <c r="U1016" s="55">
        <f>S1016-I1016</f>
        <v>-11.56</v>
      </c>
      <c r="W1016" s="33"/>
      <c r="Z1016" s="55">
        <v>0</v>
      </c>
      <c r="AA1016" s="55">
        <v>4</v>
      </c>
      <c r="AC1016" s="59">
        <v>148</v>
      </c>
      <c r="AD1016" s="58">
        <f>AC1016*E1016</f>
        <v>0</v>
      </c>
      <c r="AE1016" s="60">
        <f>AC1016*G1016</f>
        <v>0</v>
      </c>
      <c r="AF1016" s="60"/>
      <c r="AG1016" s="60"/>
      <c r="AH1016" s="60"/>
      <c r="AU1016" s="69">
        <v>10.86</v>
      </c>
      <c r="AW1016" s="66">
        <f>ROUND(AU1016*$E1016,0)</f>
        <v>0</v>
      </c>
      <c r="AX1016" s="66" t="s">
        <v>261</v>
      </c>
      <c r="AY1016" s="107" t="s">
        <v>382</v>
      </c>
    </row>
    <row r="1017" spans="1:51" ht="15.75">
      <c r="A1017" s="57">
        <f t="shared" si="252"/>
        <v>1015</v>
      </c>
      <c r="B1017" s="64" t="s">
        <v>322</v>
      </c>
      <c r="E1017" s="59"/>
      <c r="G1017" s="59"/>
      <c r="I1017" s="76"/>
      <c r="K1017" s="66"/>
      <c r="M1017" s="66"/>
      <c r="O1017" s="76"/>
      <c r="Q1017" s="66"/>
      <c r="R1017" s="76"/>
      <c r="S1017" s="58"/>
      <c r="T1017" s="95"/>
      <c r="AC1017" s="58"/>
      <c r="AD1017" s="58"/>
      <c r="AE1017" s="60"/>
      <c r="AF1017" s="60"/>
      <c r="AG1017" s="60"/>
      <c r="AH1017" s="60"/>
      <c r="AU1017" s="76"/>
      <c r="AW1017" s="66"/>
      <c r="AX1017" s="66" t="s">
        <v>261</v>
      </c>
      <c r="AY1017" s="107" t="s">
        <v>382</v>
      </c>
    </row>
    <row r="1018" spans="1:51" ht="15.75">
      <c r="A1018" s="57">
        <f t="shared" si="252"/>
        <v>1016</v>
      </c>
      <c r="B1018" s="64" t="s">
        <v>381</v>
      </c>
      <c r="E1018" s="59">
        <f>Z1018</f>
        <v>540.67</v>
      </c>
      <c r="G1018" s="59">
        <f>E1018*$G$1038/$E$1038</f>
        <v>1168.9074343984462</v>
      </c>
      <c r="I1018" s="69">
        <v>6.82</v>
      </c>
      <c r="K1018" s="66">
        <f>ROUND(I1018*$E1018,0)</f>
        <v>3687</v>
      </c>
      <c r="M1018" s="66">
        <f>ROUND(I1018*$G1018,0)</f>
        <v>7972</v>
      </c>
      <c r="O1018" s="69">
        <v>7.6</v>
      </c>
      <c r="Q1018" s="66">
        <f>ROUND(O1018*$G1018,0)</f>
        <v>8884</v>
      </c>
      <c r="R1018" s="69">
        <f>ROUND($I1018*(1+$R$961),2)</f>
        <v>7.6</v>
      </c>
      <c r="S1018" s="58"/>
      <c r="T1018" s="95">
        <f>S1018/AU1018-1</f>
        <v>-1</v>
      </c>
      <c r="U1018" s="55">
        <f>S1018-I1018</f>
        <v>-6.82</v>
      </c>
      <c r="W1018" s="33"/>
      <c r="Z1018" s="55">
        <v>540.67</v>
      </c>
      <c r="AA1018" s="55">
        <v>5</v>
      </c>
      <c r="AC1018" s="59">
        <v>39</v>
      </c>
      <c r="AD1018" s="58">
        <f>AC1018*E1018</f>
        <v>21086.129999999997</v>
      </c>
      <c r="AE1018" s="60">
        <f>AC1018*G1018</f>
        <v>45587.389941539404</v>
      </c>
      <c r="AF1018" s="60"/>
      <c r="AG1018" s="60"/>
      <c r="AH1018" s="60"/>
      <c r="AU1018" s="69">
        <v>6.41</v>
      </c>
      <c r="AW1018" s="66">
        <f>ROUND(AU1018*$E1018,0)</f>
        <v>3466</v>
      </c>
      <c r="AX1018" s="66" t="s">
        <v>261</v>
      </c>
      <c r="AY1018" s="107" t="s">
        <v>382</v>
      </c>
    </row>
    <row r="1019" spans="1:51" ht="15.75">
      <c r="A1019" s="57">
        <f t="shared" si="252"/>
        <v>1017</v>
      </c>
      <c r="B1019" s="64" t="s">
        <v>323</v>
      </c>
      <c r="E1019" s="59">
        <f>Z1019</f>
        <v>1301.03</v>
      </c>
      <c r="G1019" s="59">
        <f>E1019*$G$1038/$E$1038</f>
        <v>2812.7760729750316</v>
      </c>
      <c r="I1019" s="69">
        <v>8.24</v>
      </c>
      <c r="K1019" s="66">
        <f>ROUND(I1019*$E1019,0)</f>
        <v>10720</v>
      </c>
      <c r="M1019" s="66">
        <f>ROUND(I1019*$G1019,0)</f>
        <v>23177</v>
      </c>
      <c r="O1019" s="69">
        <v>9.18</v>
      </c>
      <c r="Q1019" s="66">
        <f>ROUND(O1019*$G1019,0)</f>
        <v>25821</v>
      </c>
      <c r="R1019" s="69">
        <f>ROUND($I1019*(1+$R$961),2)</f>
        <v>9.18</v>
      </c>
      <c r="S1019" s="58"/>
      <c r="T1019" s="95">
        <f>S1019/AU1019-1</f>
        <v>-1</v>
      </c>
      <c r="U1019" s="55">
        <f>S1019-I1019</f>
        <v>-8.24</v>
      </c>
      <c r="W1019" s="33"/>
      <c r="Z1019" s="55">
        <v>1301.03</v>
      </c>
      <c r="AA1019" s="55">
        <v>6</v>
      </c>
      <c r="AC1019" s="59">
        <v>69</v>
      </c>
      <c r="AD1019" s="58">
        <f>AC1019*E1019</f>
        <v>89771.06999999999</v>
      </c>
      <c r="AE1019" s="60">
        <f>AC1019*G1019</f>
        <v>194081.5490352772</v>
      </c>
      <c r="AF1019" s="60"/>
      <c r="AG1019" s="60"/>
      <c r="AH1019" s="60"/>
      <c r="AU1019" s="69">
        <v>7.74</v>
      </c>
      <c r="AW1019" s="66">
        <f>ROUND(AU1019*$E1019,0)</f>
        <v>10070</v>
      </c>
      <c r="AX1019" s="66" t="s">
        <v>261</v>
      </c>
      <c r="AY1019" s="107" t="s">
        <v>382</v>
      </c>
    </row>
    <row r="1020" spans="1:51" ht="15.75">
      <c r="A1020" s="57">
        <f t="shared" si="252"/>
        <v>1018</v>
      </c>
      <c r="B1020" s="64" t="s">
        <v>325</v>
      </c>
      <c r="E1020" s="59">
        <f>Z1020</f>
        <v>375.47</v>
      </c>
      <c r="G1020" s="59">
        <f>E1020*$G$1038/$E$1038</f>
        <v>811.7514831479176</v>
      </c>
      <c r="I1020" s="69">
        <v>10.5</v>
      </c>
      <c r="K1020" s="66">
        <f>ROUND(I1020*$E1020,0)</f>
        <v>3942</v>
      </c>
      <c r="M1020" s="66">
        <f>ROUND(I1020*$G1020,0)</f>
        <v>8523</v>
      </c>
      <c r="O1020" s="69">
        <v>11.7</v>
      </c>
      <c r="Q1020" s="66">
        <f>ROUND(O1020*$G1020,0)</f>
        <v>9497</v>
      </c>
      <c r="R1020" s="69">
        <f>ROUND($I1020*(1+$R$961),2)</f>
        <v>11.7</v>
      </c>
      <c r="S1020" s="58"/>
      <c r="T1020" s="95">
        <f>S1020/AU1020-1</f>
        <v>-1</v>
      </c>
      <c r="U1020" s="55">
        <f>S1020-I1020</f>
        <v>-10.5</v>
      </c>
      <c r="W1020" s="33"/>
      <c r="Z1020" s="55">
        <v>375.47</v>
      </c>
      <c r="AA1020" s="55">
        <v>7</v>
      </c>
      <c r="AC1020" s="59">
        <v>93</v>
      </c>
      <c r="AD1020" s="58">
        <f>AC1020*E1020</f>
        <v>34918.71</v>
      </c>
      <c r="AE1020" s="60">
        <f>AC1020*G1020</f>
        <v>75492.88793275633</v>
      </c>
      <c r="AF1020" s="60"/>
      <c r="AG1020" s="60"/>
      <c r="AH1020" s="60"/>
      <c r="AU1020" s="69">
        <v>9.86</v>
      </c>
      <c r="AW1020" s="66">
        <f>ROUND(AU1020*$E1020,0)</f>
        <v>3702</v>
      </c>
      <c r="AX1020" s="66" t="s">
        <v>261</v>
      </c>
      <c r="AY1020" s="107" t="s">
        <v>382</v>
      </c>
    </row>
    <row r="1021" spans="1:51" ht="15.75">
      <c r="A1021" s="57">
        <f t="shared" si="252"/>
        <v>1019</v>
      </c>
      <c r="B1021" s="64" t="s">
        <v>326</v>
      </c>
      <c r="E1021" s="59">
        <f>Z1021</f>
        <v>0</v>
      </c>
      <c r="G1021" s="59">
        <f>E1021*$G$1038/$E$1038</f>
        <v>0</v>
      </c>
      <c r="I1021" s="69">
        <v>11.73</v>
      </c>
      <c r="K1021" s="66">
        <f>ROUND(I1021*$E1021,0)</f>
        <v>0</v>
      </c>
      <c r="M1021" s="66">
        <f>ROUND(I1021*$G1021,0)</f>
        <v>0</v>
      </c>
      <c r="O1021" s="69">
        <v>13.07</v>
      </c>
      <c r="Q1021" s="66">
        <f>ROUND(O1021*$G1021,0)</f>
        <v>0</v>
      </c>
      <c r="R1021" s="69">
        <f>ROUND($I1021*(1+$R$961),2)</f>
        <v>13.07</v>
      </c>
      <c r="S1021" s="58"/>
      <c r="T1021" s="95">
        <f>S1021/AU1021-1</f>
        <v>-1</v>
      </c>
      <c r="U1021" s="55">
        <f>S1021-I1021</f>
        <v>-11.73</v>
      </c>
      <c r="W1021" s="33"/>
      <c r="Z1021" s="55">
        <v>0</v>
      </c>
      <c r="AA1021" s="55">
        <v>8</v>
      </c>
      <c r="AC1021" s="59">
        <v>145</v>
      </c>
      <c r="AD1021" s="58">
        <f>AC1021*E1021</f>
        <v>0</v>
      </c>
      <c r="AE1021" s="60">
        <f>AC1021*G1021</f>
        <v>0</v>
      </c>
      <c r="AF1021" s="60"/>
      <c r="AG1021" s="60"/>
      <c r="AH1021" s="60"/>
      <c r="AU1021" s="69">
        <v>11.02</v>
      </c>
      <c r="AW1021" s="66">
        <f>ROUND(AU1021*$E1021,0)</f>
        <v>0</v>
      </c>
      <c r="AX1021" s="66" t="s">
        <v>261</v>
      </c>
      <c r="AY1021" s="107" t="s">
        <v>382</v>
      </c>
    </row>
    <row r="1022" spans="1:51" ht="15.75">
      <c r="A1022" s="57">
        <f t="shared" si="252"/>
        <v>1020</v>
      </c>
      <c r="B1022" s="64" t="s">
        <v>521</v>
      </c>
      <c r="E1022" s="78"/>
      <c r="G1022" s="78"/>
      <c r="I1022" s="127"/>
      <c r="J1022" s="125"/>
      <c r="K1022" s="81"/>
      <c r="M1022" s="81"/>
      <c r="O1022" s="127"/>
      <c r="P1022" s="125"/>
      <c r="Q1022" s="81"/>
      <c r="R1022" s="127"/>
      <c r="S1022" s="125"/>
      <c r="T1022" s="95"/>
      <c r="W1022" s="33"/>
      <c r="AC1022" s="58"/>
      <c r="AD1022" s="58"/>
      <c r="AE1022" s="60"/>
      <c r="AF1022" s="60"/>
      <c r="AG1022" s="60"/>
      <c r="AH1022" s="60"/>
      <c r="AU1022" s="127"/>
      <c r="AV1022" s="125"/>
      <c r="AW1022" s="81"/>
      <c r="AX1022" s="66" t="s">
        <v>261</v>
      </c>
      <c r="AY1022" s="107" t="s">
        <v>382</v>
      </c>
    </row>
    <row r="1023" spans="1:51" ht="15.75">
      <c r="A1023" s="57">
        <f t="shared" si="252"/>
        <v>1021</v>
      </c>
      <c r="B1023" s="64" t="s">
        <v>277</v>
      </c>
      <c r="E1023" s="59"/>
      <c r="G1023" s="59"/>
      <c r="I1023" s="76"/>
      <c r="K1023" s="66"/>
      <c r="M1023" s="66"/>
      <c r="O1023" s="76"/>
      <c r="Q1023" s="66"/>
      <c r="R1023" s="76"/>
      <c r="S1023" s="58"/>
      <c r="T1023" s="95"/>
      <c r="AC1023" s="58"/>
      <c r="AD1023" s="58"/>
      <c r="AE1023" s="60"/>
      <c r="AF1023" s="60"/>
      <c r="AG1023" s="60"/>
      <c r="AH1023" s="60"/>
      <c r="AU1023" s="76"/>
      <c r="AW1023" s="66"/>
      <c r="AX1023" s="66" t="s">
        <v>261</v>
      </c>
      <c r="AY1023" s="107" t="s">
        <v>382</v>
      </c>
    </row>
    <row r="1024" spans="1:51" ht="15.75">
      <c r="A1024" s="57">
        <f t="shared" si="252"/>
        <v>1022</v>
      </c>
      <c r="B1024" s="64" t="s">
        <v>280</v>
      </c>
      <c r="E1024" s="59">
        <f>Z1024</f>
        <v>0</v>
      </c>
      <c r="G1024" s="59">
        <f>E1024*$G$1038/$E$1038</f>
        <v>0</v>
      </c>
      <c r="I1024" s="69">
        <v>28.3</v>
      </c>
      <c r="K1024" s="66">
        <f>ROUND(I1024*$E1024,0)</f>
        <v>0</v>
      </c>
      <c r="M1024" s="66">
        <f>ROUND(I1024*$G1024,0)</f>
        <v>0</v>
      </c>
      <c r="O1024" s="69">
        <v>31.53</v>
      </c>
      <c r="Q1024" s="66">
        <f>ROUND(O1024*$G1024,0)</f>
        <v>0</v>
      </c>
      <c r="R1024" s="69">
        <f>ROUND($I1024*(1+$R$961),2)</f>
        <v>31.53</v>
      </c>
      <c r="S1024" s="58"/>
      <c r="T1024" s="95">
        <f>S1024/AU1024-1</f>
        <v>-1</v>
      </c>
      <c r="U1024" s="55">
        <f>S1024-I1024</f>
        <v>-28.3</v>
      </c>
      <c r="W1024" s="33"/>
      <c r="Z1024" s="55">
        <v>0</v>
      </c>
      <c r="AA1024" s="55">
        <v>1</v>
      </c>
      <c r="AC1024" s="59">
        <v>39</v>
      </c>
      <c r="AD1024" s="58">
        <f>AC1024*E1024</f>
        <v>0</v>
      </c>
      <c r="AE1024" s="60">
        <f>AC1024*G1024</f>
        <v>0</v>
      </c>
      <c r="AF1024" s="60"/>
      <c r="AG1024" s="60"/>
      <c r="AH1024" s="60"/>
      <c r="AU1024" s="69">
        <v>26.59</v>
      </c>
      <c r="AW1024" s="66">
        <f>ROUND(AU1024*$E1024,0)</f>
        <v>0</v>
      </c>
      <c r="AX1024" s="66" t="s">
        <v>261</v>
      </c>
      <c r="AY1024" s="107" t="s">
        <v>382</v>
      </c>
    </row>
    <row r="1025" spans="1:51" ht="15.75">
      <c r="A1025" s="57">
        <f t="shared" si="252"/>
        <v>1023</v>
      </c>
      <c r="B1025" s="64" t="s">
        <v>282</v>
      </c>
      <c r="E1025" s="59">
        <f>Z1025</f>
        <v>768</v>
      </c>
      <c r="G1025" s="59">
        <f>E1025*$G$1038/$E$1038</f>
        <v>1660.3860203414406</v>
      </c>
      <c r="I1025" s="69">
        <v>29.27</v>
      </c>
      <c r="K1025" s="66">
        <f>ROUND(I1025*$E1025,0)</f>
        <v>22479</v>
      </c>
      <c r="M1025" s="66">
        <f>ROUND(I1025*$G1025,0)</f>
        <v>48599</v>
      </c>
      <c r="O1025" s="69">
        <v>32.61</v>
      </c>
      <c r="Q1025" s="66">
        <f>ROUND(O1025*$G1025,0)</f>
        <v>54145</v>
      </c>
      <c r="R1025" s="69">
        <f>ROUND($I1025*(1+$R$961),2)</f>
        <v>32.61</v>
      </c>
      <c r="S1025" s="58"/>
      <c r="T1025" s="95">
        <f>S1025/AU1025-1</f>
        <v>-1</v>
      </c>
      <c r="U1025" s="55">
        <f>S1025-I1025</f>
        <v>-29.27</v>
      </c>
      <c r="W1025" s="33"/>
      <c r="Z1025" s="55">
        <v>768</v>
      </c>
      <c r="AA1025" s="55">
        <v>2</v>
      </c>
      <c r="AC1025" s="59">
        <v>59</v>
      </c>
      <c r="AD1025" s="58">
        <f>AC1025*E1025</f>
        <v>45312</v>
      </c>
      <c r="AE1025" s="60">
        <f>AC1025*G1025</f>
        <v>97962.775200145</v>
      </c>
      <c r="AF1025" s="60"/>
      <c r="AG1025" s="60"/>
      <c r="AH1025" s="60"/>
      <c r="AU1025" s="69">
        <v>27.5</v>
      </c>
      <c r="AW1025" s="66">
        <f>ROUND(AU1025*$E1025,0)</f>
        <v>21120</v>
      </c>
      <c r="AX1025" s="66" t="s">
        <v>261</v>
      </c>
      <c r="AY1025" s="107" t="s">
        <v>382</v>
      </c>
    </row>
    <row r="1026" spans="1:51" ht="15.75">
      <c r="A1026" s="57">
        <f t="shared" si="252"/>
        <v>1024</v>
      </c>
      <c r="B1026" s="64" t="s">
        <v>284</v>
      </c>
      <c r="E1026" s="59">
        <f>Z1026</f>
        <v>0</v>
      </c>
      <c r="G1026" s="59">
        <f>E1026*$G$1038/$E$1038</f>
        <v>0</v>
      </c>
      <c r="I1026" s="69">
        <v>32</v>
      </c>
      <c r="K1026" s="66">
        <f>ROUND(I1026*$E1026,0)</f>
        <v>0</v>
      </c>
      <c r="M1026" s="66">
        <f>ROUND(I1026*$G1026,0)</f>
        <v>0</v>
      </c>
      <c r="O1026" s="69">
        <v>35.65</v>
      </c>
      <c r="Q1026" s="66">
        <f>ROUND(O1026*$G1026,0)</f>
        <v>0</v>
      </c>
      <c r="R1026" s="69">
        <f>ROUND($I1026*(1+$R$961),2)</f>
        <v>35.65</v>
      </c>
      <c r="S1026" s="58"/>
      <c r="T1026" s="95">
        <f>S1026/AU1026-1</f>
        <v>-1</v>
      </c>
      <c r="U1026" s="55">
        <f>S1026-I1026</f>
        <v>-32</v>
      </c>
      <c r="W1026" s="33"/>
      <c r="Z1026" s="55">
        <v>0</v>
      </c>
      <c r="AA1026" s="55">
        <v>3</v>
      </c>
      <c r="AC1026" s="59">
        <v>96</v>
      </c>
      <c r="AD1026" s="58">
        <f>AC1026*E1026</f>
        <v>0</v>
      </c>
      <c r="AE1026" s="60">
        <f>AC1026*G1026</f>
        <v>0</v>
      </c>
      <c r="AF1026" s="60"/>
      <c r="AG1026" s="60"/>
      <c r="AH1026" s="60"/>
      <c r="AU1026" s="69">
        <v>30.06</v>
      </c>
      <c r="AW1026" s="66">
        <f>ROUND(AU1026*$E1026,0)</f>
        <v>0</v>
      </c>
      <c r="AX1026" s="66" t="s">
        <v>261</v>
      </c>
      <c r="AY1026" s="107" t="s">
        <v>382</v>
      </c>
    </row>
    <row r="1027" spans="1:51" ht="15.75">
      <c r="A1027" s="57">
        <f t="shared" si="252"/>
        <v>1025</v>
      </c>
      <c r="B1027" s="64" t="s">
        <v>286</v>
      </c>
      <c r="E1027" s="59">
        <f>Z1027</f>
        <v>0</v>
      </c>
      <c r="G1027" s="59">
        <f>E1027*$G$1038/$E$1038</f>
        <v>0</v>
      </c>
      <c r="I1027" s="69">
        <v>34.69</v>
      </c>
      <c r="K1027" s="66">
        <f>ROUND(I1027*$E1027,0)</f>
        <v>0</v>
      </c>
      <c r="M1027" s="66">
        <f>ROUND(I1027*$G1027,0)</f>
        <v>0</v>
      </c>
      <c r="O1027" s="69">
        <v>38.65</v>
      </c>
      <c r="Q1027" s="66">
        <f>ROUND(O1027*$G1027,0)</f>
        <v>0</v>
      </c>
      <c r="R1027" s="69">
        <f>ROUND($I1027*(1+$R$961),2)</f>
        <v>38.65</v>
      </c>
      <c r="S1027" s="58"/>
      <c r="T1027" s="95">
        <f>S1027/AU1027-1</f>
        <v>-1</v>
      </c>
      <c r="U1027" s="55">
        <f>S1027-I1027</f>
        <v>-34.69</v>
      </c>
      <c r="W1027" s="33"/>
      <c r="Z1027" s="55">
        <v>0</v>
      </c>
      <c r="AA1027" s="55">
        <v>4</v>
      </c>
      <c r="AC1027" s="59">
        <v>148</v>
      </c>
      <c r="AD1027" s="58">
        <f>AC1027*E1027</f>
        <v>0</v>
      </c>
      <c r="AE1027" s="60">
        <f>AC1027*G1027</f>
        <v>0</v>
      </c>
      <c r="AF1027" s="60"/>
      <c r="AG1027" s="60"/>
      <c r="AH1027" s="60"/>
      <c r="AU1027" s="69">
        <v>32.59</v>
      </c>
      <c r="AW1027" s="66">
        <f>ROUND(AU1027*$E1027,0)</f>
        <v>0</v>
      </c>
      <c r="AX1027" s="66" t="s">
        <v>261</v>
      </c>
      <c r="AY1027" s="107" t="s">
        <v>382</v>
      </c>
    </row>
    <row r="1028" spans="1:51" ht="15.75">
      <c r="A1028" s="57">
        <f t="shared" si="252"/>
        <v>1026</v>
      </c>
      <c r="B1028" s="64" t="s">
        <v>322</v>
      </c>
      <c r="E1028" s="59"/>
      <c r="G1028" s="59"/>
      <c r="I1028" s="76"/>
      <c r="K1028" s="66"/>
      <c r="M1028" s="66"/>
      <c r="O1028" s="76"/>
      <c r="Q1028" s="66"/>
      <c r="R1028" s="76"/>
      <c r="S1028" s="58"/>
      <c r="T1028" s="95"/>
      <c r="AC1028" s="58"/>
      <c r="AD1028" s="58"/>
      <c r="AE1028" s="60"/>
      <c r="AF1028" s="60"/>
      <c r="AG1028" s="60"/>
      <c r="AH1028" s="60"/>
      <c r="AU1028" s="76"/>
      <c r="AW1028" s="66"/>
      <c r="AX1028" s="66" t="s">
        <v>261</v>
      </c>
      <c r="AY1028" s="107" t="s">
        <v>382</v>
      </c>
    </row>
    <row r="1029" spans="1:51" ht="15.75">
      <c r="A1029" s="57">
        <f t="shared" si="252"/>
        <v>1027</v>
      </c>
      <c r="B1029" s="64" t="s">
        <v>381</v>
      </c>
      <c r="E1029" s="59">
        <f>Z1029</f>
        <v>384</v>
      </c>
      <c r="G1029" s="59">
        <f>E1029*$G$1038/$E$1038</f>
        <v>830.1930101707203</v>
      </c>
      <c r="I1029" s="69">
        <v>29.95</v>
      </c>
      <c r="K1029" s="66">
        <f>ROUND(I1029*$E1029,0)</f>
        <v>11501</v>
      </c>
      <c r="M1029" s="66">
        <f>ROUND(I1029*$G1029,0)</f>
        <v>24864</v>
      </c>
      <c r="O1029" s="69">
        <v>33.37</v>
      </c>
      <c r="Q1029" s="66">
        <f>ROUND(O1029*$G1029,0)</f>
        <v>27704</v>
      </c>
      <c r="R1029" s="69">
        <f>ROUND($I1029*(1+$R$961),2)</f>
        <v>33.37</v>
      </c>
      <c r="S1029" s="58"/>
      <c r="T1029" s="95">
        <f>S1029/AU1029-1</f>
        <v>-1</v>
      </c>
      <c r="U1029" s="55">
        <f>S1029-I1029</f>
        <v>-29.95</v>
      </c>
      <c r="W1029" s="33"/>
      <c r="Z1029" s="55">
        <v>384</v>
      </c>
      <c r="AA1029" s="55">
        <v>5</v>
      </c>
      <c r="AC1029" s="59">
        <v>39</v>
      </c>
      <c r="AD1029" s="58">
        <f>AC1029*E1029</f>
        <v>14976</v>
      </c>
      <c r="AE1029" s="60">
        <f>AC1029*G1029</f>
        <v>32377.527396658093</v>
      </c>
      <c r="AF1029" s="60"/>
      <c r="AG1029" s="60"/>
      <c r="AH1029" s="60"/>
      <c r="AU1029" s="69">
        <v>28.14</v>
      </c>
      <c r="AW1029" s="66">
        <f>ROUND(AU1029*$E1029,0)</f>
        <v>10806</v>
      </c>
      <c r="AX1029" s="66" t="s">
        <v>261</v>
      </c>
      <c r="AY1029" s="107" t="s">
        <v>382</v>
      </c>
    </row>
    <row r="1030" spans="1:51" ht="15.75">
      <c r="A1030" s="57">
        <f t="shared" si="252"/>
        <v>1028</v>
      </c>
      <c r="B1030" s="64" t="s">
        <v>323</v>
      </c>
      <c r="E1030" s="59">
        <f>Z1030</f>
        <v>731</v>
      </c>
      <c r="G1030" s="59">
        <f>E1030*$G$1038/$E$1038</f>
        <v>1580.3934646739492</v>
      </c>
      <c r="I1030" s="69">
        <v>31.37</v>
      </c>
      <c r="K1030" s="66">
        <f>ROUND(I1030*$E1030,0)</f>
        <v>22931</v>
      </c>
      <c r="M1030" s="66">
        <f>ROUND(I1030*$G1030,0)</f>
        <v>49577</v>
      </c>
      <c r="O1030" s="69">
        <v>34.95</v>
      </c>
      <c r="Q1030" s="66">
        <f>ROUND(O1030*$G1030,0)</f>
        <v>55235</v>
      </c>
      <c r="R1030" s="69">
        <f>ROUND($I1030*(1+$R$961),2)</f>
        <v>34.95</v>
      </c>
      <c r="S1030" s="58"/>
      <c r="T1030" s="95">
        <f>S1030/AU1030-1</f>
        <v>-1</v>
      </c>
      <c r="W1030" s="33"/>
      <c r="Z1030" s="55">
        <v>731</v>
      </c>
      <c r="AA1030" s="55">
        <v>6</v>
      </c>
      <c r="AC1030" s="59">
        <v>69</v>
      </c>
      <c r="AD1030" s="58">
        <f>AC1030*E1030</f>
        <v>50439</v>
      </c>
      <c r="AE1030" s="60">
        <f>AC1030*G1030</f>
        <v>109047.14906250249</v>
      </c>
      <c r="AF1030" s="60"/>
      <c r="AG1030" s="60"/>
      <c r="AH1030" s="60"/>
      <c r="AU1030" s="69">
        <v>29.47</v>
      </c>
      <c r="AW1030" s="66">
        <f>ROUND(AU1030*$E1030,0)</f>
        <v>21543</v>
      </c>
      <c r="AX1030" s="66" t="s">
        <v>261</v>
      </c>
      <c r="AY1030" s="107" t="s">
        <v>382</v>
      </c>
    </row>
    <row r="1031" spans="1:51" ht="15.75">
      <c r="A1031" s="57">
        <f t="shared" si="252"/>
        <v>1029</v>
      </c>
      <c r="B1031" s="64" t="s">
        <v>325</v>
      </c>
      <c r="E1031" s="59">
        <f>Z1031</f>
        <v>12</v>
      </c>
      <c r="G1031" s="59">
        <f>E1031*$G$1038/$E$1038</f>
        <v>25.94353156783501</v>
      </c>
      <c r="I1031" s="69">
        <v>33.63</v>
      </c>
      <c r="K1031" s="66">
        <f>ROUND(I1031*$E1031,0)</f>
        <v>404</v>
      </c>
      <c r="M1031" s="66">
        <f>ROUND(I1031*$G1031,0)</f>
        <v>872</v>
      </c>
      <c r="O1031" s="69">
        <v>37.47</v>
      </c>
      <c r="Q1031" s="66">
        <f>ROUND(O1031*$G1031,0)</f>
        <v>972</v>
      </c>
      <c r="R1031" s="69">
        <f>ROUND($I1031*(1+$R$961),2)</f>
        <v>37.47</v>
      </c>
      <c r="S1031" s="58"/>
      <c r="T1031" s="95">
        <f>S1031/AU1031-1</f>
        <v>-1</v>
      </c>
      <c r="U1031" s="55">
        <f>S1031-I1031</f>
        <v>-33.63</v>
      </c>
      <c r="W1031" s="33"/>
      <c r="Z1031" s="55">
        <v>12</v>
      </c>
      <c r="AA1031" s="55">
        <v>7</v>
      </c>
      <c r="AC1031" s="59">
        <v>93</v>
      </c>
      <c r="AD1031" s="58">
        <f>AC1031*E1031</f>
        <v>1116</v>
      </c>
      <c r="AE1031" s="60">
        <f>AC1031*G1031</f>
        <v>2412.748435808656</v>
      </c>
      <c r="AF1031" s="60"/>
      <c r="AG1031" s="60"/>
      <c r="AH1031" s="60"/>
      <c r="AU1031" s="69">
        <v>31.59</v>
      </c>
      <c r="AW1031" s="66">
        <f>ROUND(AU1031*$E1031,0)</f>
        <v>379</v>
      </c>
      <c r="AX1031" s="66" t="s">
        <v>261</v>
      </c>
      <c r="AY1031" s="107" t="s">
        <v>382</v>
      </c>
    </row>
    <row r="1032" spans="1:51" ht="15.75">
      <c r="A1032" s="57">
        <f t="shared" si="252"/>
        <v>1030</v>
      </c>
      <c r="B1032" s="64" t="s">
        <v>326</v>
      </c>
      <c r="E1032" s="78">
        <f>Z1032</f>
        <v>0</v>
      </c>
      <c r="G1032" s="78">
        <f>E1032*$G$1038/$E$1038</f>
        <v>0</v>
      </c>
      <c r="I1032" s="148">
        <v>34.86</v>
      </c>
      <c r="J1032" s="125"/>
      <c r="K1032" s="81">
        <f>ROUND(I1032*$E1032,0)</f>
        <v>0</v>
      </c>
      <c r="M1032" s="81">
        <f>ROUND(I1032*$G1032,0)</f>
        <v>0</v>
      </c>
      <c r="O1032" s="148">
        <v>38.84</v>
      </c>
      <c r="P1032" s="125"/>
      <c r="Q1032" s="81">
        <f>ROUND(O1032*$G1032,0)</f>
        <v>0</v>
      </c>
      <c r="R1032" s="148">
        <f>ROUND($I1032*(1+$R$961),2)</f>
        <v>38.84</v>
      </c>
      <c r="S1032" s="125"/>
      <c r="T1032" s="95">
        <f>S1032/AU1032-1</f>
        <v>-1</v>
      </c>
      <c r="U1032" s="55">
        <f>S1032-I1032</f>
        <v>-34.86</v>
      </c>
      <c r="Z1032" s="55">
        <v>0</v>
      </c>
      <c r="AA1032" s="55">
        <v>8</v>
      </c>
      <c r="AC1032" s="59">
        <v>145</v>
      </c>
      <c r="AD1032" s="58">
        <f>AC1032*E1032</f>
        <v>0</v>
      </c>
      <c r="AE1032" s="60">
        <f>AC1032*G1032</f>
        <v>0</v>
      </c>
      <c r="AF1032" s="60"/>
      <c r="AG1032" s="60"/>
      <c r="AH1032" s="60"/>
      <c r="AU1032" s="127">
        <v>32.75</v>
      </c>
      <c r="AV1032" s="125"/>
      <c r="AW1032" s="42">
        <f>ROUND(AU1032*$E1032,0)</f>
        <v>0</v>
      </c>
      <c r="AX1032" s="66" t="s">
        <v>261</v>
      </c>
      <c r="AY1032" s="107" t="s">
        <v>382</v>
      </c>
    </row>
    <row r="1033" spans="1:51" ht="15.75">
      <c r="A1033" s="57">
        <f t="shared" si="252"/>
        <v>1031</v>
      </c>
      <c r="B1033" s="64"/>
      <c r="E1033" s="71"/>
      <c r="G1033" s="71"/>
      <c r="I1033" s="149"/>
      <c r="J1033" s="63"/>
      <c r="K1033" s="77"/>
      <c r="M1033" s="77"/>
      <c r="O1033" s="149"/>
      <c r="P1033" s="63"/>
      <c r="Q1033" s="77"/>
      <c r="R1033" s="149"/>
      <c r="S1033" s="63"/>
      <c r="T1033" s="95"/>
      <c r="AC1033" s="59"/>
      <c r="AD1033" s="58"/>
      <c r="AE1033" s="60"/>
      <c r="AF1033" s="60"/>
      <c r="AG1033" s="60"/>
      <c r="AH1033" s="60"/>
      <c r="AU1033" s="149"/>
      <c r="AV1033" s="63"/>
      <c r="AW1033" s="150"/>
      <c r="AX1033" s="66" t="s">
        <v>261</v>
      </c>
      <c r="AY1033" s="107" t="s">
        <v>382</v>
      </c>
    </row>
    <row r="1034" spans="1:51" ht="15.75">
      <c r="A1034" s="57">
        <f t="shared" si="252"/>
        <v>1032</v>
      </c>
      <c r="B1034" s="64" t="s">
        <v>384</v>
      </c>
      <c r="E1034" s="59"/>
      <c r="G1034" s="59"/>
      <c r="I1034" s="76"/>
      <c r="K1034" s="66"/>
      <c r="M1034" s="66"/>
      <c r="O1034" s="76"/>
      <c r="Q1034" s="66"/>
      <c r="R1034" s="76"/>
      <c r="S1034" s="58"/>
      <c r="T1034" s="95"/>
      <c r="AC1034" s="58"/>
      <c r="AD1034" s="58"/>
      <c r="AE1034" s="60"/>
      <c r="AF1034" s="60" t="s">
        <v>307</v>
      </c>
      <c r="AG1034" s="60" t="s">
        <v>385</v>
      </c>
      <c r="AH1034" s="60" t="s">
        <v>151</v>
      </c>
      <c r="AI1034" s="55" t="s">
        <v>386</v>
      </c>
      <c r="AU1034" s="76"/>
      <c r="AW1034" s="66"/>
      <c r="AX1034" s="66" t="s">
        <v>261</v>
      </c>
      <c r="AY1034" s="107" t="s">
        <v>382</v>
      </c>
    </row>
    <row r="1035" spans="1:51" ht="15.75">
      <c r="A1035" s="57">
        <f t="shared" si="252"/>
        <v>1033</v>
      </c>
      <c r="B1035" s="64" t="s">
        <v>387</v>
      </c>
      <c r="E1035" s="78">
        <f>AD1035</f>
        <v>1389572.79</v>
      </c>
      <c r="G1035" s="78">
        <f>E1035*$G$1038/$E$1038</f>
        <v>3004202.128597464</v>
      </c>
      <c r="I1035" s="151"/>
      <c r="J1035" s="152">
        <v>4.850300000000001</v>
      </c>
      <c r="K1035" s="80">
        <f>ROUND(J1035*$E1035/100,0)</f>
        <v>67398</v>
      </c>
      <c r="M1035" s="80">
        <f>ROUND(J1035*$G1035/100,0)</f>
        <v>145713</v>
      </c>
      <c r="O1035" s="151"/>
      <c r="P1035" s="152">
        <v>5.4039</v>
      </c>
      <c r="Q1035" s="80">
        <f>ROUND(P1035*$G1035/100,0)</f>
        <v>162344</v>
      </c>
      <c r="R1035" s="151"/>
      <c r="S1035" s="152">
        <f>ROUND($J1035*(1+$R$961),4)</f>
        <v>5.4039</v>
      </c>
      <c r="T1035" s="95">
        <f>S1035/AV1035-1</f>
        <v>0.18595005047623214</v>
      </c>
      <c r="U1035" s="55">
        <f>S1035-I1035</f>
        <v>5.4039</v>
      </c>
      <c r="Z1035" s="55">
        <v>24378.47</v>
      </c>
      <c r="AA1035" s="55">
        <v>9</v>
      </c>
      <c r="AC1035" s="59">
        <v>57</v>
      </c>
      <c r="AD1035" s="58">
        <f>AC1035*Z1035</f>
        <v>1389572.79</v>
      </c>
      <c r="AE1035" s="60" t="s">
        <v>388</v>
      </c>
      <c r="AF1035" s="120">
        <f>SUM(AD967:AD975)+AD1035</f>
        <v>2280661.15</v>
      </c>
      <c r="AG1035" s="60">
        <f>5.83+17.58+0.58+4.5+3.33+1.5+1.17+5.33</f>
        <v>39.81999999999999</v>
      </c>
      <c r="AH1035" s="120">
        <f>SUM(AE967:AE975)+G1035</f>
        <v>4930700.378379991</v>
      </c>
      <c r="AI1035" s="55">
        <f aca="true" t="shared" si="253" ref="AI1035:AI1040">AG1035*$G$1039/$E$1039</f>
        <v>53.467910787437404</v>
      </c>
      <c r="AU1035" s="127"/>
      <c r="AV1035" s="152">
        <v>4.5566</v>
      </c>
      <c r="AW1035" s="80">
        <f>ROUND(AV1035*$E1035/100,0)</f>
        <v>63317</v>
      </c>
      <c r="AX1035" s="66" t="s">
        <v>261</v>
      </c>
      <c r="AY1035" s="107" t="s">
        <v>382</v>
      </c>
    </row>
    <row r="1036" spans="1:51" ht="15.75">
      <c r="A1036" s="57">
        <f t="shared" si="252"/>
        <v>1034</v>
      </c>
      <c r="B1036" s="64" t="s">
        <v>298</v>
      </c>
      <c r="E1036" s="78">
        <f>SUM(E967:E1035)</f>
        <v>1482424.28</v>
      </c>
      <c r="G1036" s="78"/>
      <c r="I1036" s="125"/>
      <c r="J1036" s="125"/>
      <c r="K1036" s="81">
        <f>SUM(K967:K1035)</f>
        <v>431543</v>
      </c>
      <c r="M1036" s="81">
        <f>SUM(M967:M1035)</f>
        <v>932982</v>
      </c>
      <c r="O1036" s="125"/>
      <c r="P1036" s="125"/>
      <c r="Q1036" s="81">
        <f>SUM(Q967:Q1035)</f>
        <v>1039317</v>
      </c>
      <c r="AC1036" s="58"/>
      <c r="AD1036" s="58"/>
      <c r="AE1036" s="60" t="s">
        <v>389</v>
      </c>
      <c r="AF1036" s="120">
        <f>SUM(AD1002:AD1010)</f>
        <v>4157000.0699999994</v>
      </c>
      <c r="AG1036" s="60">
        <f>15+16+6+1+1+1</f>
        <v>40</v>
      </c>
      <c r="AH1036" s="120">
        <f>SUM(AE1002:AE1010)</f>
        <v>8987271.878628109</v>
      </c>
      <c r="AI1036" s="55">
        <f t="shared" si="253"/>
        <v>53.709604005462</v>
      </c>
      <c r="AU1036" s="125"/>
      <c r="AV1036" s="125"/>
      <c r="AW1036" s="81">
        <f>SUM(AW967:AW1035)</f>
        <v>405747</v>
      </c>
      <c r="AX1036" s="66" t="s">
        <v>261</v>
      </c>
      <c r="AY1036" s="107" t="s">
        <v>382</v>
      </c>
    </row>
    <row r="1037" spans="1:51" ht="15.75">
      <c r="A1037" s="57">
        <f t="shared" si="252"/>
        <v>1035</v>
      </c>
      <c r="E1037" s="59"/>
      <c r="G1037" s="59"/>
      <c r="AC1037" s="58"/>
      <c r="AD1037" s="58"/>
      <c r="AE1037" s="60" t="s">
        <v>390</v>
      </c>
      <c r="AF1037" s="120">
        <f>SUM(AD989:AD997)</f>
        <v>23861.4</v>
      </c>
      <c r="AG1037" s="60">
        <f>4+2+1</f>
        <v>7</v>
      </c>
      <c r="AH1037" s="120">
        <f>SUM(AE989:AE997)</f>
        <v>51587.41534606153</v>
      </c>
      <c r="AI1037" s="55">
        <f t="shared" si="253"/>
        <v>9.39918070095585</v>
      </c>
      <c r="AX1037" s="66" t="s">
        <v>261</v>
      </c>
      <c r="AY1037" s="107" t="s">
        <v>382</v>
      </c>
    </row>
    <row r="1038" spans="1:51" ht="16.5" thickBot="1">
      <c r="A1038" s="57">
        <f t="shared" si="252"/>
        <v>1036</v>
      </c>
      <c r="B1038" s="64" t="s">
        <v>188</v>
      </c>
      <c r="E1038" s="35">
        <f>SUM(AD967:AD1035)</f>
        <v>7048073.14</v>
      </c>
      <c r="G1038" s="35">
        <v>15237659</v>
      </c>
      <c r="I1038" s="96"/>
      <c r="J1038" s="96"/>
      <c r="K1038" s="96"/>
      <c r="M1038" s="96"/>
      <c r="O1038" s="96"/>
      <c r="P1038" s="96"/>
      <c r="Q1038" s="96"/>
      <c r="AC1038" s="58"/>
      <c r="AD1038" s="58"/>
      <c r="AE1038" s="60" t="s">
        <v>391</v>
      </c>
      <c r="AF1038" s="120">
        <f>SUM(AD1024:AD1032)</f>
        <v>111843</v>
      </c>
      <c r="AG1038" s="60">
        <f>2+2+3+1</f>
        <v>8</v>
      </c>
      <c r="AH1038" s="120">
        <f>SUM(AE1024:AE1032)</f>
        <v>241800.20009511424</v>
      </c>
      <c r="AI1038" s="55">
        <f t="shared" si="253"/>
        <v>10.7419208010924</v>
      </c>
      <c r="AU1038" s="96"/>
      <c r="AV1038" s="96"/>
      <c r="AW1038" s="96"/>
      <c r="AX1038" s="66" t="s">
        <v>261</v>
      </c>
      <c r="AY1038" s="107" t="s">
        <v>382</v>
      </c>
    </row>
    <row r="1039" spans="1:51" ht="16.5" thickTop="1">
      <c r="A1039" s="57">
        <f t="shared" si="252"/>
        <v>1037</v>
      </c>
      <c r="B1039" s="64" t="s">
        <v>3</v>
      </c>
      <c r="E1039" s="130">
        <f>SUM(AG1035:AG1040)</f>
        <v>131.82</v>
      </c>
      <c r="G1039" s="130">
        <v>177</v>
      </c>
      <c r="AC1039" s="58"/>
      <c r="AD1039" s="58"/>
      <c r="AE1039" s="60" t="s">
        <v>392</v>
      </c>
      <c r="AF1039" s="120">
        <f>SUM(AD978:AD986)</f>
        <v>56855.899999999994</v>
      </c>
      <c r="AG1039" s="60">
        <f>5+1+1+3</f>
        <v>10</v>
      </c>
      <c r="AH1039" s="120">
        <f>SUM(AE978:AE986)</f>
        <v>122920.23637230587</v>
      </c>
      <c r="AI1039" s="55">
        <f t="shared" si="253"/>
        <v>13.4274010013655</v>
      </c>
      <c r="AX1039" s="66" t="s">
        <v>261</v>
      </c>
      <c r="AY1039" s="107" t="s">
        <v>382</v>
      </c>
    </row>
    <row r="1040" spans="1:51" ht="15.75">
      <c r="A1040" s="57">
        <f t="shared" si="252"/>
        <v>1038</v>
      </c>
      <c r="B1040" s="64" t="s">
        <v>189</v>
      </c>
      <c r="E1040" s="39">
        <v>-80823</v>
      </c>
      <c r="G1040" s="39">
        <v>0</v>
      </c>
      <c r="I1040" s="78"/>
      <c r="J1040" s="125"/>
      <c r="K1040" s="81">
        <f>AW1040</f>
        <v>61093</v>
      </c>
      <c r="M1040" s="81">
        <v>0</v>
      </c>
      <c r="O1040" s="78"/>
      <c r="P1040" s="125"/>
      <c r="Q1040" s="81">
        <v>0</v>
      </c>
      <c r="AC1040" s="58"/>
      <c r="AD1040" s="58"/>
      <c r="AE1040" s="60" t="s">
        <v>393</v>
      </c>
      <c r="AF1040" s="120">
        <f>SUM(AD1013:AD1021)</f>
        <v>417851.62</v>
      </c>
      <c r="AG1040" s="60">
        <f>10+4+3+4+3+3</f>
        <v>27</v>
      </c>
      <c r="AH1040" s="120">
        <f>SUM(AE1013:AE1021)</f>
        <v>903378.8911784164</v>
      </c>
      <c r="AI1040" s="55">
        <f t="shared" si="253"/>
        <v>36.253982703686845</v>
      </c>
      <c r="AU1040" s="78"/>
      <c r="AV1040" s="125"/>
      <c r="AW1040" s="81">
        <v>61093</v>
      </c>
      <c r="AX1040" s="66" t="s">
        <v>261</v>
      </c>
      <c r="AY1040" s="107" t="s">
        <v>382</v>
      </c>
    </row>
    <row r="1041" spans="1:51" ht="16.5" thickBot="1">
      <c r="A1041" s="57">
        <f t="shared" si="252"/>
        <v>1039</v>
      </c>
      <c r="B1041" s="64" t="s">
        <v>59</v>
      </c>
      <c r="E1041" s="35">
        <f>E1040+E1038</f>
        <v>6967250.14</v>
      </c>
      <c r="G1041" s="35">
        <f>G1040+G1038</f>
        <v>15237659</v>
      </c>
      <c r="I1041" s="131"/>
      <c r="J1041" s="131"/>
      <c r="K1041" s="131">
        <f>K1040+K1036</f>
        <v>492636</v>
      </c>
      <c r="M1041" s="131">
        <f>M1040+M1036</f>
        <v>932982</v>
      </c>
      <c r="O1041" s="131"/>
      <c r="P1041" s="131"/>
      <c r="Q1041" s="131">
        <f>Q1040+Q1036</f>
        <v>1039317</v>
      </c>
      <c r="R1041" s="85" t="s">
        <v>59</v>
      </c>
      <c r="S1041" s="86">
        <f>Q1041</f>
        <v>1039317</v>
      </c>
      <c r="U1041" s="60"/>
      <c r="V1041" s="60"/>
      <c r="AC1041" s="58"/>
      <c r="AD1041" s="58"/>
      <c r="AE1041" s="60" t="s">
        <v>394</v>
      </c>
      <c r="AF1041" s="120">
        <f>SUM(AF1035:AF1040)</f>
        <v>7048073.14</v>
      </c>
      <c r="AG1041" s="60"/>
      <c r="AH1041" s="120">
        <f>SUM(AH1035:AH1040)</f>
        <v>15237658.999999996</v>
      </c>
      <c r="AI1041" s="55">
        <f>SUM(AI1035:AI1040)</f>
        <v>177</v>
      </c>
      <c r="AU1041" s="131"/>
      <c r="AV1041" s="131"/>
      <c r="AW1041" s="131">
        <f>AW1040+AW1036</f>
        <v>466840</v>
      </c>
      <c r="AX1041" s="66" t="s">
        <v>261</v>
      </c>
      <c r="AY1041" s="107" t="s">
        <v>382</v>
      </c>
    </row>
    <row r="1042" spans="1:51" ht="16.5" thickTop="1">
      <c r="A1042" s="57">
        <f t="shared" si="252"/>
        <v>1040</v>
      </c>
      <c r="B1042" s="64" t="s">
        <v>60</v>
      </c>
      <c r="E1042" s="59"/>
      <c r="G1042" s="59"/>
      <c r="I1042" s="76"/>
      <c r="J1042" s="26">
        <v>0</v>
      </c>
      <c r="K1042" s="81">
        <f>ROUND(SUM(K1036)*J1042,0)</f>
        <v>0</v>
      </c>
      <c r="M1042" s="81">
        <f>ROUND(SUM(M1036)*J1042,0)</f>
        <v>0</v>
      </c>
      <c r="O1042" s="76"/>
      <c r="P1042" s="26">
        <v>0</v>
      </c>
      <c r="Q1042" s="81">
        <f>ROUND(SUM(Q1036)*P1042,0)</f>
        <v>0</v>
      </c>
      <c r="R1042" s="88" t="s">
        <v>61</v>
      </c>
      <c r="S1042" s="89">
        <v>1039279.2361819068</v>
      </c>
      <c r="U1042" s="60"/>
      <c r="V1042" s="60"/>
      <c r="AE1042" s="60" t="s">
        <v>299</v>
      </c>
      <c r="AF1042" s="120">
        <f>AF1041-E1038</f>
        <v>0</v>
      </c>
      <c r="AG1042" s="60"/>
      <c r="AH1042" s="120">
        <f>AH1041-G1038</f>
        <v>0</v>
      </c>
      <c r="AI1042" s="120">
        <f>AI1041-G1039</f>
        <v>0</v>
      </c>
      <c r="AU1042" s="76"/>
      <c r="AV1042" s="26">
        <v>0.0352</v>
      </c>
      <c r="AW1042" s="81">
        <f>ROUND(SUM(AW1036)*AV1042,0)</f>
        <v>14282</v>
      </c>
      <c r="AX1042" s="66" t="s">
        <v>261</v>
      </c>
      <c r="AY1042" s="107" t="s">
        <v>382</v>
      </c>
    </row>
    <row r="1043" spans="1:51" ht="15.75">
      <c r="A1043" s="57">
        <f t="shared" si="252"/>
        <v>1041</v>
      </c>
      <c r="B1043" s="64" t="s">
        <v>62</v>
      </c>
      <c r="E1043" s="59"/>
      <c r="G1043" s="59"/>
      <c r="I1043" s="76"/>
      <c r="J1043" s="26">
        <v>0.0252</v>
      </c>
      <c r="K1043" s="81">
        <f>ROUND(SUM(K1036,K1042)*J1043,0)</f>
        <v>10875</v>
      </c>
      <c r="M1043" s="81">
        <f>ROUND(SUM(M1036,M1042)*J1043,0)</f>
        <v>23511</v>
      </c>
      <c r="O1043" s="76"/>
      <c r="P1043" s="26">
        <v>0.0252</v>
      </c>
      <c r="Q1043" s="81">
        <f>ROUND(SUM(Q1036,Q1042)*P1043,0)</f>
        <v>26191</v>
      </c>
      <c r="R1043" s="90" t="s">
        <v>515</v>
      </c>
      <c r="S1043" s="91">
        <f>S1042-S1041</f>
        <v>-37.76381809322629</v>
      </c>
      <c r="U1043" s="60"/>
      <c r="V1043" s="60"/>
      <c r="AG1043" s="60"/>
      <c r="AH1043" s="60"/>
      <c r="AU1043" s="76"/>
      <c r="AV1043" s="26"/>
      <c r="AW1043" s="81">
        <f>ROUND(SUM(AW1036,AW1042)*AV1043,0)</f>
        <v>0</v>
      </c>
      <c r="AX1043" s="66" t="s">
        <v>261</v>
      </c>
      <c r="AY1043" s="107" t="s">
        <v>382</v>
      </c>
    </row>
    <row r="1044" spans="1:51" ht="15.75">
      <c r="A1044" s="57">
        <f t="shared" si="252"/>
        <v>1042</v>
      </c>
      <c r="E1044" s="59"/>
      <c r="G1044" s="59"/>
      <c r="R1044" s="55"/>
      <c r="AC1044" s="58"/>
      <c r="AD1044" s="58"/>
      <c r="AE1044" s="60"/>
      <c r="AF1044" s="60"/>
      <c r="AG1044" s="60"/>
      <c r="AH1044" s="60"/>
      <c r="AX1044" s="66" t="s">
        <v>261</v>
      </c>
      <c r="AY1044" s="107" t="s">
        <v>382</v>
      </c>
    </row>
    <row r="1045" spans="1:51" ht="15.75">
      <c r="A1045" s="57">
        <f t="shared" si="252"/>
        <v>1043</v>
      </c>
      <c r="B1045" s="64" t="s">
        <v>395</v>
      </c>
      <c r="E1045" s="59"/>
      <c r="G1045" s="59"/>
      <c r="AE1045" s="60"/>
      <c r="AF1045" s="60"/>
      <c r="AG1045" s="60"/>
      <c r="AH1045" s="60"/>
      <c r="AX1045" s="66" t="s">
        <v>108</v>
      </c>
      <c r="AY1045" s="58">
        <v>21</v>
      </c>
    </row>
    <row r="1046" spans="1:51" ht="15.75">
      <c r="A1046" s="57">
        <f t="shared" si="252"/>
        <v>1044</v>
      </c>
      <c r="B1046" s="64" t="s">
        <v>396</v>
      </c>
      <c r="E1046" s="59"/>
      <c r="G1046" s="59"/>
      <c r="AE1046" s="60"/>
      <c r="AF1046" s="60"/>
      <c r="AG1046" s="60"/>
      <c r="AH1046" s="60"/>
      <c r="AX1046" s="66" t="s">
        <v>108</v>
      </c>
      <c r="AY1046" s="58">
        <v>21</v>
      </c>
    </row>
    <row r="1047" spans="1:51" ht="15.75">
      <c r="A1047" s="57">
        <f t="shared" si="252"/>
        <v>1045</v>
      </c>
      <c r="E1047" s="59"/>
      <c r="G1047" s="59"/>
      <c r="AE1047" s="60"/>
      <c r="AF1047" s="60"/>
      <c r="AG1047" s="60"/>
      <c r="AH1047" s="60"/>
      <c r="AX1047" s="66" t="s">
        <v>108</v>
      </c>
      <c r="AY1047" s="58">
        <v>21</v>
      </c>
    </row>
    <row r="1048" spans="1:51" ht="15.75">
      <c r="A1048" s="57">
        <f t="shared" si="252"/>
        <v>1046</v>
      </c>
      <c r="B1048" s="98" t="s">
        <v>397</v>
      </c>
      <c r="E1048" s="59"/>
      <c r="G1048" s="59"/>
      <c r="AE1048" s="60"/>
      <c r="AF1048" s="60"/>
      <c r="AG1048" s="60"/>
      <c r="AH1048" s="60"/>
      <c r="AX1048" s="66" t="s">
        <v>108</v>
      </c>
      <c r="AY1048" s="58">
        <v>21</v>
      </c>
    </row>
    <row r="1049" spans="1:51" ht="15.75">
      <c r="A1049" s="57">
        <f t="shared" si="252"/>
        <v>1047</v>
      </c>
      <c r="B1049" s="64" t="s">
        <v>398</v>
      </c>
      <c r="E1049" s="59"/>
      <c r="G1049" s="59"/>
      <c r="AE1049" s="60"/>
      <c r="AF1049" s="60"/>
      <c r="AG1049" s="60"/>
      <c r="AH1049" s="60"/>
      <c r="AX1049" s="66" t="s">
        <v>108</v>
      </c>
      <c r="AY1049" s="58">
        <v>21</v>
      </c>
    </row>
    <row r="1050" spans="1:51" ht="15.75">
      <c r="A1050" s="57">
        <f t="shared" si="252"/>
        <v>1048</v>
      </c>
      <c r="B1050" s="64" t="s">
        <v>44</v>
      </c>
      <c r="E1050" s="59">
        <f>24+12</f>
        <v>36</v>
      </c>
      <c r="G1050" s="23">
        <v>36</v>
      </c>
      <c r="I1050" s="69">
        <v>86.89</v>
      </c>
      <c r="K1050" s="66">
        <f>ROUND(I1050*$E1050,0)</f>
        <v>3128</v>
      </c>
      <c r="M1050" s="66">
        <f>ROUND(I1050*$G1050,0)</f>
        <v>3128</v>
      </c>
      <c r="O1050" s="69">
        <v>86.89</v>
      </c>
      <c r="Q1050" s="66">
        <f>ROUND(O1050*$G1050,0)</f>
        <v>3128</v>
      </c>
      <c r="AE1050" s="60"/>
      <c r="AF1050" s="60"/>
      <c r="AG1050" s="60"/>
      <c r="AH1050" s="60"/>
      <c r="AU1050" s="69">
        <v>86.89</v>
      </c>
      <c r="AW1050" s="66">
        <f>ROUND(AU1050*$E1050,0)</f>
        <v>3128</v>
      </c>
      <c r="AX1050" s="66" t="s">
        <v>108</v>
      </c>
      <c r="AY1050" s="58">
        <v>21</v>
      </c>
    </row>
    <row r="1051" spans="1:51" ht="15.75">
      <c r="A1051" s="57">
        <f t="shared" si="252"/>
        <v>1049</v>
      </c>
      <c r="B1051" s="64" t="s">
        <v>399</v>
      </c>
      <c r="E1051" s="59">
        <f>7132+621</f>
        <v>7753</v>
      </c>
      <c r="G1051" s="23">
        <f>E1051*($G$1055-$G$1054)/($E$1055-$E$1054)</f>
        <v>7771.329397276788</v>
      </c>
      <c r="I1051" s="69">
        <v>3</v>
      </c>
      <c r="J1051" s="16"/>
      <c r="K1051" s="66">
        <f>ROUND(I1051*$E1051,0)</f>
        <v>23259</v>
      </c>
      <c r="M1051" s="66">
        <f>ROUND(I1051*$G1051,0)</f>
        <v>23314</v>
      </c>
      <c r="O1051" s="69">
        <v>3</v>
      </c>
      <c r="P1051" s="16"/>
      <c r="Q1051" s="66">
        <f>ROUND(O1051*$G1051,0)</f>
        <v>23314</v>
      </c>
      <c r="R1051" s="69">
        <f>ROUND(O1051*$S$1066/$S$1064,2)</f>
        <v>0</v>
      </c>
      <c r="S1051" s="68"/>
      <c r="T1051" s="70"/>
      <c r="U1051" s="66"/>
      <c r="V1051" s="17"/>
      <c r="AE1051" s="60"/>
      <c r="AF1051" s="60"/>
      <c r="AG1051" s="60"/>
      <c r="AH1051" s="60"/>
      <c r="AU1051" s="69">
        <v>3</v>
      </c>
      <c r="AV1051" s="16"/>
      <c r="AW1051" s="32">
        <f>ROUND(AU1051*$E1051,0)</f>
        <v>23259</v>
      </c>
      <c r="AX1051" s="66" t="s">
        <v>108</v>
      </c>
      <c r="AY1051" s="58">
        <v>21</v>
      </c>
    </row>
    <row r="1052" spans="1:51" ht="15.75">
      <c r="A1052" s="57">
        <f t="shared" si="252"/>
        <v>1050</v>
      </c>
      <c r="B1052" s="64" t="s">
        <v>400</v>
      </c>
      <c r="E1052" s="59">
        <f>341789+200317</f>
        <v>542106</v>
      </c>
      <c r="G1052" s="23">
        <f>E1052*($G$1055-$G$1054)/($E$1055-$E$1054)</f>
        <v>543387.6298516871</v>
      </c>
      <c r="I1052" s="76"/>
      <c r="J1052" s="153">
        <v>4.7761</v>
      </c>
      <c r="K1052" s="66">
        <f>ROUND(J1052*$E1052/100,0)</f>
        <v>25892</v>
      </c>
      <c r="M1052" s="66">
        <f>ROUND(J1052*$G1052/100,0)</f>
        <v>25953</v>
      </c>
      <c r="O1052" s="76"/>
      <c r="P1052" s="153">
        <v>4.7761</v>
      </c>
      <c r="Q1052" s="66">
        <f>ROUND(P1052*$G1052/100,0)</f>
        <v>25953</v>
      </c>
      <c r="S1052" s="68"/>
      <c r="T1052" s="70"/>
      <c r="U1052" s="66"/>
      <c r="V1052" s="17"/>
      <c r="AE1052" s="60"/>
      <c r="AF1052" s="60"/>
      <c r="AG1052" s="60"/>
      <c r="AH1052" s="60"/>
      <c r="AU1052" s="76"/>
      <c r="AV1052" s="153">
        <v>4.7761</v>
      </c>
      <c r="AW1052" s="66">
        <f>ROUND(AV1052*$E1052/100,0)</f>
        <v>25892</v>
      </c>
      <c r="AX1052" s="66" t="s">
        <v>108</v>
      </c>
      <c r="AY1052" s="58">
        <v>21</v>
      </c>
    </row>
    <row r="1053" spans="1:51" ht="15.75">
      <c r="A1053" s="57">
        <f t="shared" si="252"/>
        <v>1051</v>
      </c>
      <c r="B1053" s="64" t="s">
        <v>243</v>
      </c>
      <c r="E1053" s="59">
        <v>0</v>
      </c>
      <c r="G1053" s="23">
        <f>E1053*($G$1055-$G$1054)/($E$1055-$E$1054)</f>
        <v>0</v>
      </c>
      <c r="I1053" s="76"/>
      <c r="J1053" s="153">
        <v>4.0104</v>
      </c>
      <c r="K1053" s="66">
        <f>ROUND(J1053*$E1053/100,0)</f>
        <v>0</v>
      </c>
      <c r="M1053" s="66">
        <f>ROUND(J1053*$G1053/100,0)</f>
        <v>0</v>
      </c>
      <c r="O1053" s="76"/>
      <c r="P1053" s="153">
        <v>4.0104</v>
      </c>
      <c r="Q1053" s="66">
        <f>ROUND(P1053*$G1053/100,0)</f>
        <v>0</v>
      </c>
      <c r="S1053" s="68"/>
      <c r="T1053" s="70"/>
      <c r="U1053" s="66"/>
      <c r="V1053" s="17"/>
      <c r="AE1053" s="60"/>
      <c r="AF1053" s="60"/>
      <c r="AG1053" s="60"/>
      <c r="AH1053" s="60"/>
      <c r="AU1053" s="76"/>
      <c r="AV1053" s="153">
        <v>4.0104</v>
      </c>
      <c r="AW1053" s="66">
        <f>ROUND(AV1053*$E1053/100,0)</f>
        <v>0</v>
      </c>
      <c r="AX1053" s="66" t="s">
        <v>108</v>
      </c>
      <c r="AY1053" s="58">
        <v>21</v>
      </c>
    </row>
    <row r="1054" spans="1:51" ht="15.75">
      <c r="A1054" s="57">
        <f t="shared" si="252"/>
        <v>1052</v>
      </c>
      <c r="B1054" s="64" t="s">
        <v>57</v>
      </c>
      <c r="E1054" s="22">
        <v>-2146</v>
      </c>
      <c r="G1054" s="22">
        <v>0</v>
      </c>
      <c r="J1054" s="153"/>
      <c r="K1054" s="81">
        <f>AW1054</f>
        <v>-53</v>
      </c>
      <c r="M1054" s="81">
        <f>ROUND(I1054*$G1054,0)</f>
        <v>0</v>
      </c>
      <c r="P1054" s="153"/>
      <c r="Q1054" s="81">
        <v>0</v>
      </c>
      <c r="S1054" s="68"/>
      <c r="T1054" s="70"/>
      <c r="U1054" s="66"/>
      <c r="V1054" s="17"/>
      <c r="AE1054" s="60"/>
      <c r="AF1054" s="60"/>
      <c r="AG1054" s="60"/>
      <c r="AH1054" s="60"/>
      <c r="AV1054" s="153"/>
      <c r="AW1054" s="22">
        <v>-53</v>
      </c>
      <c r="AX1054" s="66" t="s">
        <v>108</v>
      </c>
      <c r="AY1054" s="58">
        <v>21</v>
      </c>
    </row>
    <row r="1055" spans="1:51" ht="15.75">
      <c r="A1055" s="57">
        <f t="shared" si="252"/>
        <v>1053</v>
      </c>
      <c r="B1055" s="64" t="s">
        <v>401</v>
      </c>
      <c r="E1055" s="17">
        <f>E1053+E1052+E1054</f>
        <v>539960</v>
      </c>
      <c r="G1055" s="17">
        <v>543387.6298516871</v>
      </c>
      <c r="J1055" s="93"/>
      <c r="K1055" s="66">
        <f>SUM(K1050:K1054)</f>
        <v>52226</v>
      </c>
      <c r="M1055" s="66">
        <f>SUM(M1050:M1054)</f>
        <v>52395</v>
      </c>
      <c r="P1055" s="93"/>
      <c r="Q1055" s="66">
        <f>SUM(Q1050:Q1054)</f>
        <v>52395</v>
      </c>
      <c r="V1055" s="17"/>
      <c r="AE1055" s="60"/>
      <c r="AF1055" s="60"/>
      <c r="AG1055" s="60"/>
      <c r="AH1055" s="60"/>
      <c r="AV1055" s="93"/>
      <c r="AW1055" s="66">
        <f>SUM(AW1050:AW1054)</f>
        <v>52226</v>
      </c>
      <c r="AX1055" s="66" t="s">
        <v>108</v>
      </c>
      <c r="AY1055" s="58">
        <v>21</v>
      </c>
    </row>
    <row r="1056" spans="1:51" ht="15.75">
      <c r="A1056" s="57">
        <f t="shared" si="252"/>
        <v>1054</v>
      </c>
      <c r="B1056" s="64" t="s">
        <v>402</v>
      </c>
      <c r="E1056" s="59"/>
      <c r="G1056" s="23"/>
      <c r="J1056" s="93"/>
      <c r="P1056" s="93"/>
      <c r="AE1056" s="60"/>
      <c r="AF1056" s="60"/>
      <c r="AG1056" s="60"/>
      <c r="AH1056" s="60"/>
      <c r="AV1056" s="93"/>
      <c r="AX1056" s="66" t="s">
        <v>108</v>
      </c>
      <c r="AY1056" s="58">
        <v>21</v>
      </c>
    </row>
    <row r="1057" spans="1:51" ht="15.75">
      <c r="A1057" s="57">
        <f t="shared" si="252"/>
        <v>1055</v>
      </c>
      <c r="B1057" s="64" t="s">
        <v>44</v>
      </c>
      <c r="E1057" s="59">
        <f>12+12</f>
        <v>24</v>
      </c>
      <c r="G1057" s="23">
        <v>24</v>
      </c>
      <c r="I1057" s="69">
        <v>86.89</v>
      </c>
      <c r="K1057" s="66">
        <f>ROUND(I1057*$E1057,0)</f>
        <v>2085</v>
      </c>
      <c r="M1057" s="66">
        <f>ROUND(I1057*$G1057,0)</f>
        <v>2085</v>
      </c>
      <c r="O1057" s="69">
        <v>86.89</v>
      </c>
      <c r="Q1057" s="66">
        <f>ROUND(O1057*$G1057,0)</f>
        <v>2085</v>
      </c>
      <c r="AE1057" s="60"/>
      <c r="AF1057" s="60"/>
      <c r="AG1057" s="60"/>
      <c r="AH1057" s="60"/>
      <c r="AU1057" s="69">
        <v>86.89</v>
      </c>
      <c r="AW1057" s="66">
        <f>ROUND(AU1057*$E1057,0)</f>
        <v>2085</v>
      </c>
      <c r="AX1057" s="66" t="s">
        <v>108</v>
      </c>
      <c r="AY1057" s="58">
        <v>21</v>
      </c>
    </row>
    <row r="1058" spans="1:51" ht="15.75">
      <c r="A1058" s="57">
        <f t="shared" si="252"/>
        <v>1056</v>
      </c>
      <c r="B1058" s="64" t="s">
        <v>399</v>
      </c>
      <c r="E1058" s="59">
        <f>14956+16116</f>
        <v>31072</v>
      </c>
      <c r="G1058" s="23">
        <f>E1058*($G$1062-$G$1061)/($E$1062-$E$1061)</f>
        <v>31145.459439208604</v>
      </c>
      <c r="I1058" s="69">
        <v>3</v>
      </c>
      <c r="J1058" s="69"/>
      <c r="K1058" s="66">
        <f>ROUND(I1058*$E1058,0)</f>
        <v>93216</v>
      </c>
      <c r="M1058" s="66">
        <f>ROUND(I1058*$G1058,0)</f>
        <v>93436</v>
      </c>
      <c r="O1058" s="69">
        <v>3</v>
      </c>
      <c r="P1058" s="69"/>
      <c r="Q1058" s="66">
        <f>ROUND(O1058*$G1058,0)</f>
        <v>93436</v>
      </c>
      <c r="R1058" s="69">
        <f>ROUND(O1058*$S$1066/$S$1064,2)</f>
        <v>0</v>
      </c>
      <c r="S1058" s="68"/>
      <c r="T1058" s="70"/>
      <c r="U1058" s="66"/>
      <c r="V1058" s="17"/>
      <c r="AE1058" s="60"/>
      <c r="AF1058" s="60"/>
      <c r="AG1058" s="60"/>
      <c r="AH1058" s="60"/>
      <c r="AU1058" s="69">
        <v>3</v>
      </c>
      <c r="AV1058" s="69"/>
      <c r="AW1058" s="32">
        <f>ROUND(AU1058*$E1058,0)</f>
        <v>93216</v>
      </c>
      <c r="AX1058" s="66" t="s">
        <v>108</v>
      </c>
      <c r="AY1058" s="58">
        <v>21</v>
      </c>
    </row>
    <row r="1059" spans="1:51" ht="15.75">
      <c r="A1059" s="57">
        <f t="shared" si="252"/>
        <v>1057</v>
      </c>
      <c r="B1059" s="64" t="s">
        <v>400</v>
      </c>
      <c r="E1059" s="59">
        <f>1200000+977805</f>
        <v>2177805</v>
      </c>
      <c r="G1059" s="23">
        <f>E1059*($G$1062-$G$1061)/($E$1062-$E$1061)</f>
        <v>2182953.6976701114</v>
      </c>
      <c r="I1059" s="76"/>
      <c r="J1059" s="153">
        <v>3.7576</v>
      </c>
      <c r="K1059" s="66">
        <f>ROUND(J1059*$E1059/100,0)</f>
        <v>81833</v>
      </c>
      <c r="M1059" s="66">
        <f>ROUND(J1059*$G1059/100,0)</f>
        <v>82027</v>
      </c>
      <c r="O1059" s="76"/>
      <c r="P1059" s="153">
        <v>3.7576</v>
      </c>
      <c r="Q1059" s="66">
        <f>ROUND(P1059*$G1059/100,0)</f>
        <v>82027</v>
      </c>
      <c r="S1059" s="68"/>
      <c r="T1059" s="70"/>
      <c r="U1059" s="66"/>
      <c r="V1059" s="17"/>
      <c r="AE1059" s="60"/>
      <c r="AF1059" s="60"/>
      <c r="AG1059" s="60"/>
      <c r="AH1059" s="60"/>
      <c r="AU1059" s="76"/>
      <c r="AV1059" s="153">
        <v>3.7576</v>
      </c>
      <c r="AW1059" s="66">
        <f>ROUND(AV1059*$E1059/100,0)</f>
        <v>81833</v>
      </c>
      <c r="AX1059" s="66" t="s">
        <v>108</v>
      </c>
      <c r="AY1059" s="58">
        <v>21</v>
      </c>
    </row>
    <row r="1060" spans="1:51" ht="15.75">
      <c r="A1060" s="57">
        <f t="shared" si="252"/>
        <v>1058</v>
      </c>
      <c r="B1060" s="64" t="s">
        <v>243</v>
      </c>
      <c r="E1060" s="59">
        <f>354828+2876</f>
        <v>357704</v>
      </c>
      <c r="G1060" s="23">
        <f>E1060*($G$1062-$G$1061)/($E$1062-$E$1061)</f>
        <v>358549.67247820145</v>
      </c>
      <c r="I1060" s="76"/>
      <c r="J1060" s="153">
        <v>3.3139</v>
      </c>
      <c r="K1060" s="66">
        <f>ROUND(J1060*$E1060/100,0)</f>
        <v>11854</v>
      </c>
      <c r="M1060" s="66">
        <f>ROUND(J1060*$G1060/100,0)</f>
        <v>11882</v>
      </c>
      <c r="O1060" s="76"/>
      <c r="P1060" s="153">
        <v>3.3139</v>
      </c>
      <c r="Q1060" s="66">
        <f>ROUND(P1060*$G1060/100,0)</f>
        <v>11882</v>
      </c>
      <c r="S1060" s="68"/>
      <c r="T1060" s="70"/>
      <c r="U1060" s="66"/>
      <c r="V1060" s="17"/>
      <c r="AE1060" s="60"/>
      <c r="AF1060" s="60"/>
      <c r="AG1060" s="60"/>
      <c r="AH1060" s="60"/>
      <c r="AU1060" s="76"/>
      <c r="AV1060" s="153">
        <v>3.3139</v>
      </c>
      <c r="AW1060" s="66">
        <f>ROUND(AV1060*$E1060/100,0)</f>
        <v>11854</v>
      </c>
      <c r="AX1060" s="66" t="s">
        <v>108</v>
      </c>
      <c r="AY1060" s="58">
        <v>21</v>
      </c>
    </row>
    <row r="1061" spans="1:51" ht="15.75">
      <c r="A1061" s="57">
        <f t="shared" si="252"/>
        <v>1059</v>
      </c>
      <c r="B1061" s="64" t="s">
        <v>57</v>
      </c>
      <c r="E1061" s="22">
        <v>-10036</v>
      </c>
      <c r="G1061" s="22">
        <v>0</v>
      </c>
      <c r="I1061" s="16"/>
      <c r="J1061" s="43"/>
      <c r="K1061" s="81">
        <f>AW1061</f>
        <v>-248</v>
      </c>
      <c r="M1061" s="81">
        <v>0</v>
      </c>
      <c r="O1061" s="16"/>
      <c r="P1061" s="43"/>
      <c r="Q1061" s="81">
        <v>0</v>
      </c>
      <c r="S1061" s="68"/>
      <c r="T1061" s="70"/>
      <c r="U1061" s="66"/>
      <c r="V1061" s="17"/>
      <c r="AE1061" s="60"/>
      <c r="AF1061" s="60"/>
      <c r="AG1061" s="60"/>
      <c r="AH1061" s="60"/>
      <c r="AV1061" s="153"/>
      <c r="AW1061" s="22">
        <v>-248</v>
      </c>
      <c r="AX1061" s="66" t="s">
        <v>108</v>
      </c>
      <c r="AY1061" s="58">
        <v>21</v>
      </c>
    </row>
    <row r="1062" spans="1:51" ht="15.75">
      <c r="A1062" s="57">
        <f t="shared" si="252"/>
        <v>1060</v>
      </c>
      <c r="B1062" s="64" t="s">
        <v>401</v>
      </c>
      <c r="E1062" s="17">
        <f>E1060+E1059+E1061</f>
        <v>2525473</v>
      </c>
      <c r="G1062" s="17">
        <v>2541503.3701483128</v>
      </c>
      <c r="J1062" s="93"/>
      <c r="K1062" s="66">
        <f>SUM(K1057:K1061)</f>
        <v>188740</v>
      </c>
      <c r="M1062" s="66">
        <f>SUM(M1057:M1061)</f>
        <v>189430</v>
      </c>
      <c r="P1062" s="93"/>
      <c r="Q1062" s="66">
        <f>SUM(Q1057:Q1061)</f>
        <v>189430</v>
      </c>
      <c r="S1062" s="60"/>
      <c r="T1062" s="60"/>
      <c r="U1062" s="60"/>
      <c r="AE1062" s="60"/>
      <c r="AF1062" s="60"/>
      <c r="AG1062" s="60"/>
      <c r="AH1062" s="60"/>
      <c r="AV1062" s="93"/>
      <c r="AW1062" s="66">
        <f>SUM(AW1057:AW1061)</f>
        <v>188740</v>
      </c>
      <c r="AX1062" s="66" t="s">
        <v>108</v>
      </c>
      <c r="AY1062" s="58">
        <v>21</v>
      </c>
    </row>
    <row r="1063" spans="1:51" ht="15.75">
      <c r="A1063" s="57">
        <f t="shared" si="252"/>
        <v>1061</v>
      </c>
      <c r="B1063" s="64"/>
      <c r="E1063" s="59"/>
      <c r="G1063" s="23"/>
      <c r="J1063" s="93"/>
      <c r="K1063" s="66"/>
      <c r="M1063" s="66"/>
      <c r="P1063" s="93"/>
      <c r="Q1063" s="66"/>
      <c r="S1063" s="60"/>
      <c r="T1063" s="55" t="s">
        <v>59</v>
      </c>
      <c r="U1063" s="66"/>
      <c r="AE1063" s="60"/>
      <c r="AF1063" s="60"/>
      <c r="AG1063" s="60"/>
      <c r="AH1063" s="60"/>
      <c r="AV1063" s="93"/>
      <c r="AW1063" s="66"/>
      <c r="AX1063" s="66" t="s">
        <v>108</v>
      </c>
      <c r="AY1063" s="58">
        <v>21</v>
      </c>
    </row>
    <row r="1064" spans="1:51" ht="16.5" thickBot="1">
      <c r="A1064" s="57">
        <f t="shared" si="252"/>
        <v>1062</v>
      </c>
      <c r="B1064" s="64" t="s">
        <v>58</v>
      </c>
      <c r="E1064" s="44">
        <f>E1062+E1055</f>
        <v>3065433</v>
      </c>
      <c r="G1064" s="44">
        <f>G1062+G1055</f>
        <v>3084891</v>
      </c>
      <c r="I1064" s="96"/>
      <c r="J1064" s="96"/>
      <c r="K1064" s="45">
        <f>K1062+K1055</f>
        <v>240966</v>
      </c>
      <c r="M1064" s="45">
        <f>M1062+M1055</f>
        <v>241825</v>
      </c>
      <c r="O1064" s="96"/>
      <c r="P1064" s="96"/>
      <c r="Q1064" s="45">
        <f>Q1062+Q1055</f>
        <v>241825</v>
      </c>
      <c r="R1064" s="85" t="s">
        <v>59</v>
      </c>
      <c r="S1064" s="86">
        <f>Q1064</f>
        <v>241825</v>
      </c>
      <c r="T1064" s="55" t="s">
        <v>61</v>
      </c>
      <c r="U1064" s="66"/>
      <c r="V1064" s="60"/>
      <c r="W1064" s="60"/>
      <c r="AE1064" s="60"/>
      <c r="AF1064" s="60"/>
      <c r="AG1064" s="60"/>
      <c r="AH1064" s="60"/>
      <c r="AU1064" s="96"/>
      <c r="AV1064" s="96"/>
      <c r="AW1064" s="45">
        <f>AW1062+AW1055</f>
        <v>240966</v>
      </c>
      <c r="AX1064" s="66" t="s">
        <v>108</v>
      </c>
      <c r="AY1064" s="58">
        <v>21</v>
      </c>
    </row>
    <row r="1065" spans="1:51" ht="16.5" thickTop="1">
      <c r="A1065" s="57">
        <f t="shared" si="252"/>
        <v>1063</v>
      </c>
      <c r="B1065" s="64" t="s">
        <v>60</v>
      </c>
      <c r="E1065" s="59"/>
      <c r="G1065" s="59"/>
      <c r="I1065" s="76"/>
      <c r="J1065" s="26">
        <v>0</v>
      </c>
      <c r="K1065" s="81">
        <f>ROUND(SUM(K1051:K1053,K1058:K1060)*J1065,0)</f>
        <v>0</v>
      </c>
      <c r="M1065" s="81">
        <f>ROUND(SUM(M1051:M1053,M1058:M1060)*J1065,0)</f>
        <v>0</v>
      </c>
      <c r="O1065" s="76"/>
      <c r="P1065" s="26">
        <v>0</v>
      </c>
      <c r="Q1065" s="81">
        <f>ROUND(SUM(Q1051:Q1053,Q1058:Q1060)*P1065,0)</f>
        <v>0</v>
      </c>
      <c r="R1065" s="88" t="s">
        <v>61</v>
      </c>
      <c r="S1065" s="89">
        <v>241825</v>
      </c>
      <c r="V1065" s="60"/>
      <c r="W1065" s="60"/>
      <c r="AE1065" s="60"/>
      <c r="AF1065" s="60"/>
      <c r="AG1065" s="60"/>
      <c r="AH1065" s="60"/>
      <c r="AU1065" s="76"/>
      <c r="AV1065" s="26">
        <v>0.0357</v>
      </c>
      <c r="AW1065" s="81">
        <f>ROUND(SUM(AW1051:AW1053,AW1058:AW1060)*AV1065,0)</f>
        <v>8427</v>
      </c>
      <c r="AX1065" s="66" t="s">
        <v>108</v>
      </c>
      <c r="AY1065" s="58">
        <v>21</v>
      </c>
    </row>
    <row r="1066" spans="1:51" ht="15.75">
      <c r="A1066" s="57">
        <f t="shared" si="252"/>
        <v>1064</v>
      </c>
      <c r="B1066" s="64" t="s">
        <v>62</v>
      </c>
      <c r="E1066" s="59"/>
      <c r="G1066" s="59"/>
      <c r="I1066" s="76"/>
      <c r="J1066" s="26">
        <v>0.0304</v>
      </c>
      <c r="K1066" s="81">
        <f>ROUND(SUM(K1051:K1053,K1058:K1060,K1065)*J1066,0)</f>
        <v>7176</v>
      </c>
      <c r="M1066" s="81">
        <f>ROUND(SUM(M1051:M1053,M1058:M1060,M1065)*J1066,0)</f>
        <v>7193</v>
      </c>
      <c r="O1066" s="76"/>
      <c r="P1066" s="26">
        <v>0.0304</v>
      </c>
      <c r="Q1066" s="81">
        <f>ROUND(SUM(Q1051:Q1053,Q1058:Q1060,Q1065)*P1066,0)</f>
        <v>7193</v>
      </c>
      <c r="R1066" s="90" t="s">
        <v>515</v>
      </c>
      <c r="S1066" s="91">
        <f>S1065-S1064</f>
        <v>0</v>
      </c>
      <c r="T1066" s="55" t="s">
        <v>515</v>
      </c>
      <c r="U1066" s="66"/>
      <c r="V1066" s="60"/>
      <c r="W1066" s="60"/>
      <c r="AG1066" s="60"/>
      <c r="AH1066" s="60"/>
      <c r="AU1066" s="76"/>
      <c r="AV1066" s="26"/>
      <c r="AW1066" s="81">
        <f>ROUND(SUM(AW1051:AW1053,AW1058:AW1060,AW1065)*AV1066,0)</f>
        <v>0</v>
      </c>
      <c r="AX1066" s="66" t="s">
        <v>108</v>
      </c>
      <c r="AY1066" s="58">
        <v>21</v>
      </c>
    </row>
    <row r="1067" spans="1:51" ht="15.75">
      <c r="A1067" s="57">
        <f t="shared" si="252"/>
        <v>1065</v>
      </c>
      <c r="E1067" s="59"/>
      <c r="G1067" s="59"/>
      <c r="R1067" s="55"/>
      <c r="AE1067" s="60"/>
      <c r="AF1067" s="60"/>
      <c r="AG1067" s="60"/>
      <c r="AH1067" s="60"/>
      <c r="AX1067" s="66" t="s">
        <v>108</v>
      </c>
      <c r="AY1067" s="58">
        <v>21</v>
      </c>
    </row>
    <row r="1068" spans="1:51" ht="15.75">
      <c r="A1068" s="57">
        <f aca="true" t="shared" si="254" ref="A1068:A1131">A1067+1</f>
        <v>1066</v>
      </c>
      <c r="AE1068" s="60"/>
      <c r="AF1068" s="60"/>
      <c r="AG1068" s="60"/>
      <c r="AH1068" s="60"/>
      <c r="AX1068" s="66" t="s">
        <v>108</v>
      </c>
      <c r="AY1068" s="58">
        <v>21</v>
      </c>
    </row>
    <row r="1069" spans="1:51" ht="15.75">
      <c r="A1069" s="57">
        <f t="shared" si="254"/>
        <v>1067</v>
      </c>
      <c r="B1069" s="64" t="s">
        <v>403</v>
      </c>
      <c r="E1069" s="59"/>
      <c r="G1069" s="59"/>
      <c r="J1069" s="93"/>
      <c r="P1069" s="93"/>
      <c r="AE1069" s="60"/>
      <c r="AF1069" s="60"/>
      <c r="AG1069" s="60"/>
      <c r="AH1069" s="60"/>
      <c r="AV1069" s="93"/>
      <c r="AX1069" s="66" t="s">
        <v>99</v>
      </c>
      <c r="AY1069" s="58">
        <v>31</v>
      </c>
    </row>
    <row r="1070" spans="1:51" ht="15.75">
      <c r="A1070" s="57">
        <f t="shared" si="254"/>
        <v>1068</v>
      </c>
      <c r="B1070" s="64" t="s">
        <v>404</v>
      </c>
      <c r="E1070" s="59"/>
      <c r="G1070" s="59"/>
      <c r="J1070" s="93"/>
      <c r="P1070" s="93"/>
      <c r="AE1070" s="60"/>
      <c r="AF1070" s="60"/>
      <c r="AG1070" s="60"/>
      <c r="AH1070" s="60"/>
      <c r="AV1070" s="93"/>
      <c r="AX1070" s="66" t="s">
        <v>99</v>
      </c>
      <c r="AY1070" s="58">
        <v>31</v>
      </c>
    </row>
    <row r="1071" spans="1:51" ht="15.75">
      <c r="A1071" s="57">
        <f t="shared" si="254"/>
        <v>1069</v>
      </c>
      <c r="B1071" s="64" t="s">
        <v>225</v>
      </c>
      <c r="E1071" s="59"/>
      <c r="G1071" s="59"/>
      <c r="J1071" s="93"/>
      <c r="P1071" s="93"/>
      <c r="R1071" s="60"/>
      <c r="S1071" s="60"/>
      <c r="AE1071" s="60"/>
      <c r="AF1071" s="60"/>
      <c r="AG1071" s="60"/>
      <c r="AH1071" s="60"/>
      <c r="AV1071" s="93"/>
      <c r="AX1071" s="66" t="s">
        <v>99</v>
      </c>
      <c r="AY1071" s="58">
        <v>31</v>
      </c>
    </row>
    <row r="1072" spans="1:51" ht="15.75">
      <c r="A1072" s="57">
        <f t="shared" si="254"/>
        <v>1070</v>
      </c>
      <c r="E1072" s="59"/>
      <c r="G1072" s="59"/>
      <c r="I1072" s="24"/>
      <c r="J1072" s="93"/>
      <c r="K1072" s="66"/>
      <c r="M1072" s="66"/>
      <c r="O1072" s="24"/>
      <c r="P1072" s="93"/>
      <c r="Q1072" s="66"/>
      <c r="AE1072" s="60"/>
      <c r="AF1072" s="60"/>
      <c r="AG1072" s="60"/>
      <c r="AH1072" s="60"/>
      <c r="AU1072" s="24"/>
      <c r="AV1072" s="93"/>
      <c r="AW1072" s="66"/>
      <c r="AX1072" s="66" t="s">
        <v>99</v>
      </c>
      <c r="AY1072" s="58">
        <v>31</v>
      </c>
    </row>
    <row r="1073" spans="1:51" ht="15.75">
      <c r="A1073" s="57">
        <f t="shared" si="254"/>
        <v>1071</v>
      </c>
      <c r="B1073" s="64" t="s">
        <v>405</v>
      </c>
      <c r="E1073" s="59"/>
      <c r="G1073" s="59"/>
      <c r="I1073" s="24"/>
      <c r="O1073" s="24"/>
      <c r="AE1073" s="60"/>
      <c r="AF1073" s="60"/>
      <c r="AG1073" s="60"/>
      <c r="AH1073" s="60"/>
      <c r="AU1073" s="24"/>
      <c r="AX1073" s="66" t="s">
        <v>99</v>
      </c>
      <c r="AY1073" s="58">
        <v>31</v>
      </c>
    </row>
    <row r="1074" spans="1:51" ht="15.75">
      <c r="A1074" s="57">
        <f t="shared" si="254"/>
        <v>1072</v>
      </c>
      <c r="B1074" s="64" t="s">
        <v>406</v>
      </c>
      <c r="E1074" s="59">
        <v>0</v>
      </c>
      <c r="G1074" s="59">
        <f>E1074*$G$1125/$E$1125</f>
        <v>0</v>
      </c>
      <c r="I1074" s="69">
        <v>54.06</v>
      </c>
      <c r="K1074" s="66">
        <f>ROUND(I1074*$E1074,0)</f>
        <v>0</v>
      </c>
      <c r="M1074" s="66">
        <f>ROUND(I1074*$G1074,0)</f>
        <v>0</v>
      </c>
      <c r="O1074" s="69">
        <v>55</v>
      </c>
      <c r="Q1074" s="66">
        <f>ROUND(O1074*$G1074,0)</f>
        <v>0</v>
      </c>
      <c r="AE1074" s="60"/>
      <c r="AF1074" s="60"/>
      <c r="AG1074" s="60"/>
      <c r="AH1074" s="60"/>
      <c r="AU1074" s="69">
        <v>54.06</v>
      </c>
      <c r="AW1074" s="66">
        <f>ROUND(AU1074*$E1074,0)</f>
        <v>0</v>
      </c>
      <c r="AX1074" s="66" t="s">
        <v>99</v>
      </c>
      <c r="AY1074" s="58">
        <v>31</v>
      </c>
    </row>
    <row r="1075" spans="1:51" ht="15.75">
      <c r="A1075" s="57">
        <f t="shared" si="254"/>
        <v>1073</v>
      </c>
      <c r="B1075" s="64" t="s">
        <v>407</v>
      </c>
      <c r="E1075" s="59">
        <v>0</v>
      </c>
      <c r="G1075" s="59">
        <f>E1075*$G$1125/$E$1125</f>
        <v>0</v>
      </c>
      <c r="I1075" s="69">
        <v>3.01</v>
      </c>
      <c r="K1075" s="66">
        <f>ROUND(I1075*$E1075,0)</f>
        <v>0</v>
      </c>
      <c r="M1075" s="66">
        <f>ROUND(I1075*$G1075,0)</f>
        <v>0</v>
      </c>
      <c r="O1075" s="69">
        <v>3.15</v>
      </c>
      <c r="Q1075" s="66">
        <f>ROUND(O1075*$G1075,0)</f>
        <v>0</v>
      </c>
      <c r="R1075" s="69">
        <f>ROUND(O1075*$S$1100/$S$1098,2)</f>
        <v>0</v>
      </c>
      <c r="S1075" s="68"/>
      <c r="T1075" s="154"/>
      <c r="U1075" s="66"/>
      <c r="V1075" s="17">
        <f>E1075</f>
        <v>0</v>
      </c>
      <c r="AE1075" s="60"/>
      <c r="AF1075" s="60"/>
      <c r="AG1075" s="60"/>
      <c r="AH1075" s="60"/>
      <c r="AU1075" s="69">
        <v>2.78</v>
      </c>
      <c r="AW1075" s="66">
        <f>ROUND(AU1075*$E1075,0)</f>
        <v>0</v>
      </c>
      <c r="AX1075" s="66" t="s">
        <v>99</v>
      </c>
      <c r="AY1075" s="58">
        <v>31</v>
      </c>
    </row>
    <row r="1076" spans="1:51" ht="15.75">
      <c r="A1076" s="57">
        <f t="shared" si="254"/>
        <v>1074</v>
      </c>
      <c r="B1076" s="64" t="s">
        <v>408</v>
      </c>
      <c r="E1076" s="59"/>
      <c r="G1076" s="59"/>
      <c r="I1076" s="76"/>
      <c r="K1076" s="66"/>
      <c r="M1076" s="66"/>
      <c r="O1076" s="76"/>
      <c r="Q1076" s="66"/>
      <c r="AE1076" s="60"/>
      <c r="AF1076" s="60"/>
      <c r="AG1076" s="60"/>
      <c r="AH1076" s="60"/>
      <c r="AU1076" s="76"/>
      <c r="AW1076" s="66"/>
      <c r="AX1076" s="66" t="s">
        <v>99</v>
      </c>
      <c r="AY1076" s="58">
        <v>31</v>
      </c>
    </row>
    <row r="1077" spans="1:51" ht="15.75">
      <c r="A1077" s="57">
        <f t="shared" si="254"/>
        <v>1075</v>
      </c>
      <c r="B1077" s="64" t="s">
        <v>409</v>
      </c>
      <c r="E1077" s="59">
        <v>0</v>
      </c>
      <c r="G1077" s="59">
        <f>E1077*$G$1125/$E$1125</f>
        <v>0</v>
      </c>
      <c r="I1077" s="155">
        <v>0.41290000000000004</v>
      </c>
      <c r="K1077" s="66">
        <f>ROUND(I1077*$E1077,0)</f>
        <v>0</v>
      </c>
      <c r="M1077" s="66">
        <f>ROUND(I1077*$G1077,0)</f>
        <v>0</v>
      </c>
      <c r="O1077" s="155">
        <v>0.43270000000000003</v>
      </c>
      <c r="Q1077" s="66">
        <f>ROUND(O1077*$G1077,0)</f>
        <v>0</v>
      </c>
      <c r="R1077" s="155">
        <f>ROUND(O1077*$S$1100/$S$1098,4)</f>
        <v>0</v>
      </c>
      <c r="S1077" s="68"/>
      <c r="T1077" s="154"/>
      <c r="U1077" s="66"/>
      <c r="V1077" s="17">
        <f>E1077</f>
        <v>0</v>
      </c>
      <c r="AE1077" s="60"/>
      <c r="AF1077" s="60"/>
      <c r="AG1077" s="60"/>
      <c r="AH1077" s="60"/>
      <c r="AU1077" s="155">
        <v>0.3785</v>
      </c>
      <c r="AW1077" s="66">
        <f>ROUND(AU1077*$E1077,0)</f>
        <v>0</v>
      </c>
      <c r="AX1077" s="66" t="s">
        <v>99</v>
      </c>
      <c r="AY1077" s="58">
        <v>31</v>
      </c>
    </row>
    <row r="1078" spans="1:51" ht="15.75">
      <c r="A1078" s="57">
        <f t="shared" si="254"/>
        <v>1076</v>
      </c>
      <c r="B1078" s="64" t="s">
        <v>410</v>
      </c>
      <c r="E1078" s="59">
        <v>0</v>
      </c>
      <c r="G1078" s="59">
        <f>E1078*$G$1125/$E$1125</f>
        <v>0</v>
      </c>
      <c r="I1078" s="156">
        <f>I1077*0.5</f>
        <v>0.20645000000000002</v>
      </c>
      <c r="K1078" s="66">
        <f>ROUND(I1078*$E1078,0)</f>
        <v>0</v>
      </c>
      <c r="M1078" s="66">
        <f>ROUND(I1078*$G1078,0)</f>
        <v>0</v>
      </c>
      <c r="O1078" s="156">
        <f>O1077*0.5</f>
        <v>0.21635000000000001</v>
      </c>
      <c r="Q1078" s="66">
        <f>ROUND(O1078*$G1078,0)</f>
        <v>0</v>
      </c>
      <c r="R1078" s="24"/>
      <c r="V1078" s="55">
        <f>E1078</f>
        <v>0</v>
      </c>
      <c r="AE1078" s="60"/>
      <c r="AF1078" s="60"/>
      <c r="AG1078" s="60"/>
      <c r="AH1078" s="60"/>
      <c r="AU1078" s="156">
        <f>AU1077*0.5</f>
        <v>0.18925</v>
      </c>
      <c r="AW1078" s="66">
        <f>ROUND(AU1078*$E1078,0)</f>
        <v>0</v>
      </c>
      <c r="AX1078" s="66" t="s">
        <v>99</v>
      </c>
      <c r="AY1078" s="58">
        <v>31</v>
      </c>
    </row>
    <row r="1079" spans="1:51" ht="15.75">
      <c r="A1079" s="57">
        <f t="shared" si="254"/>
        <v>1077</v>
      </c>
      <c r="B1079" s="64" t="s">
        <v>411</v>
      </c>
      <c r="E1079" s="59">
        <v>0</v>
      </c>
      <c r="G1079" s="59">
        <f>E1079*$G$1125/$E$1125</f>
        <v>0</v>
      </c>
      <c r="I1079" s="69">
        <v>38.89</v>
      </c>
      <c r="K1079" s="66">
        <f>ROUND(I1079*$E1079,0)</f>
        <v>0</v>
      </c>
      <c r="M1079" s="66">
        <f>ROUND(I1079*$G1079,0)</f>
        <v>0</v>
      </c>
      <c r="O1079" s="69">
        <v>40.76</v>
      </c>
      <c r="Q1079" s="66">
        <f>ROUND(O1079*$G1079,0)</f>
        <v>0</v>
      </c>
      <c r="R1079" s="69">
        <f>ROUND(O1079*$S$1100/$S$1098,2)</f>
        <v>0</v>
      </c>
      <c r="S1079" s="68"/>
      <c r="T1079" s="154"/>
      <c r="U1079" s="66"/>
      <c r="V1079" s="17">
        <f>E1079</f>
        <v>0</v>
      </c>
      <c r="AE1079" s="60"/>
      <c r="AF1079" s="60"/>
      <c r="AG1079" s="60"/>
      <c r="AH1079" s="60"/>
      <c r="AU1079" s="69">
        <v>35.74</v>
      </c>
      <c r="AW1079" s="66">
        <f>ROUND(AU1079*$E1079,0)</f>
        <v>0</v>
      </c>
      <c r="AX1079" s="66" t="s">
        <v>99</v>
      </c>
      <c r="AY1079" s="58">
        <v>31</v>
      </c>
    </row>
    <row r="1080" spans="1:51" ht="15.75">
      <c r="A1080" s="57">
        <f t="shared" si="254"/>
        <v>1078</v>
      </c>
      <c r="E1080" s="59"/>
      <c r="G1080" s="59"/>
      <c r="J1080" s="93"/>
      <c r="P1080" s="93"/>
      <c r="AE1080" s="60"/>
      <c r="AF1080" s="60"/>
      <c r="AG1080" s="60"/>
      <c r="AH1080" s="60"/>
      <c r="AV1080" s="93"/>
      <c r="AX1080" s="66" t="s">
        <v>99</v>
      </c>
      <c r="AY1080" s="58">
        <v>31</v>
      </c>
    </row>
    <row r="1081" spans="1:51" ht="15.75">
      <c r="A1081" s="57">
        <f t="shared" si="254"/>
        <v>1079</v>
      </c>
      <c r="B1081" s="64" t="s">
        <v>412</v>
      </c>
      <c r="E1081" s="59"/>
      <c r="G1081" s="59"/>
      <c r="J1081" s="93"/>
      <c r="P1081" s="93"/>
      <c r="AE1081" s="60"/>
      <c r="AF1081" s="60"/>
      <c r="AG1081" s="60"/>
      <c r="AH1081" s="60"/>
      <c r="AV1081" s="93"/>
      <c r="AX1081" s="66" t="s">
        <v>99</v>
      </c>
      <c r="AY1081" s="58">
        <v>31</v>
      </c>
    </row>
    <row r="1082" spans="1:51" ht="15.75">
      <c r="A1082" s="57">
        <f t="shared" si="254"/>
        <v>1080</v>
      </c>
      <c r="B1082" s="64" t="s">
        <v>406</v>
      </c>
      <c r="E1082" s="59">
        <f>12+12</f>
        <v>24</v>
      </c>
      <c r="G1082" s="59">
        <v>24</v>
      </c>
      <c r="I1082" s="69">
        <v>245.73</v>
      </c>
      <c r="J1082" s="93"/>
      <c r="K1082" s="66">
        <f>ROUND(I1082*$E1082,0)</f>
        <v>5898</v>
      </c>
      <c r="M1082" s="66">
        <f>ROUND(I1082*$G1082,0)</f>
        <v>5898</v>
      </c>
      <c r="O1082" s="69">
        <v>250</v>
      </c>
      <c r="P1082" s="93"/>
      <c r="Q1082" s="66">
        <f>ROUND(O1082*$G1082,0)</f>
        <v>6000</v>
      </c>
      <c r="AE1082" s="60"/>
      <c r="AF1082" s="60"/>
      <c r="AG1082" s="60"/>
      <c r="AH1082" s="60"/>
      <c r="AU1082" s="69">
        <v>245.73</v>
      </c>
      <c r="AV1082" s="93"/>
      <c r="AW1082" s="66">
        <f>ROUND(AU1082*$E1082,0)</f>
        <v>5898</v>
      </c>
      <c r="AX1082" s="66" t="s">
        <v>99</v>
      </c>
      <c r="AY1082" s="58">
        <v>31</v>
      </c>
    </row>
    <row r="1083" spans="1:51" ht="15.75">
      <c r="A1083" s="57">
        <f t="shared" si="254"/>
        <v>1081</v>
      </c>
      <c r="B1083" s="64" t="s">
        <v>407</v>
      </c>
      <c r="E1083" s="59">
        <f>11900+23400</f>
        <v>35300</v>
      </c>
      <c r="G1083" s="59">
        <f>E1083*$G$1125/$E$1125</f>
        <v>35171.90372475503</v>
      </c>
      <c r="I1083" s="69">
        <v>2.36</v>
      </c>
      <c r="J1083" s="93"/>
      <c r="K1083" s="66">
        <f>ROUND(I1083*$E1083,0)</f>
        <v>83308</v>
      </c>
      <c r="M1083" s="66">
        <f>ROUND(I1083*$G1083,0)</f>
        <v>83006</v>
      </c>
      <c r="O1083" s="69">
        <v>2.47</v>
      </c>
      <c r="P1083" s="93"/>
      <c r="Q1083" s="66">
        <f>ROUND(O1083*$G1083,0)</f>
        <v>86875</v>
      </c>
      <c r="R1083" s="69">
        <f>ROUND(O1083*$S$1100/$S$1098,2)</f>
        <v>0</v>
      </c>
      <c r="S1083" s="68"/>
      <c r="T1083" s="154">
        <f>M1083/SUM($M$1083:$M$1087)</f>
        <v>0.4321361078283867</v>
      </c>
      <c r="U1083" s="66">
        <f>T1083*$S$1100</f>
        <v>7.923944668178894</v>
      </c>
      <c r="V1083" s="17">
        <f>E1083</f>
        <v>35300</v>
      </c>
      <c r="AE1083" s="60"/>
      <c r="AF1083" s="60"/>
      <c r="AG1083" s="60"/>
      <c r="AH1083" s="60"/>
      <c r="AU1083" s="69">
        <v>2.19</v>
      </c>
      <c r="AV1083" s="93"/>
      <c r="AW1083" s="66">
        <f>ROUND(AU1083*$E1083,0)</f>
        <v>77307</v>
      </c>
      <c r="AX1083" s="66" t="s">
        <v>99</v>
      </c>
      <c r="AY1083" s="58">
        <v>31</v>
      </c>
    </row>
    <row r="1084" spans="1:51" ht="15.75">
      <c r="A1084" s="57">
        <f t="shared" si="254"/>
        <v>1082</v>
      </c>
      <c r="B1084" s="64" t="s">
        <v>408</v>
      </c>
      <c r="E1084" s="59"/>
      <c r="G1084" s="59"/>
      <c r="I1084" s="69"/>
      <c r="J1084" s="93"/>
      <c r="K1084" s="66"/>
      <c r="M1084" s="66"/>
      <c r="O1084" s="69"/>
      <c r="P1084" s="93"/>
      <c r="Q1084" s="66"/>
      <c r="AE1084" s="60"/>
      <c r="AF1084" s="60"/>
      <c r="AG1084" s="60"/>
      <c r="AH1084" s="60"/>
      <c r="AU1084" s="69"/>
      <c r="AV1084" s="93"/>
      <c r="AW1084" s="66"/>
      <c r="AX1084" s="66" t="s">
        <v>99</v>
      </c>
      <c r="AY1084" s="58">
        <v>31</v>
      </c>
    </row>
    <row r="1085" spans="1:51" ht="15.75">
      <c r="A1085" s="57">
        <f t="shared" si="254"/>
        <v>1083</v>
      </c>
      <c r="B1085" s="64" t="s">
        <v>409</v>
      </c>
      <c r="E1085" s="59">
        <f>98473+139694-768</f>
        <v>237399</v>
      </c>
      <c r="G1085" s="59">
        <f>E1085*$G$1125/$E$1125</f>
        <v>236537.5289618447</v>
      </c>
      <c r="I1085" s="155">
        <v>0.4017</v>
      </c>
      <c r="J1085" s="93"/>
      <c r="K1085" s="66">
        <f>ROUND(I1085*$E1085,0)</f>
        <v>95363</v>
      </c>
      <c r="M1085" s="66">
        <f>ROUND(I1085*$G1085,0)</f>
        <v>95017</v>
      </c>
      <c r="O1085" s="155">
        <v>0.421</v>
      </c>
      <c r="P1085" s="93"/>
      <c r="Q1085" s="66">
        <f>ROUND(O1085*$G1085,0)</f>
        <v>99582</v>
      </c>
      <c r="R1085" s="155">
        <f>ROUND(O1085*$S$1100/$S$1098,4)</f>
        <v>0</v>
      </c>
      <c r="S1085" s="68"/>
      <c r="T1085" s="154">
        <f>M1085/SUM($M$1083:$M$1087)</f>
        <v>0.49466636818458687</v>
      </c>
      <c r="U1085" s="66">
        <f>T1085*$S$1100</f>
        <v>9.070542497365901</v>
      </c>
      <c r="V1085" s="17">
        <f>E1085</f>
        <v>237399</v>
      </c>
      <c r="AE1085" s="60"/>
      <c r="AF1085" s="60"/>
      <c r="AG1085" s="60"/>
      <c r="AH1085" s="60"/>
      <c r="AU1085" s="155">
        <v>0.3711</v>
      </c>
      <c r="AV1085" s="93"/>
      <c r="AW1085" s="66">
        <f>ROUND(AU1085*$E1085,0)</f>
        <v>88099</v>
      </c>
      <c r="AX1085" s="66" t="s">
        <v>99</v>
      </c>
      <c r="AY1085" s="58">
        <v>31</v>
      </c>
    </row>
    <row r="1086" spans="1:51" ht="15.75">
      <c r="A1086" s="57">
        <f t="shared" si="254"/>
        <v>1084</v>
      </c>
      <c r="B1086" s="64" t="s">
        <v>410</v>
      </c>
      <c r="E1086" s="59">
        <f>0+23305</f>
        <v>23305</v>
      </c>
      <c r="G1086" s="59">
        <f>E1086*$G$1125/$E$1125</f>
        <v>23220.43105681065</v>
      </c>
      <c r="I1086" s="156">
        <f>I1085*0.5</f>
        <v>0.20085</v>
      </c>
      <c r="J1086" s="93"/>
      <c r="K1086" s="66">
        <f>ROUND(I1086*$E1086,0)</f>
        <v>4681</v>
      </c>
      <c r="M1086" s="66">
        <f>ROUND(I1086*$G1086,0)</f>
        <v>4664</v>
      </c>
      <c r="O1086" s="156">
        <f>O1085*0.5</f>
        <v>0.2105</v>
      </c>
      <c r="P1086" s="93"/>
      <c r="Q1086" s="66">
        <f>ROUND(O1086*$G1086,0)</f>
        <v>4888</v>
      </c>
      <c r="R1086" s="24"/>
      <c r="T1086" s="154">
        <f>M1086/SUM($M$1083:$M$1087)</f>
        <v>0.024281170119167236</v>
      </c>
      <c r="U1086" s="66">
        <f>T1086*$S$1100</f>
        <v>0.4452362230728666</v>
      </c>
      <c r="V1086" s="17">
        <f>E1086</f>
        <v>23305</v>
      </c>
      <c r="AE1086" s="60"/>
      <c r="AF1086" s="60"/>
      <c r="AG1086" s="60"/>
      <c r="AH1086" s="60"/>
      <c r="AU1086" s="156">
        <f>AU1085/2</f>
        <v>0.18555</v>
      </c>
      <c r="AV1086" s="93"/>
      <c r="AW1086" s="66">
        <f>ROUND(AU1086*$E1086,0)</f>
        <v>4324</v>
      </c>
      <c r="AX1086" s="66" t="s">
        <v>99</v>
      </c>
      <c r="AY1086" s="58">
        <v>31</v>
      </c>
    </row>
    <row r="1087" spans="1:51" ht="15.75">
      <c r="A1087" s="57">
        <f t="shared" si="254"/>
        <v>1085</v>
      </c>
      <c r="B1087" s="64" t="s">
        <v>411</v>
      </c>
      <c r="E1087" s="59">
        <f>251+7</f>
        <v>258</v>
      </c>
      <c r="G1087" s="59">
        <f>E1087*$G$1125/$E$1125</f>
        <v>257.0637722659149</v>
      </c>
      <c r="I1087" s="69">
        <v>36.55</v>
      </c>
      <c r="J1087" s="93"/>
      <c r="K1087" s="66">
        <f>ROUND(I1087*$E1087,0)</f>
        <v>9430</v>
      </c>
      <c r="M1087" s="66">
        <f>ROUND(I1087*$G1087,0)</f>
        <v>9396</v>
      </c>
      <c r="O1087" s="69">
        <v>38.3</v>
      </c>
      <c r="P1087" s="93"/>
      <c r="Q1087" s="66">
        <f>ROUND(O1087*$G1087,0)</f>
        <v>9846</v>
      </c>
      <c r="R1087" s="69">
        <f>ROUND(O1087*$S$1100/$S$1098,2)</f>
        <v>0</v>
      </c>
      <c r="S1087" s="68"/>
      <c r="T1087" s="154">
        <f>M1087/SUM($M$1083:$M$1087)</f>
        <v>0.048916353867859204</v>
      </c>
      <c r="U1087" s="66">
        <f>T1087*$S$1100</f>
        <v>0.896963883360346</v>
      </c>
      <c r="V1087" s="17">
        <f>E1087</f>
        <v>258</v>
      </c>
      <c r="AE1087" s="60"/>
      <c r="AF1087" s="60"/>
      <c r="AG1087" s="60"/>
      <c r="AH1087" s="60"/>
      <c r="AU1087" s="69">
        <v>33.59</v>
      </c>
      <c r="AV1087" s="93"/>
      <c r="AW1087" s="66">
        <f>ROUND(AU1087*$E1087,0)</f>
        <v>8666</v>
      </c>
      <c r="AX1087" s="66" t="s">
        <v>99</v>
      </c>
      <c r="AY1087" s="58">
        <v>31</v>
      </c>
    </row>
    <row r="1088" spans="1:51" ht="15.75">
      <c r="A1088" s="57">
        <f t="shared" si="254"/>
        <v>1086</v>
      </c>
      <c r="E1088" s="59"/>
      <c r="G1088" s="59"/>
      <c r="J1088" s="93"/>
      <c r="K1088" s="66"/>
      <c r="M1088" s="66"/>
      <c r="P1088" s="93"/>
      <c r="Q1088" s="66"/>
      <c r="AE1088" s="60"/>
      <c r="AF1088" s="60"/>
      <c r="AG1088" s="60"/>
      <c r="AH1088" s="60"/>
      <c r="AV1088" s="93"/>
      <c r="AW1088" s="66"/>
      <c r="AX1088" s="66" t="s">
        <v>99</v>
      </c>
      <c r="AY1088" s="58">
        <v>31</v>
      </c>
    </row>
    <row r="1089" spans="1:51" ht="15.75">
      <c r="A1089" s="57">
        <f t="shared" si="254"/>
        <v>1087</v>
      </c>
      <c r="B1089" s="64" t="s">
        <v>413</v>
      </c>
      <c r="E1089" s="59"/>
      <c r="G1089" s="59"/>
      <c r="AE1089" s="60"/>
      <c r="AF1089" s="60"/>
      <c r="AG1089" s="60"/>
      <c r="AH1089" s="60"/>
      <c r="AX1089" s="66" t="s">
        <v>99</v>
      </c>
      <c r="AY1089" s="58">
        <v>31</v>
      </c>
    </row>
    <row r="1090" spans="1:51" ht="15.75">
      <c r="A1090" s="57">
        <f t="shared" si="254"/>
        <v>1088</v>
      </c>
      <c r="B1090" s="64" t="s">
        <v>406</v>
      </c>
      <c r="E1090" s="59">
        <v>0</v>
      </c>
      <c r="G1090" s="59">
        <f>E1090*$G$1125/$E$1125</f>
        <v>0</v>
      </c>
      <c r="I1090" s="69">
        <v>275.22</v>
      </c>
      <c r="K1090" s="66">
        <f>ROUND(I1090*$E1090,0)</f>
        <v>0</v>
      </c>
      <c r="M1090" s="66">
        <f>ROUND(I1090*$G1090,0)</f>
        <v>0</v>
      </c>
      <c r="O1090" s="69">
        <v>280</v>
      </c>
      <c r="Q1090" s="66">
        <f>ROUND(O1090*$G1090,0)</f>
        <v>0</v>
      </c>
      <c r="AE1090" s="60"/>
      <c r="AF1090" s="60"/>
      <c r="AG1090" s="60"/>
      <c r="AH1090" s="60"/>
      <c r="AU1090" s="69">
        <v>275.22</v>
      </c>
      <c r="AW1090" s="66">
        <f>ROUND(AU1090*$E1090,0)</f>
        <v>0</v>
      </c>
      <c r="AX1090" s="66" t="s">
        <v>99</v>
      </c>
      <c r="AY1090" s="58">
        <v>31</v>
      </c>
    </row>
    <row r="1091" spans="1:51" ht="15.75">
      <c r="A1091" s="57">
        <f t="shared" si="254"/>
        <v>1089</v>
      </c>
      <c r="B1091" s="64" t="s">
        <v>407</v>
      </c>
      <c r="E1091" s="59">
        <v>0</v>
      </c>
      <c r="G1091" s="59">
        <f>E1091*$G$1125/$E$1125</f>
        <v>0</v>
      </c>
      <c r="I1091" s="69">
        <v>1.62</v>
      </c>
      <c r="K1091" s="66">
        <f>ROUND(I1091*$E1091,0)</f>
        <v>0</v>
      </c>
      <c r="M1091" s="66">
        <f>ROUND(I1091*$G1091,0)</f>
        <v>0</v>
      </c>
      <c r="O1091" s="69">
        <f>O617</f>
        <v>1.4</v>
      </c>
      <c r="Q1091" s="66">
        <f>ROUND(O1091*$G1091,0)</f>
        <v>0</v>
      </c>
      <c r="R1091" s="69"/>
      <c r="S1091" s="68"/>
      <c r="T1091" s="154"/>
      <c r="U1091" s="66"/>
      <c r="V1091" s="17">
        <f>E1091</f>
        <v>0</v>
      </c>
      <c r="AE1091" s="60"/>
      <c r="AF1091" s="60"/>
      <c r="AG1091" s="60"/>
      <c r="AH1091" s="60"/>
      <c r="AU1091" s="69">
        <v>1.49</v>
      </c>
      <c r="AW1091" s="66">
        <f>ROUND(AU1091*$E1091,0)</f>
        <v>0</v>
      </c>
      <c r="AX1091" s="66" t="s">
        <v>99</v>
      </c>
      <c r="AY1091" s="58">
        <v>31</v>
      </c>
    </row>
    <row r="1092" spans="1:51" ht="15.75">
      <c r="A1092" s="57">
        <f t="shared" si="254"/>
        <v>1090</v>
      </c>
      <c r="B1092" s="64" t="s">
        <v>408</v>
      </c>
      <c r="E1092" s="59"/>
      <c r="G1092" s="59"/>
      <c r="I1092" s="76"/>
      <c r="K1092" s="66"/>
      <c r="M1092" s="66"/>
      <c r="O1092" s="76"/>
      <c r="Q1092" s="66"/>
      <c r="AE1092" s="60"/>
      <c r="AF1092" s="60"/>
      <c r="AG1092" s="60"/>
      <c r="AH1092" s="60"/>
      <c r="AU1092" s="76"/>
      <c r="AW1092" s="66"/>
      <c r="AX1092" s="66" t="s">
        <v>99</v>
      </c>
      <c r="AY1092" s="58">
        <v>31</v>
      </c>
    </row>
    <row r="1093" spans="1:51" ht="15.75">
      <c r="A1093" s="57">
        <f t="shared" si="254"/>
        <v>1091</v>
      </c>
      <c r="B1093" s="64" t="s">
        <v>409</v>
      </c>
      <c r="E1093" s="59">
        <v>0</v>
      </c>
      <c r="G1093" s="59">
        <f>E1093*$G$1125/$E$1125</f>
        <v>0</v>
      </c>
      <c r="I1093" s="155">
        <v>0.31560000000000005</v>
      </c>
      <c r="K1093" s="66">
        <f>ROUND(I1093*$E1093,0)</f>
        <v>0</v>
      </c>
      <c r="M1093" s="66">
        <f>ROUND(I1093*$G1093,0)</f>
        <v>0</v>
      </c>
      <c r="O1093" s="155">
        <v>0.33080000000000004</v>
      </c>
      <c r="Q1093" s="66">
        <f>ROUND(O1093*$G1093,0)</f>
        <v>0</v>
      </c>
      <c r="R1093" s="155">
        <f>ROUND(O1093*$S$1100/$S$1098,4)</f>
        <v>0</v>
      </c>
      <c r="S1093" s="68"/>
      <c r="T1093" s="154"/>
      <c r="U1093" s="66"/>
      <c r="V1093" s="17">
        <f>E1093</f>
        <v>0</v>
      </c>
      <c r="AE1093" s="60"/>
      <c r="AF1093" s="60"/>
      <c r="AG1093" s="60"/>
      <c r="AH1093" s="60"/>
      <c r="AU1093" s="155">
        <v>0.2894</v>
      </c>
      <c r="AW1093" s="66">
        <f>ROUND(AU1093*$E1093,0)</f>
        <v>0</v>
      </c>
      <c r="AX1093" s="66" t="s">
        <v>99</v>
      </c>
      <c r="AY1093" s="58">
        <v>31</v>
      </c>
    </row>
    <row r="1094" spans="1:51" ht="15.75">
      <c r="A1094" s="57">
        <f t="shared" si="254"/>
        <v>1092</v>
      </c>
      <c r="B1094" s="64" t="s">
        <v>410</v>
      </c>
      <c r="E1094" s="59">
        <v>0</v>
      </c>
      <c r="G1094" s="59">
        <f>E1094*$G$1125/$E$1125</f>
        <v>0</v>
      </c>
      <c r="I1094" s="156">
        <f>I1093*0.5</f>
        <v>0.15780000000000002</v>
      </c>
      <c r="K1094" s="66">
        <f>ROUND(I1094*$E1094,0)</f>
        <v>0</v>
      </c>
      <c r="M1094" s="66">
        <f>ROUND(I1094*$G1094,0)</f>
        <v>0</v>
      </c>
      <c r="O1094" s="156">
        <f>O1093*0.5</f>
        <v>0.16540000000000002</v>
      </c>
      <c r="Q1094" s="66">
        <f>ROUND(O1094*$G1094,0)</f>
        <v>0</v>
      </c>
      <c r="R1094" s="24"/>
      <c r="V1094" s="17">
        <f>E1094</f>
        <v>0</v>
      </c>
      <c r="AE1094" s="60"/>
      <c r="AF1094" s="60"/>
      <c r="AG1094" s="60"/>
      <c r="AH1094" s="60"/>
      <c r="AU1094" s="156">
        <f>AU1093*0.5</f>
        <v>0.1447</v>
      </c>
      <c r="AW1094" s="66">
        <f>ROUND(AU1094*$E1094,0)</f>
        <v>0</v>
      </c>
      <c r="AX1094" s="66" t="s">
        <v>99</v>
      </c>
      <c r="AY1094" s="58">
        <v>31</v>
      </c>
    </row>
    <row r="1095" spans="1:51" ht="15.75">
      <c r="A1095" s="57">
        <f t="shared" si="254"/>
        <v>1093</v>
      </c>
      <c r="B1095" s="64" t="s">
        <v>411</v>
      </c>
      <c r="E1095" s="59">
        <v>0</v>
      </c>
      <c r="G1095" s="59">
        <f>E1095*$G$1125/$E$1125</f>
        <v>0</v>
      </c>
      <c r="I1095" s="69">
        <v>27</v>
      </c>
      <c r="K1095" s="66">
        <f>ROUND(I1095*$E1095,0)</f>
        <v>0</v>
      </c>
      <c r="M1095" s="66">
        <f>ROUND(I1095*$G1095,0)</f>
        <v>0</v>
      </c>
      <c r="O1095" s="69">
        <v>28.29</v>
      </c>
      <c r="Q1095" s="66">
        <f>ROUND(O1095*$G1095,0)</f>
        <v>0</v>
      </c>
      <c r="R1095" s="69">
        <f>ROUND(O1095*$S$1100/$S$1098,2)</f>
        <v>0</v>
      </c>
      <c r="S1095" s="68"/>
      <c r="T1095" s="154"/>
      <c r="U1095" s="66"/>
      <c r="V1095" s="17">
        <f>E1095</f>
        <v>0</v>
      </c>
      <c r="AE1095" s="60"/>
      <c r="AF1095" s="60"/>
      <c r="AG1095" s="60"/>
      <c r="AH1095" s="60"/>
      <c r="AU1095" s="69">
        <v>24.81</v>
      </c>
      <c r="AW1095" s="66">
        <f>ROUND(AU1095*$E1095,0)</f>
        <v>0</v>
      </c>
      <c r="AX1095" s="66" t="s">
        <v>99</v>
      </c>
      <c r="AY1095" s="58">
        <v>31</v>
      </c>
    </row>
    <row r="1096" spans="1:51" ht="15.75">
      <c r="A1096" s="57">
        <f t="shared" si="254"/>
        <v>1094</v>
      </c>
      <c r="B1096" s="64"/>
      <c r="E1096" s="59"/>
      <c r="G1096" s="59"/>
      <c r="I1096" s="24"/>
      <c r="K1096" s="66"/>
      <c r="M1096" s="66"/>
      <c r="O1096" s="24"/>
      <c r="Q1096" s="66"/>
      <c r="S1096" s="68"/>
      <c r="T1096" s="70"/>
      <c r="U1096" s="66"/>
      <c r="V1096" s="17"/>
      <c r="AE1096" s="60"/>
      <c r="AF1096" s="60"/>
      <c r="AG1096" s="60"/>
      <c r="AH1096" s="60"/>
      <c r="AU1096" s="24"/>
      <c r="AW1096" s="66"/>
      <c r="AX1096" s="66" t="s">
        <v>99</v>
      </c>
      <c r="AY1096" s="58">
        <v>31</v>
      </c>
    </row>
    <row r="1097" spans="1:51" ht="15.75">
      <c r="A1097" s="57">
        <f t="shared" si="254"/>
        <v>1095</v>
      </c>
      <c r="B1097" s="58" t="s">
        <v>189</v>
      </c>
      <c r="E1097" s="39">
        <v>32865</v>
      </c>
      <c r="G1097" s="39">
        <v>0</v>
      </c>
      <c r="J1097" s="93"/>
      <c r="K1097" s="81">
        <f>AW1097</f>
        <v>2304.089814087688</v>
      </c>
      <c r="M1097" s="81">
        <v>0</v>
      </c>
      <c r="P1097" s="93"/>
      <c r="Q1097" s="81">
        <v>0</v>
      </c>
      <c r="U1097" s="66"/>
      <c r="V1097" s="17"/>
      <c r="AE1097" s="60"/>
      <c r="AF1097" s="60"/>
      <c r="AG1097" s="60"/>
      <c r="AH1097" s="60"/>
      <c r="AV1097" s="93"/>
      <c r="AW1097" s="81">
        <v>2304.089814087688</v>
      </c>
      <c r="AX1097" s="66" t="s">
        <v>99</v>
      </c>
      <c r="AY1097" s="58">
        <v>31</v>
      </c>
    </row>
    <row r="1098" spans="1:51" ht="16.5" thickBot="1">
      <c r="A1098" s="57">
        <f t="shared" si="254"/>
        <v>1096</v>
      </c>
      <c r="B1098" s="64" t="s">
        <v>58</v>
      </c>
      <c r="E1098" s="157">
        <f>E1097</f>
        <v>32865</v>
      </c>
      <c r="G1098" s="157">
        <f>G1097</f>
        <v>0</v>
      </c>
      <c r="I1098" s="96"/>
      <c r="J1098" s="96"/>
      <c r="K1098" s="97">
        <f>SUM(K1082:K1097)</f>
        <v>200984.0898140877</v>
      </c>
      <c r="M1098" s="97">
        <f>SUM(M1082:M1097)</f>
        <v>197981</v>
      </c>
      <c r="O1098" s="96"/>
      <c r="P1098" s="96"/>
      <c r="Q1098" s="97">
        <f>SUM(Q1082:Q1097)</f>
        <v>207191</v>
      </c>
      <c r="R1098" s="85" t="s">
        <v>59</v>
      </c>
      <c r="S1098" s="86">
        <f>Q1098</f>
        <v>207191</v>
      </c>
      <c r="U1098" s="66"/>
      <c r="V1098" s="60"/>
      <c r="W1098" s="60"/>
      <c r="AE1098" s="60"/>
      <c r="AF1098" s="60"/>
      <c r="AG1098" s="60"/>
      <c r="AH1098" s="60"/>
      <c r="AU1098" s="96"/>
      <c r="AV1098" s="96"/>
      <c r="AW1098" s="97">
        <f>SUM(AW1082:AW1097)</f>
        <v>186598.0898140877</v>
      </c>
      <c r="AX1098" s="66" t="s">
        <v>99</v>
      </c>
      <c r="AY1098" s="58">
        <v>31</v>
      </c>
    </row>
    <row r="1099" spans="1:51" ht="16.5" thickTop="1">
      <c r="A1099" s="57">
        <f t="shared" si="254"/>
        <v>1097</v>
      </c>
      <c r="B1099" s="64" t="s">
        <v>60</v>
      </c>
      <c r="E1099" s="59"/>
      <c r="G1099" s="59"/>
      <c r="I1099" s="76"/>
      <c r="J1099" s="26">
        <v>0</v>
      </c>
      <c r="K1099" s="81">
        <f>ROUND(SUM(K1075:K1079,K1083:K1087,K1091:K1095)*J1099,0)</f>
        <v>0</v>
      </c>
      <c r="M1099" s="81">
        <f>ROUND(SUM(M1075:M1079,M1083:M1087,M1091:M1095)*J1099,0)</f>
        <v>0</v>
      </c>
      <c r="O1099" s="76"/>
      <c r="P1099" s="26">
        <v>0</v>
      </c>
      <c r="Q1099" s="81">
        <f>ROUND(SUM(Q1075:Q1079,Q1083:Q1087,Q1091:Q1095)*P1099,0)</f>
        <v>0</v>
      </c>
      <c r="R1099" s="88" t="s">
        <v>61</v>
      </c>
      <c r="S1099" s="89">
        <v>207209.33668727198</v>
      </c>
      <c r="V1099" s="60"/>
      <c r="W1099" s="60"/>
      <c r="AE1099" s="60"/>
      <c r="AF1099" s="60"/>
      <c r="AG1099" s="60"/>
      <c r="AH1099" s="60"/>
      <c r="AU1099" s="76"/>
      <c r="AV1099" s="26">
        <v>0.0362</v>
      </c>
      <c r="AW1099" s="81">
        <f>ROUND(SUM(AW1075:AW1079,AW1083:AW1087,AW1091:AW1095)*AV1099,0)</f>
        <v>6458</v>
      </c>
      <c r="AX1099" s="66" t="s">
        <v>99</v>
      </c>
      <c r="AY1099" s="58">
        <v>31</v>
      </c>
    </row>
    <row r="1100" spans="1:51" ht="15.75">
      <c r="A1100" s="57">
        <f t="shared" si="254"/>
        <v>1098</v>
      </c>
      <c r="B1100" s="64" t="s">
        <v>62</v>
      </c>
      <c r="E1100" s="59"/>
      <c r="G1100" s="59"/>
      <c r="I1100" s="76"/>
      <c r="J1100" s="26">
        <v>0.031</v>
      </c>
      <c r="K1100" s="81">
        <f>ROUND(SUM(K1075:K1079,K1083:K1087,K1091:K1095,K1099)*J1100,0)</f>
        <v>5976</v>
      </c>
      <c r="M1100" s="81">
        <f>ROUND(SUM(M1075:M1079,M1083:M1087,M1091:M1095,M1099)*J1100,0)</f>
        <v>5955</v>
      </c>
      <c r="O1100" s="76"/>
      <c r="P1100" s="26">
        <v>0.031</v>
      </c>
      <c r="Q1100" s="81">
        <f>ROUND(SUM(Q1075:Q1079,Q1083:Q1087,Q1091:Q1095,Q1099)*P1100,0)</f>
        <v>6237</v>
      </c>
      <c r="R1100" s="90" t="s">
        <v>515</v>
      </c>
      <c r="S1100" s="91">
        <f>S1099-S1098</f>
        <v>18.336687271978008</v>
      </c>
      <c r="U1100" s="66"/>
      <c r="V1100" s="60"/>
      <c r="W1100" s="60"/>
      <c r="AG1100" s="60"/>
      <c r="AH1100" s="60"/>
      <c r="AU1100" s="76"/>
      <c r="AV1100" s="26">
        <v>0</v>
      </c>
      <c r="AW1100" s="81">
        <f>ROUND(SUM(AW1075:AW1079,AW1083:AW1087,AW1091:AW1095,AW1099)*AV1100,0)</f>
        <v>0</v>
      </c>
      <c r="AX1100" s="66" t="s">
        <v>99</v>
      </c>
      <c r="AY1100" s="58">
        <v>31</v>
      </c>
    </row>
    <row r="1101" spans="1:51" ht="15.75">
      <c r="A1101" s="57">
        <f t="shared" si="254"/>
        <v>1099</v>
      </c>
      <c r="E1101" s="59"/>
      <c r="G1101" s="59"/>
      <c r="R1101" s="55"/>
      <c r="AE1101" s="60"/>
      <c r="AF1101" s="60"/>
      <c r="AG1101" s="60"/>
      <c r="AH1101" s="60"/>
      <c r="AX1101" s="66" t="s">
        <v>99</v>
      </c>
      <c r="AY1101" s="58">
        <v>31</v>
      </c>
    </row>
    <row r="1102" spans="1:51" ht="15.75">
      <c r="A1102" s="57">
        <f t="shared" si="254"/>
        <v>1100</v>
      </c>
      <c r="B1102" s="64" t="s">
        <v>414</v>
      </c>
      <c r="U1102" s="66"/>
      <c r="AE1102" s="60"/>
      <c r="AF1102" s="60"/>
      <c r="AG1102" s="60"/>
      <c r="AH1102" s="60"/>
      <c r="AX1102" s="66" t="s">
        <v>99</v>
      </c>
      <c r="AY1102" s="58">
        <v>31</v>
      </c>
    </row>
    <row r="1103" spans="1:51" ht="15.75">
      <c r="A1103" s="57">
        <f t="shared" si="254"/>
        <v>1101</v>
      </c>
      <c r="U1103" s="68"/>
      <c r="AE1103" s="60"/>
      <c r="AF1103" s="60"/>
      <c r="AG1103" s="60"/>
      <c r="AH1103" s="60"/>
      <c r="AX1103" s="66" t="s">
        <v>99</v>
      </c>
      <c r="AY1103" s="58">
        <v>31</v>
      </c>
    </row>
    <row r="1104" spans="1:51" ht="15.75">
      <c r="A1104" s="57">
        <f t="shared" si="254"/>
        <v>1102</v>
      </c>
      <c r="B1104" s="64" t="s">
        <v>415</v>
      </c>
      <c r="E1104" s="59">
        <f>0+0</f>
        <v>0</v>
      </c>
      <c r="G1104" s="59">
        <f aca="true" t="shared" si="255" ref="G1104:G1124">E1104*$G$1125/$E$1125</f>
        <v>0</v>
      </c>
      <c r="I1104" s="76">
        <f aca="true" t="shared" si="256" ref="I1104:I1109">I494</f>
        <v>14.74</v>
      </c>
      <c r="K1104" s="66">
        <f aca="true" t="shared" si="257" ref="K1104:K1109">ROUND(I1104*$E1104,0)</f>
        <v>0</v>
      </c>
      <c r="M1104" s="66">
        <f aca="true" t="shared" si="258" ref="M1104:M1109">ROUND(I1104*$G1104,0)</f>
        <v>0</v>
      </c>
      <c r="O1104" s="76">
        <f aca="true" t="shared" si="259" ref="O1104:O1109">O494</f>
        <v>15</v>
      </c>
      <c r="Q1104" s="66">
        <f aca="true" t="shared" si="260" ref="Q1104:Q1109">ROUND(O1104*$G1104,0)</f>
        <v>0</v>
      </c>
      <c r="AE1104" s="60"/>
      <c r="AF1104" s="60"/>
      <c r="AG1104" s="60"/>
      <c r="AH1104" s="60"/>
      <c r="AU1104" s="76">
        <f aca="true" t="shared" si="261" ref="AU1104:AU1109">AU494</f>
        <v>14.74</v>
      </c>
      <c r="AW1104" s="66">
        <f aca="true" t="shared" si="262" ref="AW1104:AW1109">ROUND(AU1104*$E1104,0)</f>
        <v>0</v>
      </c>
      <c r="AX1104" s="66" t="s">
        <v>99</v>
      </c>
      <c r="AY1104" s="58">
        <v>31</v>
      </c>
    </row>
    <row r="1105" spans="1:51" ht="15.75">
      <c r="A1105" s="57">
        <f t="shared" si="254"/>
        <v>1103</v>
      </c>
      <c r="B1105" s="64" t="s">
        <v>416</v>
      </c>
      <c r="E1105" s="59">
        <f>191+0</f>
        <v>191</v>
      </c>
      <c r="G1105" s="59">
        <f t="shared" si="255"/>
        <v>190.30690117360368</v>
      </c>
      <c r="I1105" s="76">
        <f t="shared" si="256"/>
        <v>0</v>
      </c>
      <c r="K1105" s="66">
        <f t="shared" si="257"/>
        <v>0</v>
      </c>
      <c r="M1105" s="66">
        <f t="shared" si="258"/>
        <v>0</v>
      </c>
      <c r="O1105" s="76">
        <f t="shared" si="259"/>
        <v>10.29</v>
      </c>
      <c r="Q1105" s="66">
        <f t="shared" si="260"/>
        <v>1958</v>
      </c>
      <c r="AE1105" s="60"/>
      <c r="AF1105" s="60"/>
      <c r="AG1105" s="60"/>
      <c r="AH1105" s="60"/>
      <c r="AU1105" s="76">
        <f t="shared" si="261"/>
        <v>0</v>
      </c>
      <c r="AW1105" s="66">
        <f t="shared" si="262"/>
        <v>0</v>
      </c>
      <c r="AX1105" s="66" t="s">
        <v>99</v>
      </c>
      <c r="AY1105" s="58">
        <v>31</v>
      </c>
    </row>
    <row r="1106" spans="1:51" ht="15.75">
      <c r="A1106" s="57">
        <f t="shared" si="254"/>
        <v>1104</v>
      </c>
      <c r="B1106" s="64" t="s">
        <v>417</v>
      </c>
      <c r="E1106" s="59">
        <f>11200+4692</f>
        <v>15892</v>
      </c>
      <c r="G1106" s="59">
        <f t="shared" si="255"/>
        <v>15834.331274612094</v>
      </c>
      <c r="I1106" s="76">
        <f t="shared" si="256"/>
        <v>0</v>
      </c>
      <c r="K1106" s="66">
        <f t="shared" si="257"/>
        <v>0</v>
      </c>
      <c r="M1106" s="66">
        <f t="shared" si="258"/>
        <v>0</v>
      </c>
      <c r="O1106" s="76">
        <f t="shared" si="259"/>
        <v>7.42</v>
      </c>
      <c r="Q1106" s="66">
        <f t="shared" si="260"/>
        <v>117491</v>
      </c>
      <c r="AE1106" s="60"/>
      <c r="AF1106" s="60"/>
      <c r="AG1106" s="60"/>
      <c r="AH1106" s="60"/>
      <c r="AU1106" s="76">
        <f t="shared" si="261"/>
        <v>0</v>
      </c>
      <c r="AW1106" s="66">
        <f t="shared" si="262"/>
        <v>0</v>
      </c>
      <c r="AX1106" s="66" t="s">
        <v>99</v>
      </c>
      <c r="AY1106" s="58">
        <v>31</v>
      </c>
    </row>
    <row r="1107" spans="1:51" ht="15.75">
      <c r="A1107" s="57">
        <f t="shared" si="254"/>
        <v>1105</v>
      </c>
      <c r="B1107" s="64" t="s">
        <v>418</v>
      </c>
      <c r="E1107" s="59">
        <f>2041+0</f>
        <v>2041</v>
      </c>
      <c r="G1107" s="59">
        <f t="shared" si="255"/>
        <v>2033.5936402896602</v>
      </c>
      <c r="I1107" s="76">
        <f t="shared" si="256"/>
        <v>10.66</v>
      </c>
      <c r="K1107" s="66">
        <f t="shared" si="257"/>
        <v>21757</v>
      </c>
      <c r="M1107" s="66">
        <f t="shared" si="258"/>
        <v>21678</v>
      </c>
      <c r="O1107" s="76">
        <f t="shared" si="259"/>
        <v>3.15</v>
      </c>
      <c r="Q1107" s="66">
        <f t="shared" si="260"/>
        <v>6406</v>
      </c>
      <c r="AE1107" s="60"/>
      <c r="AF1107" s="60"/>
      <c r="AG1107" s="60"/>
      <c r="AH1107" s="60"/>
      <c r="AU1107" s="76">
        <f t="shared" si="261"/>
        <v>8.1</v>
      </c>
      <c r="AW1107" s="66">
        <f t="shared" si="262"/>
        <v>16532</v>
      </c>
      <c r="AX1107" s="66" t="s">
        <v>99</v>
      </c>
      <c r="AY1107" s="58">
        <v>31</v>
      </c>
    </row>
    <row r="1108" spans="1:51" ht="15.75">
      <c r="A1108" s="57">
        <f t="shared" si="254"/>
        <v>1106</v>
      </c>
      <c r="B1108" s="64" t="s">
        <v>419</v>
      </c>
      <c r="E1108" s="59">
        <f>9350+4733</f>
        <v>14083</v>
      </c>
      <c r="G1108" s="59">
        <f t="shared" si="255"/>
        <v>14031.895755119689</v>
      </c>
      <c r="I1108" s="76">
        <f t="shared" si="256"/>
        <v>8.56</v>
      </c>
      <c r="K1108" s="66">
        <f t="shared" si="257"/>
        <v>120550</v>
      </c>
      <c r="M1108" s="66">
        <f t="shared" si="258"/>
        <v>120113</v>
      </c>
      <c r="O1108" s="76">
        <f t="shared" si="259"/>
        <v>3.15</v>
      </c>
      <c r="Q1108" s="66">
        <f t="shared" si="260"/>
        <v>44200</v>
      </c>
      <c r="AE1108" s="60"/>
      <c r="AF1108" s="60"/>
      <c r="AG1108" s="60"/>
      <c r="AH1108" s="60"/>
      <c r="AU1108" s="76">
        <f t="shared" si="261"/>
        <v>8.1</v>
      </c>
      <c r="AW1108" s="66">
        <f t="shared" si="262"/>
        <v>114072</v>
      </c>
      <c r="AX1108" s="66" t="s">
        <v>99</v>
      </c>
      <c r="AY1108" s="58">
        <v>31</v>
      </c>
    </row>
    <row r="1109" spans="1:51" ht="15.75">
      <c r="A1109" s="57">
        <f t="shared" si="254"/>
        <v>1107</v>
      </c>
      <c r="B1109" s="64" t="s">
        <v>420</v>
      </c>
      <c r="E1109" s="59">
        <f>11391+4733</f>
        <v>16124</v>
      </c>
      <c r="G1109" s="59">
        <f t="shared" si="255"/>
        <v>16065.48939540935</v>
      </c>
      <c r="I1109" s="76">
        <f t="shared" si="256"/>
        <v>-0.54</v>
      </c>
      <c r="K1109" s="66">
        <f t="shared" si="257"/>
        <v>-8707</v>
      </c>
      <c r="M1109" s="66">
        <f t="shared" si="258"/>
        <v>-8675</v>
      </c>
      <c r="O1109" s="76">
        <f t="shared" si="259"/>
        <v>-0.75</v>
      </c>
      <c r="Q1109" s="66">
        <f t="shared" si="260"/>
        <v>-12049</v>
      </c>
      <c r="AE1109" s="60"/>
      <c r="AF1109" s="60"/>
      <c r="AG1109" s="60"/>
      <c r="AH1109" s="60"/>
      <c r="AU1109" s="76">
        <f t="shared" si="261"/>
        <v>-0.54</v>
      </c>
      <c r="AW1109" s="66">
        <f t="shared" si="262"/>
        <v>-8707</v>
      </c>
      <c r="AX1109" s="66" t="s">
        <v>99</v>
      </c>
      <c r="AY1109" s="58">
        <v>31</v>
      </c>
    </row>
    <row r="1110" spans="1:51" ht="15.75">
      <c r="A1110" s="57">
        <f t="shared" si="254"/>
        <v>1108</v>
      </c>
      <c r="B1110" s="64" t="s">
        <v>421</v>
      </c>
      <c r="E1110" s="59">
        <f>208529+407202</f>
        <v>615731</v>
      </c>
      <c r="G1110" s="59">
        <f t="shared" si="255"/>
        <v>613496.6417095506</v>
      </c>
      <c r="I1110" s="76"/>
      <c r="J1110" s="93">
        <f>J500</f>
        <v>2.7737</v>
      </c>
      <c r="K1110" s="66">
        <f>ROUND(J1110*$E1110/100,0)</f>
        <v>17079</v>
      </c>
      <c r="M1110" s="66">
        <f>ROUND(J1110*$G1110/100,0)</f>
        <v>17017</v>
      </c>
      <c r="O1110" s="76"/>
      <c r="P1110" s="93">
        <f>P500</f>
        <v>3.2775999999999996</v>
      </c>
      <c r="Q1110" s="66">
        <f>ROUND(P1110*$G1110/100,0)</f>
        <v>20108</v>
      </c>
      <c r="AE1110" s="60"/>
      <c r="AF1110" s="60"/>
      <c r="AG1110" s="60"/>
      <c r="AH1110" s="60"/>
      <c r="AU1110" s="76"/>
      <c r="AV1110" s="93">
        <f>AV500</f>
        <v>2.7737</v>
      </c>
      <c r="AW1110" s="66">
        <f>ROUND(AV1110*$E1110/100,0)</f>
        <v>17079</v>
      </c>
      <c r="AX1110" s="66" t="s">
        <v>99</v>
      </c>
      <c r="AY1110" s="58">
        <v>31</v>
      </c>
    </row>
    <row r="1111" spans="1:51" ht="15.75">
      <c r="A1111" s="57">
        <f t="shared" si="254"/>
        <v>1109</v>
      </c>
      <c r="B1111" s="64" t="s">
        <v>422</v>
      </c>
      <c r="E1111" s="59">
        <f>2717455-E1110</f>
        <v>2101724</v>
      </c>
      <c r="G1111" s="59">
        <f t="shared" si="255"/>
        <v>2094097.2856659216</v>
      </c>
      <c r="I1111" s="76"/>
      <c r="J1111" s="93">
        <f>J501</f>
        <v>2.7737</v>
      </c>
      <c r="K1111" s="66">
        <f>ROUND(J1111*$E1111/100,0)</f>
        <v>58296</v>
      </c>
      <c r="M1111" s="66">
        <f>ROUND(J1111*$G1111/100,0)</f>
        <v>58084</v>
      </c>
      <c r="O1111" s="76"/>
      <c r="P1111" s="93">
        <f>P501</f>
        <v>2.2775999999999996</v>
      </c>
      <c r="Q1111" s="66">
        <f>ROUND(P1111*$G1111/100,0)</f>
        <v>47695</v>
      </c>
      <c r="AE1111" s="60"/>
      <c r="AF1111" s="60"/>
      <c r="AG1111" s="60"/>
      <c r="AH1111" s="60"/>
      <c r="AU1111" s="76"/>
      <c r="AV1111" s="93">
        <f>AV501</f>
        <v>2.7737</v>
      </c>
      <c r="AW1111" s="66">
        <f>ROUND(AV1111*$E1111/100,0)</f>
        <v>58296</v>
      </c>
      <c r="AX1111" s="66" t="s">
        <v>99</v>
      </c>
      <c r="AY1111" s="58">
        <v>31</v>
      </c>
    </row>
    <row r="1112" spans="1:51" ht="15.75">
      <c r="A1112" s="57">
        <f t="shared" si="254"/>
        <v>1110</v>
      </c>
      <c r="B1112" s="64" t="s">
        <v>423</v>
      </c>
      <c r="E1112" s="59">
        <f>3716480+1586744</f>
        <v>5303224</v>
      </c>
      <c r="G1112" s="59">
        <f t="shared" si="255"/>
        <v>5283979.715547033</v>
      </c>
      <c r="I1112" s="76"/>
      <c r="J1112" s="93">
        <f>J502</f>
        <v>2.7737</v>
      </c>
      <c r="K1112" s="66">
        <f>ROUND(J1112*$E1112/100,0)</f>
        <v>147096</v>
      </c>
      <c r="M1112" s="66">
        <f>ROUND(J1112*$G1112/100,0)</f>
        <v>146562</v>
      </c>
      <c r="O1112" s="76"/>
      <c r="P1112" s="93">
        <f>P502</f>
        <v>2.5775999999999994</v>
      </c>
      <c r="Q1112" s="66">
        <f>ROUND(P1112*$G1112/100,0)</f>
        <v>136200</v>
      </c>
      <c r="AE1112" s="60"/>
      <c r="AF1112" s="60"/>
      <c r="AG1112" s="60"/>
      <c r="AH1112" s="60"/>
      <c r="AU1112" s="76"/>
      <c r="AV1112" s="93">
        <f>AV502</f>
        <v>2.7737</v>
      </c>
      <c r="AW1112" s="66">
        <f>ROUND(AV1112*$E1112/100,0)</f>
        <v>147096</v>
      </c>
      <c r="AX1112" s="66" t="s">
        <v>99</v>
      </c>
      <c r="AY1112" s="58">
        <v>31</v>
      </c>
    </row>
    <row r="1113" spans="1:51" ht="15.75">
      <c r="A1113" s="57">
        <f t="shared" si="254"/>
        <v>1111</v>
      </c>
      <c r="B1113" s="64" t="s">
        <v>424</v>
      </c>
      <c r="E1113" s="59">
        <f>7307044+3828248-471000+120000-E1112</f>
        <v>5481068</v>
      </c>
      <c r="G1113" s="59">
        <f t="shared" si="255"/>
        <v>5461178.357077495</v>
      </c>
      <c r="I1113" s="76"/>
      <c r="J1113" s="93">
        <f>J503</f>
        <v>2.7737</v>
      </c>
      <c r="K1113" s="66">
        <f>ROUND(J1113*$E1113/100,0)</f>
        <v>152028</v>
      </c>
      <c r="M1113" s="66">
        <f>ROUND(J1113*$G1113/100,0)</f>
        <v>151477</v>
      </c>
      <c r="O1113" s="76"/>
      <c r="P1113" s="93">
        <f>P503</f>
        <v>2.2775999999999996</v>
      </c>
      <c r="Q1113" s="66">
        <f>ROUND(P1113*$G1113/100,0)</f>
        <v>124384</v>
      </c>
      <c r="AE1113" s="60"/>
      <c r="AF1113" s="60"/>
      <c r="AG1113" s="60"/>
      <c r="AH1113" s="60"/>
      <c r="AU1113" s="76"/>
      <c r="AV1113" s="93">
        <f>AV503</f>
        <v>2.7737</v>
      </c>
      <c r="AW1113" s="66">
        <f>ROUND(AV1113*$E1113/100,0)</f>
        <v>152028</v>
      </c>
      <c r="AX1113" s="66" t="s">
        <v>99</v>
      </c>
      <c r="AY1113" s="58">
        <v>31</v>
      </c>
    </row>
    <row r="1114" spans="1:51" ht="15.75">
      <c r="A1114" s="57">
        <f t="shared" si="254"/>
        <v>1112</v>
      </c>
      <c r="B1114" s="64" t="s">
        <v>425</v>
      </c>
      <c r="E1114" s="59">
        <v>0</v>
      </c>
      <c r="G1114" s="59">
        <f t="shared" si="255"/>
        <v>0</v>
      </c>
      <c r="I1114" s="76">
        <f>I614</f>
        <v>98.29</v>
      </c>
      <c r="J1114" s="93"/>
      <c r="K1114" s="66">
        <f>ROUND(I1114*$E1114,0)</f>
        <v>0</v>
      </c>
      <c r="M1114" s="66">
        <f>ROUND(I1114*$G1114,0)</f>
        <v>0</v>
      </c>
      <c r="O1114" s="76">
        <f>O614</f>
        <v>100</v>
      </c>
      <c r="P1114" s="93"/>
      <c r="Q1114" s="66">
        <f>ROUND(O1114*$G1114,0)</f>
        <v>0</v>
      </c>
      <c r="AE1114" s="60"/>
      <c r="AF1114" s="60"/>
      <c r="AG1114" s="60"/>
      <c r="AH1114" s="60"/>
      <c r="AU1114" s="76">
        <f>AU614</f>
        <v>98.29</v>
      </c>
      <c r="AV1114" s="93"/>
      <c r="AW1114" s="66">
        <f>ROUND(AU1114*$E1114,0)</f>
        <v>0</v>
      </c>
      <c r="AX1114" s="66" t="s">
        <v>99</v>
      </c>
      <c r="AY1114" s="58">
        <v>31</v>
      </c>
    </row>
    <row r="1115" spans="1:51" ht="15.75">
      <c r="A1115" s="57">
        <f t="shared" si="254"/>
        <v>1113</v>
      </c>
      <c r="B1115" s="64" t="s">
        <v>214</v>
      </c>
      <c r="E1115" s="59">
        <v>0</v>
      </c>
      <c r="G1115" s="59">
        <f t="shared" si="255"/>
        <v>0</v>
      </c>
      <c r="I1115" s="76">
        <f>I618</f>
        <v>0</v>
      </c>
      <c r="K1115" s="66">
        <f>ROUND(I1115*$E1115,0)</f>
        <v>0</v>
      </c>
      <c r="M1115" s="66">
        <f>ROUND(I1115*$G1115,0)</f>
        <v>0</v>
      </c>
      <c r="O1115" s="76">
        <f>O618</f>
        <v>8.78</v>
      </c>
      <c r="Q1115" s="66">
        <f>ROUND(O1115*$G1115,0)</f>
        <v>0</v>
      </c>
      <c r="R1115" s="69">
        <f>ROUND(O1115*$S$627/$S$625,2)</f>
        <v>0</v>
      </c>
      <c r="S1115" s="68"/>
      <c r="T1115" s="70"/>
      <c r="U1115" s="66"/>
      <c r="V1115" s="17"/>
      <c r="AE1115" s="60"/>
      <c r="AF1115" s="60"/>
      <c r="AG1115" s="60"/>
      <c r="AH1115" s="60"/>
      <c r="AU1115" s="69">
        <v>0</v>
      </c>
      <c r="AW1115" s="66">
        <f>ROUND(AU1115*$E1115,0)</f>
        <v>0</v>
      </c>
      <c r="AX1115" s="66" t="s">
        <v>99</v>
      </c>
      <c r="AY1115" s="58">
        <v>31</v>
      </c>
    </row>
    <row r="1116" spans="1:51" ht="15.75">
      <c r="A1116" s="57">
        <f t="shared" si="254"/>
        <v>1114</v>
      </c>
      <c r="B1116" s="64" t="s">
        <v>215</v>
      </c>
      <c r="E1116" s="59">
        <v>0</v>
      </c>
      <c r="G1116" s="59">
        <f t="shared" si="255"/>
        <v>0</v>
      </c>
      <c r="I1116" s="76">
        <f>I619</f>
        <v>0</v>
      </c>
      <c r="K1116" s="66">
        <f>ROUND(I1116*$E1116,0)</f>
        <v>0</v>
      </c>
      <c r="M1116" s="66">
        <f>ROUND(I1116*$G1116,0)</f>
        <v>0</v>
      </c>
      <c r="O1116" s="76">
        <f>O619</f>
        <v>5.95</v>
      </c>
      <c r="Q1116" s="66">
        <f>ROUND(O1116*$G1116,0)</f>
        <v>0</v>
      </c>
      <c r="R1116" s="69">
        <f>ROUND(O1116*$S$627/$S$625,2)</f>
        <v>0</v>
      </c>
      <c r="T1116" s="70">
        <f>(M1116)/SUM($M$346:$M$352)</f>
        <v>0</v>
      </c>
      <c r="U1116" s="66">
        <f>T1116*$S$627</f>
        <v>0</v>
      </c>
      <c r="V1116" s="17">
        <f>G1116</f>
        <v>0</v>
      </c>
      <c r="AE1116" s="60"/>
      <c r="AF1116" s="60"/>
      <c r="AG1116" s="60"/>
      <c r="AH1116" s="60"/>
      <c r="AU1116" s="69">
        <v>0</v>
      </c>
      <c r="AW1116" s="66">
        <f>ROUND(AU1116*$E1116,0)</f>
        <v>0</v>
      </c>
      <c r="AX1116" s="66" t="s">
        <v>99</v>
      </c>
      <c r="AY1116" s="58">
        <v>31</v>
      </c>
    </row>
    <row r="1117" spans="1:51" ht="15.75">
      <c r="A1117" s="57">
        <f t="shared" si="254"/>
        <v>1115</v>
      </c>
      <c r="B1117" s="64" t="s">
        <v>426</v>
      </c>
      <c r="E1117" s="59">
        <v>0</v>
      </c>
      <c r="G1117" s="59">
        <f t="shared" si="255"/>
        <v>0</v>
      </c>
      <c r="I1117" s="76">
        <f>I617</f>
        <v>0</v>
      </c>
      <c r="J1117" s="93"/>
      <c r="K1117" s="66">
        <f>ROUND(I1117*$E1117,0)</f>
        <v>0</v>
      </c>
      <c r="M1117" s="66">
        <f>ROUND(I1117*$G1117,0)</f>
        <v>0</v>
      </c>
      <c r="O1117" s="76">
        <f>O617</f>
        <v>1.4</v>
      </c>
      <c r="P1117" s="93"/>
      <c r="Q1117" s="66">
        <f>ROUND(O1117*$G1117,0)</f>
        <v>0</v>
      </c>
      <c r="AE1117" s="60"/>
      <c r="AF1117" s="60"/>
      <c r="AG1117" s="60"/>
      <c r="AH1117" s="60"/>
      <c r="AU1117" s="76">
        <f>AU617</f>
        <v>6.02</v>
      </c>
      <c r="AV1117" s="93"/>
      <c r="AW1117" s="66">
        <f>ROUND(AU1117*$E1117,0)</f>
        <v>0</v>
      </c>
      <c r="AX1117" s="66" t="s">
        <v>99</v>
      </c>
      <c r="AY1117" s="58">
        <v>31</v>
      </c>
    </row>
    <row r="1118" spans="1:51" ht="15.75">
      <c r="A1118" s="57">
        <f t="shared" si="254"/>
        <v>1116</v>
      </c>
      <c r="B1118" s="64" t="s">
        <v>216</v>
      </c>
      <c r="E1118" s="59">
        <v>0</v>
      </c>
      <c r="G1118" s="59">
        <f t="shared" si="255"/>
        <v>0</v>
      </c>
      <c r="J1118" s="106">
        <f>J620</f>
        <v>2.1279</v>
      </c>
      <c r="K1118" s="66">
        <f>ROUND(J1118*$E1118/100,0)</f>
        <v>0</v>
      </c>
      <c r="M1118" s="66">
        <f>ROUND(J1118*$G1118/100,0)</f>
        <v>0</v>
      </c>
      <c r="P1118" s="106">
        <f>P620</f>
        <v>2.8634</v>
      </c>
      <c r="Q1118" s="66">
        <f>ROUND(P1118*$G1118/100,0)</f>
        <v>0</v>
      </c>
      <c r="S1118" s="68">
        <f>ROUND(P1118*$S$627/$S$625,4)</f>
        <v>-0.0003</v>
      </c>
      <c r="T1118" s="70">
        <f>(M1118)/SUM($M$346:$M$352)</f>
        <v>0</v>
      </c>
      <c r="U1118" s="66">
        <f>T1118*$S$627</f>
        <v>0</v>
      </c>
      <c r="V1118" s="17">
        <f>G1118</f>
        <v>0</v>
      </c>
      <c r="AE1118" s="60"/>
      <c r="AF1118" s="60"/>
      <c r="AG1118" s="60"/>
      <c r="AH1118" s="60"/>
      <c r="AV1118" s="106"/>
      <c r="AW1118" s="66"/>
      <c r="AX1118" s="66" t="s">
        <v>99</v>
      </c>
      <c r="AY1118" s="58">
        <v>31</v>
      </c>
    </row>
    <row r="1119" spans="1:51" ht="15.75">
      <c r="A1119" s="57">
        <f t="shared" si="254"/>
        <v>1117</v>
      </c>
      <c r="B1119" s="64" t="s">
        <v>217</v>
      </c>
      <c r="E1119" s="59">
        <v>0</v>
      </c>
      <c r="G1119" s="59">
        <f t="shared" si="255"/>
        <v>0</v>
      </c>
      <c r="J1119" s="106">
        <f>J1118</f>
        <v>2.1279</v>
      </c>
      <c r="K1119" s="66">
        <f>ROUND(J1119*$E1119/100,0)</f>
        <v>0</v>
      </c>
      <c r="M1119" s="66">
        <f>ROUND(J1119*$G1119/100,0)</f>
        <v>0</v>
      </c>
      <c r="P1119" s="106">
        <f>P621</f>
        <v>2.1634</v>
      </c>
      <c r="Q1119" s="66">
        <f>ROUND(P1119*$G1119/100,0)</f>
        <v>0</v>
      </c>
      <c r="AE1119" s="60"/>
      <c r="AF1119" s="60"/>
      <c r="AG1119" s="60"/>
      <c r="AH1119" s="60"/>
      <c r="AV1119" s="106"/>
      <c r="AW1119" s="66"/>
      <c r="AX1119" s="66" t="s">
        <v>99</v>
      </c>
      <c r="AY1119" s="58">
        <v>31</v>
      </c>
    </row>
    <row r="1120" spans="1:51" ht="15.75">
      <c r="A1120" s="57">
        <f t="shared" si="254"/>
        <v>1118</v>
      </c>
      <c r="B1120" s="64" t="s">
        <v>218</v>
      </c>
      <c r="E1120" s="59">
        <v>0</v>
      </c>
      <c r="G1120" s="59">
        <f t="shared" si="255"/>
        <v>0</v>
      </c>
      <c r="J1120" s="106">
        <f>J1119</f>
        <v>2.1279</v>
      </c>
      <c r="K1120" s="66">
        <f>ROUND(J1120*$E1120/100,0)</f>
        <v>0</v>
      </c>
      <c r="M1120" s="66">
        <f>ROUND(J1120*$G1120/100,0)</f>
        <v>0</v>
      </c>
      <c r="P1120" s="106">
        <f>P622</f>
        <v>1.8634</v>
      </c>
      <c r="Q1120" s="66">
        <f>ROUND(P1120*$G1120/100,0)</f>
        <v>0</v>
      </c>
      <c r="AE1120" s="60"/>
      <c r="AF1120" s="60"/>
      <c r="AG1120" s="60"/>
      <c r="AH1120" s="60"/>
      <c r="AV1120" s="106"/>
      <c r="AW1120" s="66"/>
      <c r="AX1120" s="66" t="s">
        <v>99</v>
      </c>
      <c r="AY1120" s="58">
        <v>31</v>
      </c>
    </row>
    <row r="1121" spans="1:51" ht="15.75">
      <c r="A1121" s="57">
        <f t="shared" si="254"/>
        <v>1119</v>
      </c>
      <c r="B1121" s="64" t="s">
        <v>219</v>
      </c>
      <c r="E1121" s="59">
        <v>0</v>
      </c>
      <c r="G1121" s="59">
        <f t="shared" si="255"/>
        <v>0</v>
      </c>
      <c r="J1121" s="106">
        <f>J1120</f>
        <v>2.1279</v>
      </c>
      <c r="K1121" s="66">
        <f>ROUND(J1121*$E1121/100,0)</f>
        <v>0</v>
      </c>
      <c r="M1121" s="66">
        <f>ROUND(J1121*$G1121/100,0)</f>
        <v>0</v>
      </c>
      <c r="P1121" s="106">
        <f>P623</f>
        <v>1.8634</v>
      </c>
      <c r="Q1121" s="66">
        <f>ROUND(P1121*$G1121/100,0)</f>
        <v>0</v>
      </c>
      <c r="AE1121" s="60"/>
      <c r="AF1121" s="60"/>
      <c r="AG1121" s="60"/>
      <c r="AH1121" s="60"/>
      <c r="AV1121" s="106"/>
      <c r="AW1121" s="66"/>
      <c r="AX1121" s="66" t="s">
        <v>99</v>
      </c>
      <c r="AY1121" s="58">
        <v>31</v>
      </c>
    </row>
    <row r="1122" spans="1:51" ht="15.75">
      <c r="A1122" s="57">
        <f t="shared" si="254"/>
        <v>1120</v>
      </c>
      <c r="B1122" s="64" t="s">
        <v>427</v>
      </c>
      <c r="E1122" s="59">
        <v>0</v>
      </c>
      <c r="G1122" s="59">
        <f t="shared" si="255"/>
        <v>0</v>
      </c>
      <c r="I1122" s="76">
        <f>I618</f>
        <v>0</v>
      </c>
      <c r="J1122" s="93"/>
      <c r="K1122" s="66">
        <f>ROUND(I1122*$E1122,0)</f>
        <v>0</v>
      </c>
      <c r="M1122" s="66">
        <f>ROUND(I1122*$G1122,0)</f>
        <v>0</v>
      </c>
      <c r="O1122" s="76">
        <f>O618</f>
        <v>8.78</v>
      </c>
      <c r="P1122" s="93"/>
      <c r="Q1122" s="66">
        <f>ROUND(O1122*$G1122,0)</f>
        <v>0</v>
      </c>
      <c r="AE1122" s="60"/>
      <c r="AF1122" s="60"/>
      <c r="AG1122" s="60"/>
      <c r="AH1122" s="60"/>
      <c r="AU1122" s="76">
        <f>AU618</f>
        <v>0</v>
      </c>
      <c r="AV1122" s="93"/>
      <c r="AW1122" s="66">
        <f>ROUND(AU1122*$E1122,0)</f>
        <v>0</v>
      </c>
      <c r="AX1122" s="66" t="s">
        <v>99</v>
      </c>
      <c r="AY1122" s="58">
        <v>31</v>
      </c>
    </row>
    <row r="1123" spans="1:51" ht="15.75">
      <c r="A1123" s="57">
        <f t="shared" si="254"/>
        <v>1121</v>
      </c>
      <c r="B1123" s="64" t="s">
        <v>428</v>
      </c>
      <c r="E1123" s="59">
        <v>0</v>
      </c>
      <c r="G1123" s="59">
        <f t="shared" si="255"/>
        <v>0</v>
      </c>
      <c r="I1123" s="76">
        <f>I619</f>
        <v>0</v>
      </c>
      <c r="J1123" s="93"/>
      <c r="K1123" s="66">
        <f>ROUND(I1123*$E1123,0)</f>
        <v>0</v>
      </c>
      <c r="M1123" s="66">
        <f>ROUND(I1123*$G1123,0)</f>
        <v>0</v>
      </c>
      <c r="O1123" s="76">
        <f>O619</f>
        <v>5.95</v>
      </c>
      <c r="P1123" s="93"/>
      <c r="Q1123" s="66">
        <f>ROUND(O1123*$G1123,0)</f>
        <v>0</v>
      </c>
      <c r="AE1123" s="60"/>
      <c r="AF1123" s="60"/>
      <c r="AG1123" s="60"/>
      <c r="AH1123" s="60"/>
      <c r="AU1123" s="76">
        <f>AU619</f>
        <v>0</v>
      </c>
      <c r="AV1123" s="93"/>
      <c r="AW1123" s="66">
        <f>ROUND(AU1123*$E1123,0)</f>
        <v>0</v>
      </c>
      <c r="AX1123" s="66" t="s">
        <v>99</v>
      </c>
      <c r="AY1123" s="58">
        <v>31</v>
      </c>
    </row>
    <row r="1124" spans="1:51" ht="15.75">
      <c r="A1124" s="57">
        <f t="shared" si="254"/>
        <v>1122</v>
      </c>
      <c r="B1124" s="64" t="s">
        <v>102</v>
      </c>
      <c r="E1124" s="78">
        <v>0</v>
      </c>
      <c r="G1124" s="78">
        <f t="shared" si="255"/>
        <v>0</v>
      </c>
      <c r="I1124" s="76">
        <f>I268</f>
        <v>176.88</v>
      </c>
      <c r="K1124" s="81">
        <f>ROUND(I1124*$E1124,0)</f>
        <v>0</v>
      </c>
      <c r="M1124" s="81">
        <f>ROUND(I1124*$G1124,0)</f>
        <v>0</v>
      </c>
      <c r="O1124" s="74">
        <f>O268</f>
        <v>180</v>
      </c>
      <c r="Q1124" s="81">
        <f>ROUND(O1124*$G1124,0)</f>
        <v>0</v>
      </c>
      <c r="AE1124" s="60"/>
      <c r="AF1124" s="60"/>
      <c r="AG1124" s="60"/>
      <c r="AH1124" s="60"/>
      <c r="AU1124" s="76">
        <f>AU268</f>
        <v>176.88</v>
      </c>
      <c r="AW1124" s="81">
        <f>ROUND(AU1124*$E1124,0)</f>
        <v>0</v>
      </c>
      <c r="AX1124" s="66" t="s">
        <v>99</v>
      </c>
      <c r="AY1124" s="58">
        <v>31</v>
      </c>
    </row>
    <row r="1125" spans="1:51" ht="16.5" thickBot="1">
      <c r="A1125" s="57">
        <f t="shared" si="254"/>
        <v>1123</v>
      </c>
      <c r="B1125" s="64" t="s">
        <v>58</v>
      </c>
      <c r="E1125" s="99">
        <f>SUM(E1110:E1113)+SUM(E1118:E1121)</f>
        <v>13501747</v>
      </c>
      <c r="G1125" s="99">
        <v>13452752</v>
      </c>
      <c r="I1125" s="96"/>
      <c r="J1125" s="96"/>
      <c r="K1125" s="97">
        <f>SUM(K1104:K1124)</f>
        <v>508099</v>
      </c>
      <c r="M1125" s="97">
        <f>SUM(M1104:M1124)</f>
        <v>506256</v>
      </c>
      <c r="O1125" s="96"/>
      <c r="P1125" s="96"/>
      <c r="Q1125" s="97">
        <f>SUM(Q1104:Q1124)</f>
        <v>486393</v>
      </c>
      <c r="AE1125" s="60"/>
      <c r="AF1125" s="60"/>
      <c r="AG1125" s="60"/>
      <c r="AH1125" s="60"/>
      <c r="AU1125" s="96"/>
      <c r="AV1125" s="96"/>
      <c r="AW1125" s="45">
        <f>SUM(AW1104:AW1124)</f>
        <v>496396</v>
      </c>
      <c r="AX1125" s="66" t="s">
        <v>99</v>
      </c>
      <c r="AY1125" s="58">
        <v>31</v>
      </c>
    </row>
    <row r="1126" spans="1:51" ht="16.5" thickTop="1">
      <c r="A1126" s="57">
        <f t="shared" si="254"/>
        <v>1124</v>
      </c>
      <c r="B1126" s="64" t="s">
        <v>429</v>
      </c>
      <c r="E1126" s="59"/>
      <c r="G1126" s="59"/>
      <c r="I1126" s="76"/>
      <c r="J1126" s="26">
        <f>(K1126)/SUM(K1107:K1113,K1117:K1123)</f>
        <v>0</v>
      </c>
      <c r="K1126" s="81">
        <f>ROUND(SUM(K1107:K1113)*J272+SUM(K1117:K1123)*J626,0)</f>
        <v>0</v>
      </c>
      <c r="M1126" s="81">
        <f>ROUND(SUM(M1107:M1113)*J272+SUM(M1117:M1123)*J626,0)</f>
        <v>0</v>
      </c>
      <c r="O1126" s="76"/>
      <c r="P1126" s="26">
        <f>(Q1126)/SUM(Q1107:Q1113,Q1117:Q1123)</f>
        <v>0</v>
      </c>
      <c r="Q1126" s="81">
        <f>ROUND(SUM(Q1107:Q1113)*P272+SUM(Q1117:Q1123)*P626,0)</f>
        <v>0</v>
      </c>
      <c r="AE1126" s="60"/>
      <c r="AF1126" s="60"/>
      <c r="AG1126" s="60"/>
      <c r="AH1126" s="60"/>
      <c r="AU1126" s="76"/>
      <c r="AV1126" s="26">
        <f>(AW1126)/SUM(AW1107:AW1113,AW1117:AW1123)</f>
        <v>0.035300445611971085</v>
      </c>
      <c r="AW1126" s="81">
        <f>ROUND(SUM(AW1107:AW1113)*AV272+SUM(AW1117:AW1123)*AV626,0)</f>
        <v>17523</v>
      </c>
      <c r="AX1126" s="66" t="s">
        <v>99</v>
      </c>
      <c r="AY1126" s="58">
        <v>31</v>
      </c>
    </row>
    <row r="1127" spans="1:51" ht="15.75">
      <c r="A1127" s="57">
        <f t="shared" si="254"/>
        <v>1125</v>
      </c>
      <c r="B1127" s="64" t="s">
        <v>430</v>
      </c>
      <c r="E1127" s="59"/>
      <c r="G1127" s="59"/>
      <c r="I1127" s="76"/>
      <c r="J1127" s="26">
        <f>(K1127)/SUM(K1107:K1113,K1117:K1123)</f>
        <v>0.03000005904361158</v>
      </c>
      <c r="K1127" s="81">
        <f>ROUND(SUM(K1107:K1113)*(1+J272)*J273+SUM(K1117:K1123)*(1+J626)*J627,0)</f>
        <v>15243</v>
      </c>
      <c r="M1127" s="81">
        <f>ROUND(SUM(M1107:M1113)*(1+J272)*J273+SUM(M1117:M1123)*(1+J626)*J627,0)</f>
        <v>15188</v>
      </c>
      <c r="O1127" s="76"/>
      <c r="P1127" s="26">
        <f>(Q1127)/SUM(Q1107:Q1113,Q1117:Q1123)</f>
        <v>0.02999912793232755</v>
      </c>
      <c r="Q1127" s="81">
        <f>ROUND(SUM(Q1107:Q1113)*(1+P272)*P273+SUM(Q1117:Q1123)*(1+P626)*P627,0)</f>
        <v>11008</v>
      </c>
      <c r="S1127" s="60"/>
      <c r="T1127" s="60"/>
      <c r="U1127" s="60"/>
      <c r="V1127" s="60"/>
      <c r="AG1127" s="60"/>
      <c r="AH1127" s="60"/>
      <c r="AU1127" s="76"/>
      <c r="AV1127" s="26">
        <f>(AW1127)/SUM(AW1107:AW1113,AW1117:AW1123)</f>
        <v>0</v>
      </c>
      <c r="AW1127" s="81">
        <f>ROUND(SUM(AW1107:AW1113)*(1+AV272)*AV273+SUM(AW1117:AW1123)*(1+AV626)*AV627,0)</f>
        <v>0</v>
      </c>
      <c r="AX1127" s="66" t="s">
        <v>99</v>
      </c>
      <c r="AY1127" s="58">
        <v>31</v>
      </c>
    </row>
    <row r="1128" spans="1:51" ht="15.75">
      <c r="A1128" s="57">
        <f t="shared" si="254"/>
        <v>1126</v>
      </c>
      <c r="AE1128" s="60"/>
      <c r="AF1128" s="60"/>
      <c r="AG1128" s="60"/>
      <c r="AH1128" s="60"/>
      <c r="AX1128" s="66" t="s">
        <v>99</v>
      </c>
      <c r="AY1128" s="58">
        <v>31</v>
      </c>
    </row>
    <row r="1129" spans="1:51" ht="15.75">
      <c r="A1129" s="57">
        <f t="shared" si="254"/>
        <v>1127</v>
      </c>
      <c r="AE1129" s="60"/>
      <c r="AF1129" s="60"/>
      <c r="AG1129" s="60"/>
      <c r="AH1129" s="60"/>
      <c r="AX1129" s="66" t="s">
        <v>99</v>
      </c>
      <c r="AY1129" s="58">
        <v>31</v>
      </c>
    </row>
    <row r="1130" spans="1:51" ht="15.75">
      <c r="A1130" s="57">
        <f t="shared" si="254"/>
        <v>1128</v>
      </c>
      <c r="B1130" s="64" t="s">
        <v>431</v>
      </c>
      <c r="E1130" s="59"/>
      <c r="G1130" s="59"/>
      <c r="AE1130" s="60"/>
      <c r="AF1130" s="60"/>
      <c r="AG1130" s="60"/>
      <c r="AH1130" s="60"/>
      <c r="AX1130" s="66" t="s">
        <v>108</v>
      </c>
      <c r="AY1130" s="58" t="s">
        <v>432</v>
      </c>
    </row>
    <row r="1131" spans="1:51" ht="15.75">
      <c r="A1131" s="57">
        <f t="shared" si="254"/>
        <v>1129</v>
      </c>
      <c r="B1131" s="64" t="s">
        <v>44</v>
      </c>
      <c r="E1131" s="59">
        <v>12</v>
      </c>
      <c r="G1131" s="59">
        <v>12</v>
      </c>
      <c r="I1131" s="76"/>
      <c r="J1131" s="93"/>
      <c r="K1131" s="34">
        <f>AW1131</f>
        <v>1179.48</v>
      </c>
      <c r="M1131" s="34">
        <f>K1131*$G$1131/$E$1131</f>
        <v>1179.48</v>
      </c>
      <c r="O1131" s="76"/>
      <c r="P1131" s="93"/>
      <c r="Q1131" s="34">
        <f aca="true" t="shared" si="263" ref="Q1131:Q1137">M1131</f>
        <v>1179.48</v>
      </c>
      <c r="AE1131" s="60"/>
      <c r="AF1131" s="60"/>
      <c r="AG1131" s="60"/>
      <c r="AH1131" s="60"/>
      <c r="AU1131" s="76"/>
      <c r="AV1131" s="93"/>
      <c r="AW1131" s="158">
        <v>1179.48</v>
      </c>
      <c r="AX1131" s="66" t="s">
        <v>108</v>
      </c>
      <c r="AY1131" s="58" t="s">
        <v>432</v>
      </c>
    </row>
    <row r="1132" spans="1:51" ht="15.75">
      <c r="A1132" s="57">
        <f aca="true" t="shared" si="264" ref="A1132:A1195">A1131+1</f>
        <v>1130</v>
      </c>
      <c r="B1132" s="64" t="s">
        <v>433</v>
      </c>
      <c r="E1132" s="59">
        <v>1063880</v>
      </c>
      <c r="G1132" s="59">
        <f>E1132*$G$1138/$E$1138</f>
        <v>1056552.7547968912</v>
      </c>
      <c r="I1132" s="76"/>
      <c r="J1132" s="93"/>
      <c r="K1132" s="158">
        <v>8095186.3</v>
      </c>
      <c r="M1132" s="34">
        <f aca="true" t="shared" si="265" ref="M1132:M1137">K1132*$G$1138/$E$1138</f>
        <v>8039432.441496272</v>
      </c>
      <c r="O1132" s="76"/>
      <c r="P1132" s="93"/>
      <c r="Q1132" s="34">
        <f t="shared" si="263"/>
        <v>8039432.441496272</v>
      </c>
      <c r="AE1132" s="60"/>
      <c r="AF1132" s="60"/>
      <c r="AG1132" s="60"/>
      <c r="AH1132" s="60"/>
      <c r="AU1132" s="159"/>
      <c r="AV1132" s="93"/>
      <c r="AW1132" s="158">
        <v>8095186.3</v>
      </c>
      <c r="AX1132" s="66" t="s">
        <v>108</v>
      </c>
      <c r="AY1132" s="58" t="s">
        <v>432</v>
      </c>
    </row>
    <row r="1133" spans="1:51" ht="15.75">
      <c r="A1133" s="57">
        <f t="shared" si="264"/>
        <v>1131</v>
      </c>
      <c r="B1133" s="64" t="s">
        <v>434</v>
      </c>
      <c r="E1133" s="59">
        <v>1104920</v>
      </c>
      <c r="G1133" s="59">
        <f>E1133*$G$1138/$E$1138</f>
        <v>1097310.1006036217</v>
      </c>
      <c r="I1133" s="159"/>
      <c r="J1133" s="93"/>
      <c r="K1133" s="158">
        <v>0</v>
      </c>
      <c r="M1133" s="34">
        <f t="shared" si="265"/>
        <v>0</v>
      </c>
      <c r="O1133" s="159"/>
      <c r="P1133" s="93"/>
      <c r="Q1133" s="34">
        <f t="shared" si="263"/>
        <v>0</v>
      </c>
      <c r="AE1133" s="60"/>
      <c r="AF1133" s="60"/>
      <c r="AG1133" s="60"/>
      <c r="AH1133" s="60"/>
      <c r="AU1133" s="159"/>
      <c r="AV1133" s="93"/>
      <c r="AW1133" s="158">
        <v>0</v>
      </c>
      <c r="AX1133" s="66" t="s">
        <v>108</v>
      </c>
      <c r="AY1133" s="58" t="s">
        <v>432</v>
      </c>
    </row>
    <row r="1134" spans="1:51" ht="15.75">
      <c r="A1134" s="57">
        <f t="shared" si="264"/>
        <v>1132</v>
      </c>
      <c r="B1134" s="64" t="s">
        <v>435</v>
      </c>
      <c r="E1134" s="59">
        <v>269260148</v>
      </c>
      <c r="G1134" s="59">
        <f>E1134*$G$1138/$E$1138</f>
        <v>267405676.51090223</v>
      </c>
      <c r="I1134" s="76"/>
      <c r="J1134" s="74"/>
      <c r="K1134" s="158">
        <v>4577898.73</v>
      </c>
      <c r="M1134" s="34">
        <f t="shared" si="265"/>
        <v>4546369.434863604</v>
      </c>
      <c r="O1134" s="76"/>
      <c r="P1134" s="74"/>
      <c r="Q1134" s="34">
        <f t="shared" si="263"/>
        <v>4546369.434863604</v>
      </c>
      <c r="AE1134" s="60"/>
      <c r="AF1134" s="60"/>
      <c r="AG1134" s="60"/>
      <c r="AH1134" s="60"/>
      <c r="AU1134" s="76"/>
      <c r="AV1134" s="93"/>
      <c r="AW1134" s="158">
        <v>4577898.73</v>
      </c>
      <c r="AX1134" s="66" t="s">
        <v>108</v>
      </c>
      <c r="AY1134" s="58" t="s">
        <v>432</v>
      </c>
    </row>
    <row r="1135" spans="1:51" ht="15.75">
      <c r="A1135" s="57">
        <f t="shared" si="264"/>
        <v>1133</v>
      </c>
      <c r="B1135" s="64" t="s">
        <v>436</v>
      </c>
      <c r="E1135" s="59">
        <v>327636852</v>
      </c>
      <c r="G1135" s="59">
        <f>E1135*$G$1138/$E$1138</f>
        <v>325380323.4890978</v>
      </c>
      <c r="I1135" s="76"/>
      <c r="J1135" s="79"/>
      <c r="K1135" s="158">
        <v>5048883.88</v>
      </c>
      <c r="M1135" s="34">
        <f t="shared" si="265"/>
        <v>5014110.775711186</v>
      </c>
      <c r="O1135" s="76"/>
      <c r="P1135" s="79"/>
      <c r="Q1135" s="34">
        <f t="shared" si="263"/>
        <v>5014110.775711186</v>
      </c>
      <c r="AE1135" s="60"/>
      <c r="AF1135" s="60"/>
      <c r="AG1135" s="60"/>
      <c r="AH1135" s="60"/>
      <c r="AU1135" s="104"/>
      <c r="AV1135" s="79"/>
      <c r="AW1135" s="158">
        <v>5048883.88</v>
      </c>
      <c r="AX1135" s="66" t="s">
        <v>108</v>
      </c>
      <c r="AY1135" s="58" t="s">
        <v>432</v>
      </c>
    </row>
    <row r="1136" spans="1:51" ht="15.75">
      <c r="A1136" s="57">
        <f t="shared" si="264"/>
        <v>1134</v>
      </c>
      <c r="B1136" s="64" t="s">
        <v>437</v>
      </c>
      <c r="E1136" s="59"/>
      <c r="G1136" s="59"/>
      <c r="K1136" s="66">
        <f>K1132+K1134</f>
        <v>12673085.030000001</v>
      </c>
      <c r="M1136" s="34">
        <f t="shared" si="265"/>
        <v>12585801.876359876</v>
      </c>
      <c r="Q1136" s="32">
        <f t="shared" si="263"/>
        <v>12585801.876359876</v>
      </c>
      <c r="AE1136" s="60"/>
      <c r="AF1136" s="60"/>
      <c r="AG1136" s="60"/>
      <c r="AH1136" s="60"/>
      <c r="AW1136" s="66">
        <f>AW1132+AW1134</f>
        <v>12673085.030000001</v>
      </c>
      <c r="AX1136" s="66" t="s">
        <v>108</v>
      </c>
      <c r="AY1136" s="58" t="s">
        <v>432</v>
      </c>
    </row>
    <row r="1137" spans="1:51" ht="15.75">
      <c r="A1137" s="57">
        <f t="shared" si="264"/>
        <v>1135</v>
      </c>
      <c r="B1137" s="64" t="s">
        <v>438</v>
      </c>
      <c r="E1137" s="78"/>
      <c r="G1137" s="78"/>
      <c r="K1137" s="81">
        <f>K1133+K1135</f>
        <v>5048883.88</v>
      </c>
      <c r="M1137" s="30">
        <f t="shared" si="265"/>
        <v>5014110.775711186</v>
      </c>
      <c r="Q1137" s="30">
        <f t="shared" si="263"/>
        <v>5014110.775711186</v>
      </c>
      <c r="AE1137" s="60"/>
      <c r="AF1137" s="60"/>
      <c r="AG1137" s="60"/>
      <c r="AH1137" s="60"/>
      <c r="AW1137" s="81">
        <f>AW1133+AW1135</f>
        <v>5048883.88</v>
      </c>
      <c r="AX1137" s="66" t="s">
        <v>108</v>
      </c>
      <c r="AY1137" s="58" t="s">
        <v>432</v>
      </c>
    </row>
    <row r="1138" spans="1:51" ht="16.5" thickBot="1">
      <c r="A1138" s="57">
        <f t="shared" si="264"/>
        <v>1136</v>
      </c>
      <c r="B1138" s="64" t="s">
        <v>58</v>
      </c>
      <c r="E1138" s="99">
        <f>E1135+E1134</f>
        <v>596897000</v>
      </c>
      <c r="G1138" s="99">
        <v>592786000</v>
      </c>
      <c r="I1138" s="96"/>
      <c r="J1138" s="100"/>
      <c r="K1138" s="45">
        <f>K1136+K1137+K1131</f>
        <v>17723148.39</v>
      </c>
      <c r="M1138" s="45">
        <f>M1136+M1137+M1131</f>
        <v>17601092.132071063</v>
      </c>
      <c r="O1138" s="96"/>
      <c r="P1138" s="100"/>
      <c r="Q1138" s="45">
        <f>Q1136+Q1137+Q1131</f>
        <v>17601092.132071063</v>
      </c>
      <c r="AE1138" s="60"/>
      <c r="AF1138" s="60"/>
      <c r="AG1138" s="60"/>
      <c r="AH1138" s="60"/>
      <c r="AU1138" s="96"/>
      <c r="AV1138" s="100"/>
      <c r="AW1138" s="97">
        <f>AW1136+AW1137+AW1131</f>
        <v>17723148.39</v>
      </c>
      <c r="AX1138" s="66" t="s">
        <v>108</v>
      </c>
      <c r="AY1138" s="58" t="s">
        <v>432</v>
      </c>
    </row>
    <row r="1139" spans="1:51" ht="16.5" thickTop="1">
      <c r="A1139" s="57">
        <f t="shared" si="264"/>
        <v>1137</v>
      </c>
      <c r="E1139" s="59"/>
      <c r="G1139" s="59"/>
      <c r="K1139" s="46"/>
      <c r="M1139" s="46"/>
      <c r="Q1139" s="46"/>
      <c r="AE1139" s="60"/>
      <c r="AF1139" s="60"/>
      <c r="AG1139" s="60"/>
      <c r="AH1139" s="60"/>
      <c r="AX1139" s="66" t="s">
        <v>108</v>
      </c>
      <c r="AY1139" s="58" t="s">
        <v>432</v>
      </c>
    </row>
    <row r="1140" spans="1:51" ht="15.75">
      <c r="A1140" s="57">
        <f t="shared" si="264"/>
        <v>1138</v>
      </c>
      <c r="E1140" s="160"/>
      <c r="G1140" s="160"/>
      <c r="J1140" s="93"/>
      <c r="K1140" s="16"/>
      <c r="M1140" s="16"/>
      <c r="P1140" s="93"/>
      <c r="Q1140" s="16"/>
      <c r="AE1140" s="60"/>
      <c r="AF1140" s="60"/>
      <c r="AG1140" s="60"/>
      <c r="AH1140" s="60"/>
      <c r="AV1140" s="93"/>
      <c r="AX1140" s="66" t="s">
        <v>108</v>
      </c>
      <c r="AY1140" s="58" t="s">
        <v>432</v>
      </c>
    </row>
    <row r="1141" spans="1:51" ht="15.75">
      <c r="A1141" s="57">
        <f t="shared" si="264"/>
        <v>1139</v>
      </c>
      <c r="B1141" s="132" t="s">
        <v>439</v>
      </c>
      <c r="C1141" s="63"/>
      <c r="D1141" s="63"/>
      <c r="E1141" s="59"/>
      <c r="F1141" s="63"/>
      <c r="G1141" s="59"/>
      <c r="H1141" s="63"/>
      <c r="J1141" s="93"/>
      <c r="K1141" s="16"/>
      <c r="L1141" s="63"/>
      <c r="M1141" s="16"/>
      <c r="N1141" s="63"/>
      <c r="P1141" s="93"/>
      <c r="Q1141" s="16"/>
      <c r="AE1141" s="60"/>
      <c r="AF1141" s="60"/>
      <c r="AG1141" s="60"/>
      <c r="AH1141" s="60"/>
      <c r="AT1141" s="63"/>
      <c r="AV1141" s="93"/>
      <c r="AX1141" s="66" t="s">
        <v>108</v>
      </c>
      <c r="AY1141" s="58" t="s">
        <v>440</v>
      </c>
    </row>
    <row r="1142" spans="1:51" ht="15.75">
      <c r="A1142" s="57">
        <f t="shared" si="264"/>
        <v>1140</v>
      </c>
      <c r="B1142" s="132" t="s">
        <v>441</v>
      </c>
      <c r="C1142" s="63"/>
      <c r="D1142" s="63"/>
      <c r="E1142" s="59"/>
      <c r="F1142" s="63"/>
      <c r="G1142" s="59"/>
      <c r="H1142" s="63"/>
      <c r="J1142" s="93"/>
      <c r="K1142" s="16"/>
      <c r="L1142" s="63"/>
      <c r="M1142" s="16"/>
      <c r="N1142" s="63"/>
      <c r="P1142" s="93"/>
      <c r="Q1142" s="16"/>
      <c r="AE1142" s="60"/>
      <c r="AF1142" s="60"/>
      <c r="AG1142" s="60"/>
      <c r="AH1142" s="60"/>
      <c r="AT1142" s="63"/>
      <c r="AV1142" s="93"/>
      <c r="AX1142" s="66" t="s">
        <v>108</v>
      </c>
      <c r="AY1142" s="58" t="s">
        <v>440</v>
      </c>
    </row>
    <row r="1143" spans="1:51" ht="15.75">
      <c r="A1143" s="57">
        <f t="shared" si="264"/>
        <v>1141</v>
      </c>
      <c r="B1143" s="63"/>
      <c r="C1143" s="63"/>
      <c r="D1143" s="63"/>
      <c r="E1143" s="59"/>
      <c r="F1143" s="63"/>
      <c r="G1143" s="59"/>
      <c r="H1143" s="63"/>
      <c r="J1143" s="93"/>
      <c r="K1143" s="16"/>
      <c r="L1143" s="63"/>
      <c r="M1143" s="16"/>
      <c r="N1143" s="63"/>
      <c r="P1143" s="93"/>
      <c r="Q1143" s="16"/>
      <c r="AE1143" s="60"/>
      <c r="AF1143" s="60"/>
      <c r="AG1143" s="60"/>
      <c r="AH1143" s="60"/>
      <c r="AT1143" s="63"/>
      <c r="AV1143" s="93"/>
      <c r="AX1143" s="66" t="s">
        <v>108</v>
      </c>
      <c r="AY1143" s="58" t="s">
        <v>440</v>
      </c>
    </row>
    <row r="1144" spans="1:51" ht="15.75">
      <c r="A1144" s="57">
        <f t="shared" si="264"/>
        <v>1142</v>
      </c>
      <c r="B1144" s="63"/>
      <c r="C1144" s="63"/>
      <c r="D1144" s="63"/>
      <c r="F1144" s="63"/>
      <c r="H1144" s="63"/>
      <c r="K1144" s="16"/>
      <c r="L1144" s="63"/>
      <c r="M1144" s="16"/>
      <c r="N1144" s="63"/>
      <c r="Q1144" s="16"/>
      <c r="AE1144" s="60"/>
      <c r="AF1144" s="60"/>
      <c r="AG1144" s="60"/>
      <c r="AH1144" s="60"/>
      <c r="AT1144" s="63"/>
      <c r="AX1144" s="66" t="s">
        <v>108</v>
      </c>
      <c r="AY1144" s="58" t="s">
        <v>440</v>
      </c>
    </row>
    <row r="1145" spans="1:51" ht="15.75">
      <c r="A1145" s="57">
        <f t="shared" si="264"/>
        <v>1143</v>
      </c>
      <c r="B1145" s="132" t="s">
        <v>44</v>
      </c>
      <c r="C1145" s="63"/>
      <c r="D1145" s="63"/>
      <c r="E1145" s="59">
        <v>12</v>
      </c>
      <c r="F1145" s="63"/>
      <c r="G1145" s="59">
        <v>12</v>
      </c>
      <c r="H1145" s="63"/>
      <c r="K1145" s="16"/>
      <c r="L1145" s="63"/>
      <c r="M1145" s="16"/>
      <c r="N1145" s="63"/>
      <c r="Q1145" s="16"/>
      <c r="AE1145" s="60"/>
      <c r="AF1145" s="60"/>
      <c r="AG1145" s="60"/>
      <c r="AH1145" s="60"/>
      <c r="AT1145" s="63"/>
      <c r="AU1145" s="76"/>
      <c r="AV1145" s="93"/>
      <c r="AX1145" s="66" t="s">
        <v>108</v>
      </c>
      <c r="AY1145" s="58" t="s">
        <v>440</v>
      </c>
    </row>
    <row r="1146" spans="1:51" ht="15.75">
      <c r="A1146" s="57">
        <f t="shared" si="264"/>
        <v>1144</v>
      </c>
      <c r="B1146" s="132" t="s">
        <v>442</v>
      </c>
      <c r="C1146" s="63"/>
      <c r="D1146" s="63"/>
      <c r="E1146" s="59">
        <v>0</v>
      </c>
      <c r="F1146" s="63"/>
      <c r="G1146" s="59">
        <f>E1146*$G$1149/$E$1149</f>
        <v>0</v>
      </c>
      <c r="H1146" s="63"/>
      <c r="K1146" s="32">
        <f>AW1146</f>
        <v>0</v>
      </c>
      <c r="L1146" s="63"/>
      <c r="M1146" s="32">
        <f>K1146</f>
        <v>0</v>
      </c>
      <c r="N1146" s="63"/>
      <c r="Q1146" s="32">
        <f>M1146</f>
        <v>0</v>
      </c>
      <c r="T1146" s="60"/>
      <c r="U1146" s="60"/>
      <c r="AE1146" s="60"/>
      <c r="AF1146" s="60"/>
      <c r="AG1146" s="60"/>
      <c r="AH1146" s="60"/>
      <c r="AT1146" s="63"/>
      <c r="AW1146" s="66">
        <v>0</v>
      </c>
      <c r="AX1146" s="66" t="s">
        <v>108</v>
      </c>
      <c r="AY1146" s="58" t="s">
        <v>440</v>
      </c>
    </row>
    <row r="1147" spans="1:51" ht="15.75">
      <c r="A1147" s="57">
        <f t="shared" si="264"/>
        <v>1145</v>
      </c>
      <c r="B1147" s="132" t="s">
        <v>443</v>
      </c>
      <c r="C1147" s="63"/>
      <c r="D1147" s="63"/>
      <c r="E1147" s="59">
        <v>652149100</v>
      </c>
      <c r="F1147" s="63"/>
      <c r="G1147" s="59">
        <f>G1149-G1148</f>
        <v>649703659.9999996</v>
      </c>
      <c r="H1147" s="63"/>
      <c r="J1147" s="47">
        <v>2.514</v>
      </c>
      <c r="K1147" s="66">
        <f>ROUND(J1147*$E1147/100,0)</f>
        <v>16395028</v>
      </c>
      <c r="L1147" s="63"/>
      <c r="M1147" s="66">
        <f>K1147*$G$1147/$E$1147</f>
        <v>16333549.639802422</v>
      </c>
      <c r="N1147" s="63"/>
      <c r="P1147" s="47"/>
      <c r="Q1147" s="66">
        <f>M1147</f>
        <v>16333549.639802422</v>
      </c>
      <c r="T1147" s="60"/>
      <c r="U1147" s="60"/>
      <c r="AE1147" s="60"/>
      <c r="AF1147" s="60"/>
      <c r="AG1147" s="60"/>
      <c r="AH1147" s="60"/>
      <c r="AT1147" s="63"/>
      <c r="AV1147" s="47">
        <v>2.1</v>
      </c>
      <c r="AW1147" s="66">
        <f>ROUND(AV1147*$E1147/100,0)</f>
        <v>13695131</v>
      </c>
      <c r="AX1147" s="66" t="s">
        <v>108</v>
      </c>
      <c r="AY1147" s="58" t="s">
        <v>440</v>
      </c>
    </row>
    <row r="1148" spans="1:51" ht="15.75">
      <c r="A1148" s="57">
        <f t="shared" si="264"/>
        <v>1146</v>
      </c>
      <c r="B1148" s="132" t="s">
        <v>444</v>
      </c>
      <c r="C1148" s="63"/>
      <c r="D1148" s="63"/>
      <c r="E1148" s="78">
        <v>28900000</v>
      </c>
      <c r="F1148" s="63"/>
      <c r="G1148" s="78">
        <v>28900000</v>
      </c>
      <c r="H1148" s="63"/>
      <c r="I1148" s="76"/>
      <c r="J1148" s="93"/>
      <c r="K1148" s="30">
        <f>AW1148</f>
        <v>916759.4516419307</v>
      </c>
      <c r="L1148" s="63"/>
      <c r="M1148" s="30">
        <f>K1148*$G$1148/$E$1148</f>
        <v>916759.4516419307</v>
      </c>
      <c r="N1148" s="63"/>
      <c r="P1148" s="93"/>
      <c r="Q1148" s="30">
        <f>M1148</f>
        <v>916759.4516419307</v>
      </c>
      <c r="R1148" s="16"/>
      <c r="T1148" s="60"/>
      <c r="U1148" s="60"/>
      <c r="AE1148" s="60"/>
      <c r="AF1148" s="60"/>
      <c r="AG1148" s="60"/>
      <c r="AH1148" s="60"/>
      <c r="AT1148" s="63"/>
      <c r="AU1148" s="76"/>
      <c r="AV1148" s="47">
        <f>AW1148*100/G1148</f>
        <v>3.1721780333630822</v>
      </c>
      <c r="AW1148" s="81">
        <v>916759.4516419307</v>
      </c>
      <c r="AX1148" s="66" t="s">
        <v>108</v>
      </c>
      <c r="AY1148" s="58" t="s">
        <v>440</v>
      </c>
    </row>
    <row r="1149" spans="1:51" ht="16.5" thickBot="1">
      <c r="A1149" s="57">
        <f t="shared" si="264"/>
        <v>1147</v>
      </c>
      <c r="B1149" s="64" t="s">
        <v>58</v>
      </c>
      <c r="C1149" s="63"/>
      <c r="D1149" s="63"/>
      <c r="E1149" s="99">
        <f>E1147+E1148</f>
        <v>681049100</v>
      </c>
      <c r="F1149" s="63"/>
      <c r="G1149" s="99">
        <v>678603659.9999996</v>
      </c>
      <c r="H1149" s="63"/>
      <c r="I1149" s="96"/>
      <c r="J1149" s="100"/>
      <c r="K1149" s="97">
        <f>SUM(K1146:K1148)</f>
        <v>17311787.451641932</v>
      </c>
      <c r="L1149" s="63"/>
      <c r="M1149" s="97">
        <f>SUM(M1146:M1148)</f>
        <v>17250309.091444355</v>
      </c>
      <c r="N1149" s="63"/>
      <c r="O1149" s="96"/>
      <c r="P1149" s="100"/>
      <c r="Q1149" s="97">
        <f>SUM(Q1146:Q1148)</f>
        <v>17250309.091444355</v>
      </c>
      <c r="R1149" s="60"/>
      <c r="S1149" s="60"/>
      <c r="AE1149" s="60"/>
      <c r="AF1149" s="60"/>
      <c r="AG1149" s="60"/>
      <c r="AH1149" s="60"/>
      <c r="AT1149" s="63"/>
      <c r="AU1149" s="96"/>
      <c r="AV1149" s="100"/>
      <c r="AW1149" s="97">
        <f>SUM(AW1146:AW1148)</f>
        <v>14611890.45164193</v>
      </c>
      <c r="AX1149" s="66" t="s">
        <v>108</v>
      </c>
      <c r="AY1149" s="58" t="s">
        <v>440</v>
      </c>
    </row>
    <row r="1150" spans="1:51" ht="16.5" thickTop="1">
      <c r="A1150" s="57">
        <f t="shared" si="264"/>
        <v>1148</v>
      </c>
      <c r="B1150" s="64" t="s">
        <v>60</v>
      </c>
      <c r="E1150" s="59"/>
      <c r="G1150" s="59"/>
      <c r="I1150" s="76"/>
      <c r="J1150" s="26">
        <v>0</v>
      </c>
      <c r="K1150" s="81">
        <f>ROUND(K1147*J1150,0)</f>
        <v>0</v>
      </c>
      <c r="M1150" s="81">
        <f>ROUND(M1147*J1150,0)</f>
        <v>0</v>
      </c>
      <c r="O1150" s="76"/>
      <c r="P1150" s="26">
        <v>0</v>
      </c>
      <c r="Q1150" s="81">
        <f>ROUND(Q1147*P1150,0)</f>
        <v>0</v>
      </c>
      <c r="R1150" s="60"/>
      <c r="S1150" s="60"/>
      <c r="AE1150" s="60"/>
      <c r="AF1150" s="60"/>
      <c r="AG1150" s="60"/>
      <c r="AH1150" s="60"/>
      <c r="AU1150" s="76"/>
      <c r="AV1150" s="26">
        <v>0</v>
      </c>
      <c r="AW1150" s="81">
        <f>ROUND(AW1149*AV1150,0)</f>
        <v>0</v>
      </c>
      <c r="AX1150" s="66" t="s">
        <v>108</v>
      </c>
      <c r="AY1150" s="58" t="s">
        <v>440</v>
      </c>
    </row>
    <row r="1151" spans="1:51" ht="15.75">
      <c r="A1151" s="57">
        <f t="shared" si="264"/>
        <v>1149</v>
      </c>
      <c r="B1151" s="60"/>
      <c r="E1151" s="59"/>
      <c r="G1151" s="59"/>
      <c r="J1151" s="93"/>
      <c r="K1151" s="16"/>
      <c r="M1151" s="16"/>
      <c r="P1151" s="93"/>
      <c r="Q1151" s="16"/>
      <c r="R1151" s="60"/>
      <c r="S1151" s="60"/>
      <c r="AE1151" s="60"/>
      <c r="AF1151" s="60"/>
      <c r="AG1151" s="60"/>
      <c r="AH1151" s="60"/>
      <c r="AV1151" s="93"/>
      <c r="AX1151" s="66" t="s">
        <v>108</v>
      </c>
      <c r="AY1151" s="58" t="s">
        <v>440</v>
      </c>
    </row>
    <row r="1152" spans="1:51" ht="15.75">
      <c r="A1152" s="57">
        <f t="shared" si="264"/>
        <v>1150</v>
      </c>
      <c r="B1152" s="64" t="s">
        <v>445</v>
      </c>
      <c r="E1152" s="59"/>
      <c r="G1152" s="59"/>
      <c r="J1152" s="93"/>
      <c r="K1152" s="16"/>
      <c r="M1152" s="16"/>
      <c r="P1152" s="93"/>
      <c r="Q1152" s="16"/>
      <c r="R1152" s="133"/>
      <c r="S1152" s="77"/>
      <c r="AE1152" s="60"/>
      <c r="AF1152" s="60"/>
      <c r="AG1152" s="60"/>
      <c r="AH1152" s="60"/>
      <c r="AV1152" s="93"/>
      <c r="AX1152" s="66" t="s">
        <v>108</v>
      </c>
      <c r="AY1152" s="58" t="s">
        <v>18</v>
      </c>
    </row>
    <row r="1153" spans="1:51" ht="15.75">
      <c r="A1153" s="57">
        <f t="shared" si="264"/>
        <v>1151</v>
      </c>
      <c r="E1153" s="59"/>
      <c r="G1153" s="59"/>
      <c r="I1153" s="161"/>
      <c r="J1153" s="93"/>
      <c r="K1153" s="16"/>
      <c r="M1153" s="16"/>
      <c r="O1153" s="161"/>
      <c r="P1153" s="93"/>
      <c r="Q1153" s="16"/>
      <c r="AE1153" s="60"/>
      <c r="AF1153" s="60"/>
      <c r="AG1153" s="60"/>
      <c r="AH1153" s="60"/>
      <c r="AV1153" s="93"/>
      <c r="AX1153" s="66" t="s">
        <v>108</v>
      </c>
      <c r="AY1153" s="58" t="s">
        <v>18</v>
      </c>
    </row>
    <row r="1154" spans="1:51" ht="15.75">
      <c r="A1154" s="57">
        <f t="shared" si="264"/>
        <v>1152</v>
      </c>
      <c r="B1154" s="64" t="s">
        <v>44</v>
      </c>
      <c r="E1154" s="59">
        <v>12</v>
      </c>
      <c r="G1154" s="59">
        <v>12</v>
      </c>
      <c r="I1154" s="69"/>
      <c r="J1154" s="93"/>
      <c r="K1154" s="34">
        <f>AW1154</f>
        <v>3303</v>
      </c>
      <c r="M1154" s="34">
        <f aca="true" t="shared" si="266" ref="M1154:M1159">K1154*$G1154/$E1154</f>
        <v>3303</v>
      </c>
      <c r="O1154" s="69"/>
      <c r="P1154" s="93"/>
      <c r="Q1154" s="34">
        <f aca="true" t="shared" si="267" ref="Q1154:Q1159">M1154</f>
        <v>3303</v>
      </c>
      <c r="AE1154" s="60"/>
      <c r="AF1154" s="60"/>
      <c r="AG1154" s="60"/>
      <c r="AH1154" s="60"/>
      <c r="AU1154" s="69"/>
      <c r="AV1154" s="93"/>
      <c r="AW1154" s="158">
        <v>3303</v>
      </c>
      <c r="AX1154" s="66" t="s">
        <v>108</v>
      </c>
      <c r="AY1154" s="58" t="s">
        <v>18</v>
      </c>
    </row>
    <row r="1155" spans="1:51" ht="15.75">
      <c r="A1155" s="57">
        <f t="shared" si="264"/>
        <v>1153</v>
      </c>
      <c r="B1155" s="64" t="s">
        <v>228</v>
      </c>
      <c r="E1155" s="59">
        <v>831000</v>
      </c>
      <c r="G1155" s="59">
        <f>E1155*$G$1160/$E$1160</f>
        <v>876769.8873576621</v>
      </c>
      <c r="I1155" s="69"/>
      <c r="J1155" s="93"/>
      <c r="K1155" s="158">
        <v>1238190</v>
      </c>
      <c r="M1155" s="34">
        <f t="shared" si="266"/>
        <v>1306387.1321629165</v>
      </c>
      <c r="O1155" s="69"/>
      <c r="P1155" s="93"/>
      <c r="Q1155" s="34">
        <f t="shared" si="267"/>
        <v>1306387.1321629165</v>
      </c>
      <c r="AE1155" s="60"/>
      <c r="AF1155" s="60"/>
      <c r="AG1155" s="60"/>
      <c r="AH1155" s="60"/>
      <c r="AU1155" s="69"/>
      <c r="AV1155" s="93"/>
      <c r="AW1155" s="158">
        <v>1305501</v>
      </c>
      <c r="AX1155" s="66" t="s">
        <v>108</v>
      </c>
      <c r="AY1155" s="58" t="s">
        <v>18</v>
      </c>
    </row>
    <row r="1156" spans="1:51" ht="15.75">
      <c r="A1156" s="57">
        <f t="shared" si="264"/>
        <v>1154</v>
      </c>
      <c r="B1156" s="64" t="s">
        <v>446</v>
      </c>
      <c r="E1156" s="59">
        <v>3176128</v>
      </c>
      <c r="G1156" s="59">
        <f>E1156*$G$1160/$E$1160</f>
        <v>3351063.0430728234</v>
      </c>
      <c r="I1156" s="76"/>
      <c r="J1156" s="73"/>
      <c r="K1156" s="158">
        <v>1002385.9968</v>
      </c>
      <c r="M1156" s="34">
        <f t="shared" si="266"/>
        <v>1057595.496393783</v>
      </c>
      <c r="O1156" s="76"/>
      <c r="P1156" s="73"/>
      <c r="Q1156" s="34">
        <f t="shared" si="267"/>
        <v>1057595.496393783</v>
      </c>
      <c r="AE1156" s="60"/>
      <c r="AF1156" s="60"/>
      <c r="AG1156" s="60"/>
      <c r="AH1156" s="60"/>
      <c r="AU1156" s="76"/>
      <c r="AV1156" s="73"/>
      <c r="AW1156" s="158">
        <v>969037</v>
      </c>
      <c r="AX1156" s="66" t="s">
        <v>108</v>
      </c>
      <c r="AY1156" s="58" t="s">
        <v>18</v>
      </c>
    </row>
    <row r="1157" spans="1:51" ht="15.75">
      <c r="A1157" s="57">
        <f t="shared" si="264"/>
        <v>1155</v>
      </c>
      <c r="B1157" s="64" t="s">
        <v>447</v>
      </c>
      <c r="E1157" s="59">
        <v>841685</v>
      </c>
      <c r="G1157" s="59">
        <f>E1157*$G$1160/$E$1160</f>
        <v>888043.396679463</v>
      </c>
      <c r="I1157" s="76"/>
      <c r="J1157" s="73"/>
      <c r="K1157" s="158">
        <v>5684605.149999999</v>
      </c>
      <c r="M1157" s="34">
        <f t="shared" si="266"/>
        <v>5997702.306905276</v>
      </c>
      <c r="O1157" s="76"/>
      <c r="P1157" s="73"/>
      <c r="Q1157" s="34">
        <f t="shared" si="267"/>
        <v>5997702.306905276</v>
      </c>
      <c r="AE1157" s="60"/>
      <c r="AF1157" s="60"/>
      <c r="AG1157" s="60"/>
      <c r="AH1157" s="60"/>
      <c r="AU1157" s="76"/>
      <c r="AV1157" s="73"/>
      <c r="AW1157" s="158">
        <v>5342175</v>
      </c>
      <c r="AX1157" s="66" t="s">
        <v>108</v>
      </c>
      <c r="AY1157" s="58" t="s">
        <v>18</v>
      </c>
    </row>
    <row r="1158" spans="1:51" ht="15.75">
      <c r="A1158" s="57">
        <f t="shared" si="264"/>
        <v>1156</v>
      </c>
      <c r="B1158" s="64" t="s">
        <v>448</v>
      </c>
      <c r="E1158" s="59">
        <v>2780977</v>
      </c>
      <c r="G1158" s="59">
        <f>E1158*$G$1160/$E$1160</f>
        <v>2934147.883314379</v>
      </c>
      <c r="I1158" s="76"/>
      <c r="J1158" s="73"/>
      <c r="K1158" s="66">
        <v>438838.1706</v>
      </c>
      <c r="M1158" s="34">
        <f t="shared" si="266"/>
        <v>463008.53598700906</v>
      </c>
      <c r="O1158" s="76"/>
      <c r="P1158" s="73"/>
      <c r="Q1158" s="34">
        <f t="shared" si="267"/>
        <v>463008.53598700906</v>
      </c>
      <c r="AE1158" s="60"/>
      <c r="AF1158" s="60"/>
      <c r="AG1158" s="60"/>
      <c r="AH1158" s="60"/>
      <c r="AU1158" s="76"/>
      <c r="AV1158" s="73"/>
      <c r="AW1158" s="66">
        <v>424238</v>
      </c>
      <c r="AX1158" s="66" t="s">
        <v>108</v>
      </c>
      <c r="AY1158" s="58" t="s">
        <v>18</v>
      </c>
    </row>
    <row r="1159" spans="1:51" ht="15.75">
      <c r="A1159" s="57">
        <f t="shared" si="264"/>
        <v>1157</v>
      </c>
      <c r="B1159" s="64" t="s">
        <v>449</v>
      </c>
      <c r="E1159" s="78">
        <f>581769975-(-950000-4810000)</f>
        <v>587529975</v>
      </c>
      <c r="G1159" s="78">
        <f>E1159*$G$1160/$E$1160</f>
        <v>619890000</v>
      </c>
      <c r="I1159" s="76"/>
      <c r="J1159" s="73"/>
      <c r="K1159" s="129">
        <v>12502050.338025</v>
      </c>
      <c r="M1159" s="30">
        <f t="shared" si="266"/>
        <v>13190639.309999999</v>
      </c>
      <c r="O1159" s="76"/>
      <c r="P1159" s="73"/>
      <c r="Q1159" s="30">
        <f t="shared" si="267"/>
        <v>13190639.309999999</v>
      </c>
      <c r="AE1159" s="60"/>
      <c r="AF1159" s="60"/>
      <c r="AG1159" s="60"/>
      <c r="AH1159" s="60"/>
      <c r="AU1159" s="76"/>
      <c r="AV1159" s="73"/>
      <c r="AW1159" s="129">
        <v>13193573</v>
      </c>
      <c r="AX1159" s="66" t="s">
        <v>108</v>
      </c>
      <c r="AY1159" s="58" t="s">
        <v>18</v>
      </c>
    </row>
    <row r="1160" spans="1:51" ht="16.5" thickBot="1">
      <c r="A1160" s="57">
        <f t="shared" si="264"/>
        <v>1158</v>
      </c>
      <c r="B1160" s="64" t="s">
        <v>450</v>
      </c>
      <c r="E1160" s="99">
        <f>E1159</f>
        <v>587529975</v>
      </c>
      <c r="G1160" s="99">
        <v>619890000</v>
      </c>
      <c r="I1160" s="96"/>
      <c r="J1160" s="100"/>
      <c r="K1160" s="45">
        <f>SUM(K1154:K1159)</f>
        <v>20869372.655424997</v>
      </c>
      <c r="M1160" s="45">
        <f>SUM(M1154:M1159)</f>
        <v>22018635.781448983</v>
      </c>
      <c r="O1160" s="96"/>
      <c r="P1160" s="100"/>
      <c r="Q1160" s="45">
        <f>SUM(Q1154:Q1159)</f>
        <v>22018635.781448983</v>
      </c>
      <c r="AE1160" s="60"/>
      <c r="AF1160" s="60"/>
      <c r="AG1160" s="60"/>
      <c r="AH1160" s="60"/>
      <c r="AU1160" s="96"/>
      <c r="AV1160" s="100"/>
      <c r="AW1160" s="97">
        <f>SUM(AW1154:AW1159)</f>
        <v>21237827</v>
      </c>
      <c r="AX1160" s="66" t="s">
        <v>108</v>
      </c>
      <c r="AY1160" s="58" t="s">
        <v>18</v>
      </c>
    </row>
    <row r="1161" spans="1:51" ht="16.5" thickTop="1">
      <c r="A1161" s="57">
        <f t="shared" si="264"/>
        <v>1159</v>
      </c>
      <c r="E1161" s="59"/>
      <c r="G1161" s="59"/>
      <c r="J1161" s="93"/>
      <c r="K1161" s="16"/>
      <c r="M1161" s="16"/>
      <c r="P1161" s="93"/>
      <c r="Q1161" s="16"/>
      <c r="AE1161" s="60"/>
      <c r="AF1161" s="60"/>
      <c r="AG1161" s="60"/>
      <c r="AH1161" s="60"/>
      <c r="AV1161" s="93"/>
      <c r="AX1161" s="66" t="s">
        <v>108</v>
      </c>
      <c r="AY1161" s="58" t="s">
        <v>18</v>
      </c>
    </row>
    <row r="1162" spans="1:51" ht="15.75">
      <c r="A1162" s="57">
        <f t="shared" si="264"/>
        <v>1160</v>
      </c>
      <c r="K1162" s="16"/>
      <c r="M1162" s="16"/>
      <c r="Q1162" s="16"/>
      <c r="AE1162" s="60"/>
      <c r="AF1162" s="60"/>
      <c r="AG1162" s="60"/>
      <c r="AH1162" s="60"/>
      <c r="AX1162" s="66" t="s">
        <v>108</v>
      </c>
      <c r="AY1162" s="58" t="s">
        <v>18</v>
      </c>
    </row>
    <row r="1163" spans="1:51" ht="15.75">
      <c r="A1163" s="57">
        <f t="shared" si="264"/>
        <v>1161</v>
      </c>
      <c r="B1163" s="64" t="s">
        <v>451</v>
      </c>
      <c r="E1163" s="59"/>
      <c r="G1163" s="59"/>
      <c r="J1163" s="93"/>
      <c r="K1163" s="16"/>
      <c r="M1163" s="16"/>
      <c r="P1163" s="93"/>
      <c r="Q1163" s="16"/>
      <c r="AE1163" s="60"/>
      <c r="AF1163" s="60"/>
      <c r="AG1163" s="60"/>
      <c r="AH1163" s="60"/>
      <c r="AV1163" s="93"/>
      <c r="AX1163" s="66" t="s">
        <v>108</v>
      </c>
      <c r="AY1163" s="58" t="s">
        <v>452</v>
      </c>
    </row>
    <row r="1164" spans="1:51" ht="15.75">
      <c r="A1164" s="57">
        <f t="shared" si="264"/>
        <v>1162</v>
      </c>
      <c r="B1164" s="64" t="s">
        <v>44</v>
      </c>
      <c r="E1164" s="58">
        <v>12</v>
      </c>
      <c r="G1164" s="58">
        <v>12</v>
      </c>
      <c r="K1164" s="34">
        <v>1179.48</v>
      </c>
      <c r="M1164" s="34">
        <f>K1164*$G$1164/$E$1164</f>
        <v>1179.48</v>
      </c>
      <c r="Q1164" s="34">
        <f>M1164</f>
        <v>1179.48</v>
      </c>
      <c r="AE1164" s="60"/>
      <c r="AF1164" s="60"/>
      <c r="AG1164" s="60"/>
      <c r="AH1164" s="60"/>
      <c r="AW1164" s="158">
        <v>1179.48</v>
      </c>
      <c r="AX1164" s="66" t="s">
        <v>108</v>
      </c>
      <c r="AY1164" s="58" t="s">
        <v>452</v>
      </c>
    </row>
    <row r="1165" spans="1:51" ht="15.75">
      <c r="A1165" s="57">
        <f t="shared" si="264"/>
        <v>1163</v>
      </c>
      <c r="B1165" s="64" t="s">
        <v>453</v>
      </c>
      <c r="E1165" s="59">
        <v>372186</v>
      </c>
      <c r="G1165" s="59">
        <f>E1165*$G$1167/$E$1167</f>
        <v>373442.8619970014</v>
      </c>
      <c r="I1165" s="76"/>
      <c r="J1165" s="73"/>
      <c r="K1165" s="158">
        <v>2734290.84</v>
      </c>
      <c r="M1165" s="34">
        <f>K1165*$G$1167/$E$1167</f>
        <v>2743524.46578266</v>
      </c>
      <c r="O1165" s="76"/>
      <c r="P1165" s="73"/>
      <c r="Q1165" s="34">
        <f>M1165</f>
        <v>2743524.46578266</v>
      </c>
      <c r="AE1165" s="60"/>
      <c r="AF1165" s="60"/>
      <c r="AG1165" s="60"/>
      <c r="AH1165" s="60"/>
      <c r="AU1165" s="76"/>
      <c r="AV1165" s="73"/>
      <c r="AW1165" s="158">
        <v>2363381.1</v>
      </c>
      <c r="AX1165" s="66" t="s">
        <v>108</v>
      </c>
      <c r="AY1165" s="58" t="s">
        <v>452</v>
      </c>
    </row>
    <row r="1166" spans="1:51" ht="15.75">
      <c r="A1166" s="57">
        <f t="shared" si="264"/>
        <v>1164</v>
      </c>
      <c r="B1166" s="64" t="s">
        <v>454</v>
      </c>
      <c r="E1166" s="78">
        <v>238912200</v>
      </c>
      <c r="G1166" s="78">
        <f>E1166*$G$1167/$E$1167</f>
        <v>239719000</v>
      </c>
      <c r="J1166" s="93"/>
      <c r="K1166" s="129">
        <v>5083812.7038</v>
      </c>
      <c r="M1166" s="42">
        <f>K1166*$G$1167/$E$1167</f>
        <v>5100980.601</v>
      </c>
      <c r="P1166" s="93"/>
      <c r="Q1166" s="30">
        <f>M1166</f>
        <v>5100980.601</v>
      </c>
      <c r="AE1166" s="60"/>
      <c r="AF1166" s="60"/>
      <c r="AG1166" s="60"/>
      <c r="AH1166" s="60"/>
      <c r="AV1166" s="79"/>
      <c r="AW1166" s="129">
        <v>5364773.45</v>
      </c>
      <c r="AX1166" s="66" t="s">
        <v>108</v>
      </c>
      <c r="AY1166" s="58" t="s">
        <v>452</v>
      </c>
    </row>
    <row r="1167" spans="1:51" ht="16.5" thickBot="1">
      <c r="A1167" s="57">
        <f t="shared" si="264"/>
        <v>1165</v>
      </c>
      <c r="B1167" s="64" t="s">
        <v>455</v>
      </c>
      <c r="E1167" s="99">
        <f>E1166</f>
        <v>238912200</v>
      </c>
      <c r="G1167" s="99">
        <v>239719000</v>
      </c>
      <c r="I1167" s="96"/>
      <c r="J1167" s="96"/>
      <c r="K1167" s="45">
        <f>SUM(K1164:K1166)</f>
        <v>7819283.023800001</v>
      </c>
      <c r="M1167" s="45">
        <f>SUM(M1164:M1166)</f>
        <v>7845684.546782659</v>
      </c>
      <c r="O1167" s="96"/>
      <c r="P1167" s="96"/>
      <c r="Q1167" s="45">
        <f>SUM(Q1164:Q1166)</f>
        <v>7845684.546782659</v>
      </c>
      <c r="AE1167" s="60"/>
      <c r="AF1167" s="60"/>
      <c r="AG1167" s="60"/>
      <c r="AH1167" s="60"/>
      <c r="AU1167" s="96"/>
      <c r="AV1167" s="96"/>
      <c r="AW1167" s="97">
        <f>SUM(AW1164:AW1166)</f>
        <v>7729334.03</v>
      </c>
      <c r="AX1167" s="66" t="s">
        <v>108</v>
      </c>
      <c r="AY1167" s="58" t="s">
        <v>452</v>
      </c>
    </row>
    <row r="1168" spans="1:51" ht="16.5" thickTop="1">
      <c r="A1168" s="57">
        <f t="shared" si="264"/>
        <v>1166</v>
      </c>
      <c r="E1168" s="59"/>
      <c r="G1168" s="59"/>
      <c r="K1168" s="16"/>
      <c r="M1168" s="16"/>
      <c r="Q1168" s="16"/>
      <c r="AE1168" s="60"/>
      <c r="AF1168" s="60"/>
      <c r="AG1168" s="60"/>
      <c r="AH1168" s="60"/>
      <c r="AX1168" s="66" t="s">
        <v>108</v>
      </c>
      <c r="AY1168" s="58" t="s">
        <v>452</v>
      </c>
    </row>
    <row r="1169" spans="1:51" ht="15.75">
      <c r="A1169" s="57">
        <f t="shared" si="264"/>
        <v>1167</v>
      </c>
      <c r="E1169" s="59"/>
      <c r="G1169" s="59"/>
      <c r="AE1169" s="60"/>
      <c r="AF1169" s="60"/>
      <c r="AG1169" s="60"/>
      <c r="AH1169" s="60"/>
      <c r="AV1169" s="162"/>
      <c r="AX1169" s="66" t="s">
        <v>108</v>
      </c>
      <c r="AY1169" s="58" t="s">
        <v>452</v>
      </c>
    </row>
    <row r="1170" spans="1:51" ht="15.75">
      <c r="A1170" s="57">
        <f t="shared" si="264"/>
        <v>1168</v>
      </c>
      <c r="B1170" s="64" t="s">
        <v>456</v>
      </c>
      <c r="E1170" s="59"/>
      <c r="G1170" s="59"/>
      <c r="J1170" s="93"/>
      <c r="P1170" s="93"/>
      <c r="AE1170" s="60"/>
      <c r="AF1170" s="60"/>
      <c r="AG1170" s="60"/>
      <c r="AH1170" s="60"/>
      <c r="AV1170" s="93"/>
      <c r="AX1170" s="66" t="s">
        <v>261</v>
      </c>
      <c r="AY1170" s="58">
        <v>60</v>
      </c>
    </row>
    <row r="1171" spans="1:51" ht="15.75">
      <c r="A1171" s="57">
        <f t="shared" si="264"/>
        <v>1169</v>
      </c>
      <c r="B1171" s="64" t="s">
        <v>262</v>
      </c>
      <c r="E1171" s="59"/>
      <c r="G1171" s="59"/>
      <c r="J1171" s="93"/>
      <c r="P1171" s="93"/>
      <c r="AE1171" s="60"/>
      <c r="AF1171" s="60"/>
      <c r="AG1171" s="60"/>
      <c r="AH1171" s="60"/>
      <c r="AV1171" s="79"/>
      <c r="AX1171" s="66" t="s">
        <v>261</v>
      </c>
      <c r="AY1171" s="58">
        <v>60</v>
      </c>
    </row>
    <row r="1172" spans="1:51" ht="15.75">
      <c r="A1172" s="57">
        <f t="shared" si="264"/>
        <v>1170</v>
      </c>
      <c r="B1172" s="58" t="s">
        <v>360</v>
      </c>
      <c r="E1172" s="59">
        <v>12</v>
      </c>
      <c r="G1172" s="59">
        <v>12</v>
      </c>
      <c r="J1172" s="93"/>
      <c r="P1172" s="93"/>
      <c r="AE1172" s="60"/>
      <c r="AF1172" s="60"/>
      <c r="AG1172" s="60"/>
      <c r="AH1172" s="60"/>
      <c r="AU1172" s="69"/>
      <c r="AV1172" s="93"/>
      <c r="AX1172" s="66" t="s">
        <v>261</v>
      </c>
      <c r="AY1172" s="58">
        <v>60</v>
      </c>
    </row>
    <row r="1173" spans="1:51" ht="15.75">
      <c r="A1173" s="57">
        <f t="shared" si="264"/>
        <v>1171</v>
      </c>
      <c r="B1173" s="64" t="s">
        <v>457</v>
      </c>
      <c r="E1173" s="59">
        <v>60</v>
      </c>
      <c r="G1173" s="59">
        <v>60</v>
      </c>
      <c r="I1173" s="69">
        <v>7.75</v>
      </c>
      <c r="J1173" s="93"/>
      <c r="K1173" s="66">
        <f>ROUND(I1173*$E1173,0)</f>
        <v>465</v>
      </c>
      <c r="M1173" s="66">
        <f>ROUND(I1173*$G1173,0)</f>
        <v>465</v>
      </c>
      <c r="O1173" s="69">
        <v>7.75</v>
      </c>
      <c r="P1173" s="93"/>
      <c r="Q1173" s="66">
        <f>ROUND(O1173*$G1173,0)</f>
        <v>465</v>
      </c>
      <c r="AE1173" s="60"/>
      <c r="AF1173" s="60"/>
      <c r="AG1173" s="60"/>
      <c r="AH1173" s="60"/>
      <c r="AU1173" s="69">
        <v>7.75</v>
      </c>
      <c r="AV1173" s="93"/>
      <c r="AW1173" s="66">
        <f>ROUND(AU1173*$E1173,0)</f>
        <v>465</v>
      </c>
      <c r="AX1173" s="66" t="s">
        <v>261</v>
      </c>
      <c r="AY1173" s="58">
        <v>60</v>
      </c>
    </row>
    <row r="1174" spans="1:51" ht="15.75">
      <c r="A1174" s="57">
        <f t="shared" si="264"/>
        <v>1172</v>
      </c>
      <c r="B1174" s="64" t="s">
        <v>84</v>
      </c>
      <c r="E1174" s="59">
        <v>780</v>
      </c>
      <c r="G1174" s="59">
        <v>780</v>
      </c>
      <c r="I1174" s="76"/>
      <c r="J1174" s="79">
        <v>0</v>
      </c>
      <c r="K1174" s="66">
        <f>ROUND(J1174*$E1174/100,0)</f>
        <v>0</v>
      </c>
      <c r="M1174" s="66">
        <f>ROUND(J1174*$G1174/100,0)</f>
        <v>0</v>
      </c>
      <c r="O1174" s="76"/>
      <c r="P1174" s="79">
        <v>0</v>
      </c>
      <c r="Q1174" s="66">
        <f>ROUND(P1174*$G1174/100,0)</f>
        <v>0</v>
      </c>
      <c r="AE1174" s="60"/>
      <c r="AF1174" s="60"/>
      <c r="AG1174" s="60"/>
      <c r="AH1174" s="60"/>
      <c r="AU1174" s="76"/>
      <c r="AV1174" s="163">
        <v>0</v>
      </c>
      <c r="AW1174" s="66">
        <f>ROUND(AV1174*$E1174/100,0)</f>
        <v>0</v>
      </c>
      <c r="AX1174" s="66" t="s">
        <v>261</v>
      </c>
      <c r="AY1174" s="58">
        <v>60</v>
      </c>
    </row>
    <row r="1175" spans="1:51" ht="15.75">
      <c r="A1175" s="57">
        <f t="shared" si="264"/>
        <v>1173</v>
      </c>
      <c r="B1175" s="58" t="s">
        <v>189</v>
      </c>
      <c r="E1175" s="39">
        <v>-6</v>
      </c>
      <c r="G1175" s="39">
        <v>0</v>
      </c>
      <c r="J1175" s="93"/>
      <c r="K1175" s="81">
        <f>AW1175</f>
        <v>22</v>
      </c>
      <c r="M1175" s="81">
        <v>0</v>
      </c>
      <c r="P1175" s="93"/>
      <c r="Q1175" s="81">
        <v>0</v>
      </c>
      <c r="AE1175" s="60"/>
      <c r="AF1175" s="60"/>
      <c r="AG1175" s="60"/>
      <c r="AH1175" s="60"/>
      <c r="AV1175" s="93"/>
      <c r="AW1175" s="39">
        <v>22</v>
      </c>
      <c r="AX1175" s="66" t="s">
        <v>261</v>
      </c>
      <c r="AY1175" s="58">
        <v>60</v>
      </c>
    </row>
    <row r="1176" spans="1:51" ht="16.5" thickBot="1">
      <c r="A1176" s="57">
        <f t="shared" si="264"/>
        <v>1174</v>
      </c>
      <c r="B1176" s="64" t="s">
        <v>58</v>
      </c>
      <c r="E1176" s="99">
        <f>E1175+E1174</f>
        <v>774</v>
      </c>
      <c r="G1176" s="99">
        <f>G1175+G1174</f>
        <v>780</v>
      </c>
      <c r="I1176" s="96"/>
      <c r="J1176" s="100"/>
      <c r="K1176" s="97">
        <f>SUM(K1173:K1175)</f>
        <v>487</v>
      </c>
      <c r="M1176" s="97">
        <f>SUM(M1173:M1175)</f>
        <v>465</v>
      </c>
      <c r="O1176" s="96"/>
      <c r="P1176" s="100"/>
      <c r="Q1176" s="97">
        <f>SUM(Q1173:Q1175)</f>
        <v>465</v>
      </c>
      <c r="AE1176" s="60"/>
      <c r="AF1176" s="60"/>
      <c r="AG1176" s="60"/>
      <c r="AH1176" s="60"/>
      <c r="AU1176" s="96"/>
      <c r="AV1176" s="100"/>
      <c r="AW1176" s="97">
        <f>SUM(AW1173:AW1175)</f>
        <v>487</v>
      </c>
      <c r="AX1176" s="66" t="s">
        <v>261</v>
      </c>
      <c r="AY1176" s="58">
        <v>60</v>
      </c>
    </row>
    <row r="1177" spans="1:51" ht="16.5" thickTop="1">
      <c r="A1177" s="57">
        <f t="shared" si="264"/>
        <v>1175</v>
      </c>
      <c r="E1177" s="59"/>
      <c r="G1177" s="59"/>
      <c r="AE1177" s="60"/>
      <c r="AF1177" s="60"/>
      <c r="AG1177" s="60"/>
      <c r="AH1177" s="60"/>
      <c r="AX1177" s="66" t="s">
        <v>261</v>
      </c>
      <c r="AY1177" s="58">
        <v>60</v>
      </c>
    </row>
    <row r="1178" spans="1:51" ht="15.75">
      <c r="A1178" s="57">
        <f t="shared" si="264"/>
        <v>1176</v>
      </c>
      <c r="E1178" s="59"/>
      <c r="G1178" s="59"/>
      <c r="AE1178" s="60"/>
      <c r="AF1178" s="60"/>
      <c r="AG1178" s="60"/>
      <c r="AH1178" s="60"/>
      <c r="AX1178" s="66" t="s">
        <v>261</v>
      </c>
      <c r="AY1178" s="58">
        <v>60</v>
      </c>
    </row>
    <row r="1179" spans="1:51" ht="15.75">
      <c r="A1179" s="57">
        <f t="shared" si="264"/>
        <v>1177</v>
      </c>
      <c r="B1179" s="64" t="s">
        <v>458</v>
      </c>
      <c r="E1179" s="59"/>
      <c r="G1179" s="59"/>
      <c r="J1179" s="93"/>
      <c r="P1179" s="93"/>
      <c r="AE1179" s="60"/>
      <c r="AF1179" s="60"/>
      <c r="AG1179" s="60"/>
      <c r="AH1179" s="60"/>
      <c r="AV1179" s="93"/>
      <c r="AX1179" s="66" t="s">
        <v>261</v>
      </c>
      <c r="AY1179" s="58">
        <v>77</v>
      </c>
    </row>
    <row r="1180" spans="1:51" ht="15.75">
      <c r="A1180" s="57">
        <f t="shared" si="264"/>
        <v>1178</v>
      </c>
      <c r="B1180" s="64" t="s">
        <v>459</v>
      </c>
      <c r="E1180" s="59"/>
      <c r="G1180" s="59"/>
      <c r="J1180" s="93"/>
      <c r="P1180" s="93"/>
      <c r="AE1180" s="60"/>
      <c r="AF1180" s="60"/>
      <c r="AG1180" s="60"/>
      <c r="AH1180" s="60"/>
      <c r="AV1180" s="93"/>
      <c r="AX1180" s="66" t="s">
        <v>261</v>
      </c>
      <c r="AY1180" s="58">
        <v>77</v>
      </c>
    </row>
    <row r="1181" spans="1:51" ht="15.75">
      <c r="A1181" s="57">
        <f t="shared" si="264"/>
        <v>1179</v>
      </c>
      <c r="B1181" s="64"/>
      <c r="E1181" s="59"/>
      <c r="G1181" s="59"/>
      <c r="J1181" s="93"/>
      <c r="P1181" s="93"/>
      <c r="AE1181" s="60"/>
      <c r="AF1181" s="60"/>
      <c r="AG1181" s="60"/>
      <c r="AH1181" s="60"/>
      <c r="AV1181" s="93"/>
      <c r="AX1181" s="66" t="s">
        <v>261</v>
      </c>
      <c r="AY1181" s="58">
        <v>77</v>
      </c>
    </row>
    <row r="1182" spans="1:51" ht="15.75">
      <c r="A1182" s="57">
        <f t="shared" si="264"/>
        <v>1180</v>
      </c>
      <c r="B1182" s="132" t="s">
        <v>460</v>
      </c>
      <c r="C1182" s="63"/>
      <c r="D1182" s="63"/>
      <c r="E1182" s="59">
        <v>12</v>
      </c>
      <c r="F1182" s="63"/>
      <c r="G1182" s="59">
        <v>12</v>
      </c>
      <c r="H1182" s="63"/>
      <c r="I1182" s="69">
        <v>0</v>
      </c>
      <c r="J1182" s="79"/>
      <c r="K1182" s="66">
        <f>ROUND(I1182*$E1182,0)</f>
        <v>0</v>
      </c>
      <c r="L1182" s="63"/>
      <c r="M1182" s="66">
        <f>ROUND(I1182*$G1182,0)</f>
        <v>0</v>
      </c>
      <c r="N1182" s="63"/>
      <c r="O1182" s="69">
        <v>0</v>
      </c>
      <c r="P1182" s="79"/>
      <c r="Q1182" s="66">
        <f>ROUND(O1182*$G1182,0)</f>
        <v>0</v>
      </c>
      <c r="V1182" s="55" t="s">
        <v>348</v>
      </c>
      <c r="AE1182" s="60"/>
      <c r="AF1182" s="60"/>
      <c r="AG1182" s="60"/>
      <c r="AH1182" s="60"/>
      <c r="AT1182" s="63"/>
      <c r="AU1182" s="69">
        <v>0</v>
      </c>
      <c r="AV1182" s="79"/>
      <c r="AW1182" s="66">
        <f>ROUND(AU1182*$E1182,0)</f>
        <v>0</v>
      </c>
      <c r="AX1182" s="66" t="s">
        <v>261</v>
      </c>
      <c r="AY1182" s="58">
        <v>77</v>
      </c>
    </row>
    <row r="1183" spans="1:51" ht="15.75">
      <c r="A1183" s="57">
        <f t="shared" si="264"/>
        <v>1181</v>
      </c>
      <c r="B1183" s="132" t="s">
        <v>461</v>
      </c>
      <c r="C1183" s="63"/>
      <c r="D1183" s="63"/>
      <c r="E1183" s="59">
        <v>972</v>
      </c>
      <c r="F1183" s="63"/>
      <c r="G1183" s="59">
        <v>972</v>
      </c>
      <c r="H1183" s="63"/>
      <c r="I1183" s="155">
        <v>17.7751</v>
      </c>
      <c r="J1183" s="79"/>
      <c r="K1183" s="66">
        <f>ROUND(I1183*$E1183,0)</f>
        <v>17277</v>
      </c>
      <c r="L1183" s="63"/>
      <c r="M1183" s="66">
        <f>ROUND(I1183*$G1183,0)</f>
        <v>17277</v>
      </c>
      <c r="N1183" s="63"/>
      <c r="O1183" s="155">
        <v>17.7751</v>
      </c>
      <c r="P1183" s="79"/>
      <c r="Q1183" s="66">
        <f>ROUND(O1183*$G1183,0)</f>
        <v>17277</v>
      </c>
      <c r="T1183" s="55" t="s">
        <v>462</v>
      </c>
      <c r="U1183" s="55">
        <v>145</v>
      </c>
      <c r="V1183" s="55">
        <f>U1183*E1183</f>
        <v>140940</v>
      </c>
      <c r="AE1183" s="60"/>
      <c r="AF1183" s="60"/>
      <c r="AG1183" s="60"/>
      <c r="AH1183" s="60"/>
      <c r="AT1183" s="63"/>
      <c r="AU1183" s="155">
        <v>17.7751</v>
      </c>
      <c r="AV1183" s="79"/>
      <c r="AW1183" s="66">
        <f>ROUND(AU1183*$E1183,0)</f>
        <v>17277</v>
      </c>
      <c r="AX1183" s="66" t="s">
        <v>261</v>
      </c>
      <c r="AY1183" s="58">
        <v>77</v>
      </c>
    </row>
    <row r="1184" spans="1:51" ht="15.75">
      <c r="A1184" s="57">
        <f t="shared" si="264"/>
        <v>1182</v>
      </c>
      <c r="B1184" s="132" t="s">
        <v>463</v>
      </c>
      <c r="C1184" s="63"/>
      <c r="D1184" s="63"/>
      <c r="E1184" s="71">
        <v>0</v>
      </c>
      <c r="F1184" s="63"/>
      <c r="G1184" s="59">
        <v>0</v>
      </c>
      <c r="H1184" s="63"/>
      <c r="I1184" s="149">
        <v>187</v>
      </c>
      <c r="J1184" s="164"/>
      <c r="K1184" s="77">
        <f>ROUND(I1184*$E1184,0)</f>
        <v>0</v>
      </c>
      <c r="L1184" s="63"/>
      <c r="M1184" s="66">
        <f>ROUND(I1184*$G1184,0)</f>
        <v>0</v>
      </c>
      <c r="N1184" s="63"/>
      <c r="O1184" s="149">
        <v>0</v>
      </c>
      <c r="P1184" s="164"/>
      <c r="Q1184" s="66">
        <f>ROUND(O1184*$G1184,0)</f>
        <v>0</v>
      </c>
      <c r="T1184" s="55" t="s">
        <v>464</v>
      </c>
      <c r="U1184" s="55">
        <v>148</v>
      </c>
      <c r="V1184" s="55">
        <f>U1184*E1184</f>
        <v>0</v>
      </c>
      <c r="AE1184" s="60"/>
      <c r="AF1184" s="60"/>
      <c r="AG1184" s="60"/>
      <c r="AH1184" s="60"/>
      <c r="AT1184" s="63"/>
      <c r="AU1184" s="149">
        <v>187</v>
      </c>
      <c r="AV1184" s="164"/>
      <c r="AW1184" s="77">
        <f>ROUND(AU1184*$E1184,0)</f>
        <v>0</v>
      </c>
      <c r="AX1184" s="66" t="s">
        <v>261</v>
      </c>
      <c r="AY1184" s="58">
        <v>77</v>
      </c>
    </row>
    <row r="1185" spans="1:51" ht="15.75">
      <c r="A1185" s="57">
        <f t="shared" si="264"/>
        <v>1183</v>
      </c>
      <c r="B1185" s="132" t="s">
        <v>84</v>
      </c>
      <c r="C1185" s="63"/>
      <c r="D1185" s="63"/>
      <c r="E1185" s="17">
        <f>V1185</f>
        <v>140940</v>
      </c>
      <c r="F1185" s="63"/>
      <c r="G1185" s="59">
        <v>140940</v>
      </c>
      <c r="H1185" s="63"/>
      <c r="I1185" s="69"/>
      <c r="J1185" s="163">
        <v>0</v>
      </c>
      <c r="K1185" s="66">
        <f>ROUND(J1185*$E1185/100,0)</f>
        <v>0</v>
      </c>
      <c r="L1185" s="63"/>
      <c r="M1185" s="66">
        <f>ROUND(J1185*$G1185/100,0)</f>
        <v>0</v>
      </c>
      <c r="N1185" s="63"/>
      <c r="O1185" s="69"/>
      <c r="P1185" s="163">
        <v>0</v>
      </c>
      <c r="Q1185" s="66">
        <f>ROUND(P1185*$G1185/100,0)</f>
        <v>0</v>
      </c>
      <c r="U1185" s="55" t="s">
        <v>59</v>
      </c>
      <c r="V1185" s="55">
        <f>SUM(V1183:V1184)</f>
        <v>140940</v>
      </c>
      <c r="AE1185" s="60"/>
      <c r="AF1185" s="60"/>
      <c r="AG1185" s="60"/>
      <c r="AH1185" s="60"/>
      <c r="AT1185" s="63"/>
      <c r="AU1185" s="155"/>
      <c r="AV1185" s="163">
        <v>0</v>
      </c>
      <c r="AW1185" s="66">
        <f>ROUND(AU1185*$E1185,0)</f>
        <v>0</v>
      </c>
      <c r="AX1185" s="66" t="s">
        <v>261</v>
      </c>
      <c r="AY1185" s="58">
        <v>77</v>
      </c>
    </row>
    <row r="1186" spans="1:51" ht="15.75">
      <c r="A1186" s="57">
        <f t="shared" si="264"/>
        <v>1184</v>
      </c>
      <c r="B1186" s="58" t="s">
        <v>189</v>
      </c>
      <c r="E1186" s="39">
        <v>-1123</v>
      </c>
      <c r="G1186" s="39">
        <v>0</v>
      </c>
      <c r="J1186" s="93"/>
      <c r="K1186" s="81">
        <f>AW1186</f>
        <v>831</v>
      </c>
      <c r="M1186" s="81">
        <v>0</v>
      </c>
      <c r="P1186" s="93"/>
      <c r="Q1186" s="81">
        <v>0</v>
      </c>
      <c r="AE1186" s="60"/>
      <c r="AF1186" s="60"/>
      <c r="AG1186" s="60"/>
      <c r="AH1186" s="60"/>
      <c r="AV1186" s="93"/>
      <c r="AW1186" s="39">
        <v>831</v>
      </c>
      <c r="AX1186" s="66" t="s">
        <v>261</v>
      </c>
      <c r="AY1186" s="58">
        <v>77</v>
      </c>
    </row>
    <row r="1187" spans="1:51" ht="16.5" thickBot="1">
      <c r="A1187" s="57">
        <f t="shared" si="264"/>
        <v>1185</v>
      </c>
      <c r="B1187" s="132" t="s">
        <v>58</v>
      </c>
      <c r="C1187" s="63"/>
      <c r="D1187" s="63"/>
      <c r="E1187" s="99">
        <f>E1186+E1185</f>
        <v>139817</v>
      </c>
      <c r="F1187" s="63"/>
      <c r="G1187" s="99">
        <f>G1186+G1185</f>
        <v>140940</v>
      </c>
      <c r="H1187" s="63"/>
      <c r="I1187" s="96"/>
      <c r="J1187" s="100"/>
      <c r="K1187" s="97">
        <f>SUM(K1182:K1186)</f>
        <v>18108</v>
      </c>
      <c r="L1187" s="63"/>
      <c r="M1187" s="97">
        <f>SUM(M1182:M1186)</f>
        <v>17277</v>
      </c>
      <c r="N1187" s="63"/>
      <c r="O1187" s="96"/>
      <c r="P1187" s="100"/>
      <c r="Q1187" s="97">
        <f>SUM(Q1182:Q1186)</f>
        <v>17277</v>
      </c>
      <c r="AE1187" s="60"/>
      <c r="AF1187" s="60"/>
      <c r="AG1187" s="60"/>
      <c r="AH1187" s="60"/>
      <c r="AT1187" s="63"/>
      <c r="AU1187" s="96"/>
      <c r="AV1187" s="100"/>
      <c r="AW1187" s="97">
        <f>SUM(AW1182:AW1186)</f>
        <v>18108</v>
      </c>
      <c r="AX1187" s="66" t="s">
        <v>261</v>
      </c>
      <c r="AY1187" s="58">
        <v>77</v>
      </c>
    </row>
    <row r="1188" spans="1:51" ht="16.5" thickTop="1">
      <c r="A1188" s="57">
        <f t="shared" si="264"/>
        <v>1186</v>
      </c>
      <c r="B1188" s="132"/>
      <c r="C1188" s="63"/>
      <c r="D1188" s="63"/>
      <c r="E1188" s="71"/>
      <c r="F1188" s="63"/>
      <c r="G1188" s="71"/>
      <c r="H1188" s="63"/>
      <c r="I1188" s="63"/>
      <c r="J1188" s="164"/>
      <c r="K1188" s="77"/>
      <c r="L1188" s="63"/>
      <c r="M1188" s="77"/>
      <c r="N1188" s="63"/>
      <c r="O1188" s="63"/>
      <c r="P1188" s="164"/>
      <c r="Q1188" s="77"/>
      <c r="AE1188" s="60"/>
      <c r="AF1188" s="60"/>
      <c r="AG1188" s="60"/>
      <c r="AH1188" s="60"/>
      <c r="AT1188" s="63"/>
      <c r="AU1188" s="63"/>
      <c r="AV1188" s="164"/>
      <c r="AW1188" s="77"/>
      <c r="AX1188" s="66" t="s">
        <v>261</v>
      </c>
      <c r="AY1188" s="58">
        <v>77</v>
      </c>
    </row>
    <row r="1189" spans="1:51" ht="15.75">
      <c r="A1189" s="57">
        <f t="shared" si="264"/>
        <v>1187</v>
      </c>
      <c r="AE1189" s="60"/>
      <c r="AF1189" s="60"/>
      <c r="AG1189" s="60"/>
      <c r="AH1189" s="60"/>
      <c r="AX1189" s="66" t="s">
        <v>261</v>
      </c>
      <c r="AY1189" s="58">
        <v>77</v>
      </c>
    </row>
    <row r="1190" spans="1:51" ht="15.75">
      <c r="A1190" s="57">
        <f t="shared" si="264"/>
        <v>1188</v>
      </c>
      <c r="B1190" s="64"/>
      <c r="E1190" s="59"/>
      <c r="G1190" s="59"/>
      <c r="J1190" s="93"/>
      <c r="P1190" s="93"/>
      <c r="AE1190" s="60"/>
      <c r="AF1190" s="60"/>
      <c r="AG1190" s="60"/>
      <c r="AH1190" s="60"/>
      <c r="AV1190" s="93"/>
      <c r="AX1190" s="66" t="s">
        <v>261</v>
      </c>
      <c r="AY1190" s="58">
        <v>77</v>
      </c>
    </row>
    <row r="1191" spans="1:51" ht="15.75">
      <c r="A1191" s="57">
        <f t="shared" si="264"/>
        <v>1189</v>
      </c>
      <c r="B1191" s="64" t="s">
        <v>465</v>
      </c>
      <c r="E1191" s="59"/>
      <c r="G1191" s="59"/>
      <c r="AE1191" s="60"/>
      <c r="AF1191" s="60"/>
      <c r="AG1191" s="60"/>
      <c r="AH1191" s="60"/>
      <c r="AX1191" s="66" t="s">
        <v>87</v>
      </c>
      <c r="AY1191" s="58" t="s">
        <v>466</v>
      </c>
    </row>
    <row r="1192" spans="1:51" ht="15.75">
      <c r="A1192" s="57">
        <f t="shared" si="264"/>
        <v>1190</v>
      </c>
      <c r="B1192" s="64" t="s">
        <v>467</v>
      </c>
      <c r="E1192" s="59"/>
      <c r="G1192" s="59"/>
      <c r="AE1192" s="60"/>
      <c r="AF1192" s="60"/>
      <c r="AG1192" s="60"/>
      <c r="AH1192" s="60"/>
      <c r="AK1192" s="55" t="s">
        <v>468</v>
      </c>
      <c r="AX1192" s="66" t="s">
        <v>87</v>
      </c>
      <c r="AY1192" s="58" t="s">
        <v>466</v>
      </c>
    </row>
    <row r="1193" spans="1:51" ht="15.75">
      <c r="A1193" s="57">
        <f t="shared" si="264"/>
        <v>1191</v>
      </c>
      <c r="B1193" s="98" t="s">
        <v>469</v>
      </c>
      <c r="E1193" s="59"/>
      <c r="G1193" s="59"/>
      <c r="X1193" s="55" t="s">
        <v>470</v>
      </c>
      <c r="Y1193" s="55" t="s">
        <v>471</v>
      </c>
      <c r="Z1193" s="55" t="s">
        <v>30</v>
      </c>
      <c r="AA1193" s="55" t="s">
        <v>158</v>
      </c>
      <c r="AC1193" s="55" t="s">
        <v>472</v>
      </c>
      <c r="AE1193" s="55" t="s">
        <v>473</v>
      </c>
      <c r="AF1193" s="60"/>
      <c r="AG1193" s="55" t="s">
        <v>474</v>
      </c>
      <c r="AH1193" s="60"/>
      <c r="AI1193" s="55" t="s">
        <v>475</v>
      </c>
      <c r="AK1193" s="55" t="s">
        <v>470</v>
      </c>
      <c r="AL1193" s="55" t="s">
        <v>471</v>
      </c>
      <c r="AO1193" s="56" t="s">
        <v>476</v>
      </c>
      <c r="AX1193" s="66" t="s">
        <v>87</v>
      </c>
      <c r="AY1193" s="58" t="s">
        <v>466</v>
      </c>
    </row>
    <row r="1194" spans="1:51" ht="15.75">
      <c r="A1194" s="57">
        <f t="shared" si="264"/>
        <v>1192</v>
      </c>
      <c r="B1194" s="64"/>
      <c r="E1194" s="59"/>
      <c r="G1194" s="59"/>
      <c r="I1194" s="76"/>
      <c r="K1194" s="66"/>
      <c r="M1194" s="66"/>
      <c r="O1194" s="76"/>
      <c r="Q1194" s="66"/>
      <c r="AC1194" s="58"/>
      <c r="AD1194" s="58"/>
      <c r="AE1194" s="60"/>
      <c r="AF1194" s="60"/>
      <c r="AG1194" s="60"/>
      <c r="AH1194" s="60"/>
      <c r="AU1194" s="76"/>
      <c r="AW1194" s="66"/>
      <c r="AX1194" s="66" t="s">
        <v>87</v>
      </c>
      <c r="AY1194" s="58" t="s">
        <v>466</v>
      </c>
    </row>
    <row r="1195" spans="1:51" ht="15.75">
      <c r="A1195" s="57">
        <f t="shared" si="264"/>
        <v>1193</v>
      </c>
      <c r="B1195" s="64" t="s">
        <v>477</v>
      </c>
      <c r="E1195" s="59">
        <f>Z1195</f>
        <v>9812.65</v>
      </c>
      <c r="G1195" s="59">
        <f>E1195*($G$1199/$E$1199)</f>
        <v>9794.592741324119</v>
      </c>
      <c r="I1195" s="69">
        <v>2.18</v>
      </c>
      <c r="K1195" s="66">
        <f>ROUND(I1195*$E1195,0)</f>
        <v>21392</v>
      </c>
      <c r="M1195" s="66">
        <f>ROUND(I1195*$G1195,0)</f>
        <v>21352</v>
      </c>
      <c r="O1195" s="69">
        <v>2.18</v>
      </c>
      <c r="Q1195" s="66">
        <f>ROUND(O1195*$G1195,0)</f>
        <v>21352</v>
      </c>
      <c r="R1195" s="58">
        <v>1.75</v>
      </c>
      <c r="S1195" s="55">
        <f>R1195/AU1195-1</f>
        <v>-0.1972477064220184</v>
      </c>
      <c r="T1195" s="55">
        <f>R1195-I1195</f>
        <v>-0.43000000000000016</v>
      </c>
      <c r="W1195" s="33"/>
      <c r="X1195" s="55">
        <v>7796.67</v>
      </c>
      <c r="Y1195" s="55">
        <v>2015.98</v>
      </c>
      <c r="Z1195" s="55">
        <f>SUM(X1195:Y1195)</f>
        <v>9812.65</v>
      </c>
      <c r="AA1195" s="55">
        <v>1</v>
      </c>
      <c r="AC1195" s="59">
        <v>29</v>
      </c>
      <c r="AD1195" s="58">
        <f>AC1195*E1195</f>
        <v>284566.85</v>
      </c>
      <c r="AE1195" s="120">
        <f>X1195*AU1195</f>
        <v>16996.7406</v>
      </c>
      <c r="AF1195" s="60"/>
      <c r="AG1195" s="120">
        <f>Y1195*AU1195</f>
        <v>4394.8364</v>
      </c>
      <c r="AH1195" s="60"/>
      <c r="AI1195" s="55">
        <f>AC1195*G1195</f>
        <v>284043.18949839944</v>
      </c>
      <c r="AK1195" s="55">
        <f>X1195*$G$1199/$E$1199</f>
        <v>7782.32255185903</v>
      </c>
      <c r="AL1195" s="55">
        <f>Y1195*$G$1199/$E$1199</f>
        <v>2012.270189465088</v>
      </c>
      <c r="AO1195" s="56">
        <f>SUM(AK1195:AL1195)</f>
        <v>9794.592741324117</v>
      </c>
      <c r="AU1195" s="69">
        <v>2.18</v>
      </c>
      <c r="AW1195" s="66">
        <f>ROUND(AU1195*$E1195,0)</f>
        <v>21392</v>
      </c>
      <c r="AX1195" s="66" t="s">
        <v>87</v>
      </c>
      <c r="AY1195" s="58" t="s">
        <v>466</v>
      </c>
    </row>
    <row r="1196" spans="1:51" ht="15.75">
      <c r="A1196" s="57">
        <f aca="true" t="shared" si="268" ref="A1196:A1215">A1195+1</f>
        <v>1194</v>
      </c>
      <c r="B1196" s="64" t="s">
        <v>162</v>
      </c>
      <c r="E1196" s="78">
        <f>Z1196</f>
        <v>96</v>
      </c>
      <c r="G1196" s="78">
        <f>E1196*($G$1199/$E$1199)</f>
        <v>95.82334060290701</v>
      </c>
      <c r="I1196" s="127">
        <v>4.8</v>
      </c>
      <c r="J1196" s="125"/>
      <c r="K1196" s="81">
        <f>ROUND(I1196*$E1196,0)</f>
        <v>461</v>
      </c>
      <c r="M1196" s="81">
        <f>ROUND(I1196*$G1196,0)</f>
        <v>460</v>
      </c>
      <c r="O1196" s="127">
        <v>4.8</v>
      </c>
      <c r="P1196" s="125"/>
      <c r="Q1196" s="81">
        <f>ROUND(O1196*$G1196,0)</f>
        <v>460</v>
      </c>
      <c r="R1196" s="58">
        <v>2.56</v>
      </c>
      <c r="S1196" s="55">
        <f>R1196/AU1196-1</f>
        <v>-0.4666666666666667</v>
      </c>
      <c r="T1196" s="55">
        <f>R1196-I1196</f>
        <v>-2.2399999999999998</v>
      </c>
      <c r="Y1196" s="55">
        <v>96</v>
      </c>
      <c r="Z1196" s="55">
        <f>SUM(X1196:Y1196)</f>
        <v>96</v>
      </c>
      <c r="AA1196" s="55">
        <v>2</v>
      </c>
      <c r="AC1196" s="59">
        <v>69</v>
      </c>
      <c r="AD1196" s="58">
        <f>AC1196*E1196</f>
        <v>6624</v>
      </c>
      <c r="AE1196" s="120">
        <f>X1196*AU1196</f>
        <v>0</v>
      </c>
      <c r="AF1196" s="60"/>
      <c r="AG1196" s="120">
        <f>Y1196*AU1196</f>
        <v>460.79999999999995</v>
      </c>
      <c r="AH1196" s="60"/>
      <c r="AI1196" s="55">
        <f>AC1196*G1196</f>
        <v>6611.810501600584</v>
      </c>
      <c r="AK1196" s="55">
        <f>X1196*$G$1199/$E$1199</f>
        <v>0</v>
      </c>
      <c r="AL1196" s="55">
        <f>Y1196*$G$1199/$E$1199</f>
        <v>95.823340602907</v>
      </c>
      <c r="AO1196" s="56">
        <f>SUM(AK1196:AL1196)</f>
        <v>95.823340602907</v>
      </c>
      <c r="AU1196" s="127">
        <v>4.8</v>
      </c>
      <c r="AV1196" s="125"/>
      <c r="AW1196" s="81">
        <f>ROUND(AU1196*$E1196,0)</f>
        <v>461</v>
      </c>
      <c r="AX1196" s="66" t="s">
        <v>87</v>
      </c>
      <c r="AY1196" s="58" t="s">
        <v>466</v>
      </c>
    </row>
    <row r="1197" spans="1:51" ht="15.75">
      <c r="A1197" s="57">
        <f t="shared" si="268"/>
        <v>1195</v>
      </c>
      <c r="B1197" s="64" t="s">
        <v>298</v>
      </c>
      <c r="E1197" s="78">
        <f>SUM(E1195:E1196)</f>
        <v>9908.65</v>
      </c>
      <c r="G1197" s="78">
        <f>SUM(G1195:G1196)</f>
        <v>9890.416081927026</v>
      </c>
      <c r="I1197" s="125"/>
      <c r="J1197" s="125"/>
      <c r="K1197" s="81">
        <f>SUM(K1195:K1196)</f>
        <v>21853</v>
      </c>
      <c r="M1197" s="81">
        <f>SUM(M1195:M1196)</f>
        <v>21812</v>
      </c>
      <c r="O1197" s="125"/>
      <c r="P1197" s="125"/>
      <c r="Q1197" s="81">
        <f>SUM(Q1195:Q1196)</f>
        <v>21812</v>
      </c>
      <c r="AC1197" s="58" t="s">
        <v>59</v>
      </c>
      <c r="AD1197" s="58">
        <f>SUM(AD1195:AD1196)</f>
        <v>291190.85</v>
      </c>
      <c r="AE1197" s="120">
        <f>SUM(AE1195:AE1196)</f>
        <v>16996.7406</v>
      </c>
      <c r="AF1197" s="60"/>
      <c r="AG1197" s="120">
        <f>SUM(AG1195:AG1196)</f>
        <v>4855.6364</v>
      </c>
      <c r="AH1197" s="60"/>
      <c r="AI1197" s="55">
        <f>SUM(AI1195:AI1196)</f>
        <v>290655</v>
      </c>
      <c r="AU1197" s="125"/>
      <c r="AV1197" s="125"/>
      <c r="AW1197" s="81">
        <f>SUM(AW1195:AW1196)</f>
        <v>21853</v>
      </c>
      <c r="AX1197" s="66" t="s">
        <v>87</v>
      </c>
      <c r="AY1197" s="58" t="s">
        <v>466</v>
      </c>
    </row>
    <row r="1198" spans="1:51" ht="15.75">
      <c r="A1198" s="57">
        <f t="shared" si="268"/>
        <v>1196</v>
      </c>
      <c r="E1198" s="59"/>
      <c r="G1198" s="59"/>
      <c r="AC1198" s="58" t="s">
        <v>350</v>
      </c>
      <c r="AD1198" s="58">
        <f>AD1197-E1199</f>
        <v>0</v>
      </c>
      <c r="AE1198" s="60"/>
      <c r="AF1198" s="60"/>
      <c r="AG1198" s="60"/>
      <c r="AH1198" s="60"/>
      <c r="AI1198" s="55">
        <f>AI1197-G1199</f>
        <v>0</v>
      </c>
      <c r="AX1198" s="66" t="s">
        <v>87</v>
      </c>
      <c r="AY1198" s="58" t="s">
        <v>466</v>
      </c>
    </row>
    <row r="1199" spans="1:51" ht="16.5" thickBot="1">
      <c r="A1199" s="57">
        <f t="shared" si="268"/>
        <v>1197</v>
      </c>
      <c r="B1199" s="64" t="s">
        <v>188</v>
      </c>
      <c r="E1199" s="35">
        <f>AD1197</f>
        <v>291190.85</v>
      </c>
      <c r="G1199" s="35">
        <v>290655</v>
      </c>
      <c r="I1199" s="96"/>
      <c r="J1199" s="96"/>
      <c r="K1199" s="96"/>
      <c r="M1199" s="96"/>
      <c r="O1199" s="96"/>
      <c r="P1199" s="96"/>
      <c r="Q1199" s="96"/>
      <c r="W1199" s="55" t="s">
        <v>478</v>
      </c>
      <c r="X1199" s="55">
        <v>73</v>
      </c>
      <c r="Y1199" s="55">
        <f>6+2</f>
        <v>8</v>
      </c>
      <c r="AC1199" s="58"/>
      <c r="AD1199" s="58"/>
      <c r="AE1199" s="60"/>
      <c r="AF1199" s="60"/>
      <c r="AG1199" s="60"/>
      <c r="AH1199" s="60"/>
      <c r="AU1199" s="96"/>
      <c r="AV1199" s="96"/>
      <c r="AW1199" s="96"/>
      <c r="AX1199" s="66" t="s">
        <v>87</v>
      </c>
      <c r="AY1199" s="58" t="s">
        <v>466</v>
      </c>
    </row>
    <row r="1200" spans="1:51" ht="16.5" thickTop="1">
      <c r="A1200" s="57">
        <f t="shared" si="268"/>
        <v>1198</v>
      </c>
      <c r="B1200" s="64" t="s">
        <v>3</v>
      </c>
      <c r="E1200" s="130">
        <f>SUM(X1199:Y1199)</f>
        <v>81</v>
      </c>
      <c r="G1200" s="130">
        <v>79</v>
      </c>
      <c r="W1200" s="55" t="s">
        <v>479</v>
      </c>
      <c r="X1200" s="55">
        <f>X1199*$G$1200/$E$1200</f>
        <v>71.19753086419753</v>
      </c>
      <c r="Y1200" s="55">
        <f>Y1199*$G$1200/$E$1200</f>
        <v>7.802469135802469</v>
      </c>
      <c r="AC1200" s="58"/>
      <c r="AD1200" s="58"/>
      <c r="AE1200" s="60"/>
      <c r="AF1200" s="60"/>
      <c r="AG1200" s="60"/>
      <c r="AH1200" s="60"/>
      <c r="AX1200" s="66" t="s">
        <v>87</v>
      </c>
      <c r="AY1200" s="58" t="s">
        <v>466</v>
      </c>
    </row>
    <row r="1201" spans="1:51" ht="15.75">
      <c r="A1201" s="57">
        <f t="shared" si="268"/>
        <v>1199</v>
      </c>
      <c r="B1201" s="64" t="s">
        <v>189</v>
      </c>
      <c r="E1201" s="39">
        <v>3171</v>
      </c>
      <c r="G1201" s="39">
        <v>0</v>
      </c>
      <c r="I1201" s="78"/>
      <c r="J1201" s="125"/>
      <c r="K1201" s="81">
        <f>AW1201</f>
        <v>216.82591040025054</v>
      </c>
      <c r="M1201" s="81"/>
      <c r="O1201" s="78"/>
      <c r="P1201" s="125"/>
      <c r="Q1201" s="81">
        <v>0</v>
      </c>
      <c r="AC1201" s="58"/>
      <c r="AD1201" s="58"/>
      <c r="AE1201" s="60"/>
      <c r="AF1201" s="60"/>
      <c r="AG1201" s="60"/>
      <c r="AH1201" s="60"/>
      <c r="AU1201" s="78"/>
      <c r="AV1201" s="125"/>
      <c r="AW1201" s="81">
        <v>216.82591040025054</v>
      </c>
      <c r="AX1201" s="66" t="s">
        <v>87</v>
      </c>
      <c r="AY1201" s="58" t="s">
        <v>466</v>
      </c>
    </row>
    <row r="1202" spans="1:51" ht="16.5" thickBot="1">
      <c r="A1202" s="57">
        <f t="shared" si="268"/>
        <v>1200</v>
      </c>
      <c r="B1202" s="64" t="s">
        <v>59</v>
      </c>
      <c r="E1202" s="35">
        <f>E1201+E1199</f>
        <v>294361.85</v>
      </c>
      <c r="G1202" s="35">
        <f>G1201+G1199</f>
        <v>290655</v>
      </c>
      <c r="I1202" s="131"/>
      <c r="J1202" s="131"/>
      <c r="K1202" s="131">
        <f>K1201+K1197</f>
        <v>22069.82591040025</v>
      </c>
      <c r="M1202" s="131">
        <f>M1201+M1197</f>
        <v>21812</v>
      </c>
      <c r="O1202" s="131"/>
      <c r="P1202" s="131"/>
      <c r="Q1202" s="131">
        <f>Q1201+Q1197</f>
        <v>21812</v>
      </c>
      <c r="AC1202" s="58"/>
      <c r="AD1202" s="58"/>
      <c r="AE1202" s="60"/>
      <c r="AF1202" s="60"/>
      <c r="AG1202" s="60"/>
      <c r="AH1202" s="60"/>
      <c r="AU1202" s="131"/>
      <c r="AV1202" s="131"/>
      <c r="AW1202" s="131">
        <f>AW1201+AW1197</f>
        <v>22069.82591040025</v>
      </c>
      <c r="AX1202" s="66" t="s">
        <v>87</v>
      </c>
      <c r="AY1202" s="58" t="s">
        <v>466</v>
      </c>
    </row>
    <row r="1203" spans="1:51" ht="16.5" thickTop="1">
      <c r="A1203" s="57">
        <f t="shared" si="268"/>
        <v>1201</v>
      </c>
      <c r="E1203" s="59"/>
      <c r="G1203" s="59"/>
      <c r="AC1203" s="58"/>
      <c r="AD1203" s="58"/>
      <c r="AE1203" s="60"/>
      <c r="AF1203" s="60"/>
      <c r="AG1203" s="60"/>
      <c r="AH1203" s="60"/>
      <c r="AX1203" s="66" t="s">
        <v>87</v>
      </c>
      <c r="AY1203" s="58" t="s">
        <v>466</v>
      </c>
    </row>
    <row r="1204" spans="1:51" ht="15.75">
      <c r="A1204" s="57">
        <f t="shared" si="268"/>
        <v>1202</v>
      </c>
      <c r="B1204" s="132" t="s">
        <v>480</v>
      </c>
      <c r="C1204" s="63"/>
      <c r="D1204" s="63"/>
      <c r="F1204" s="63"/>
      <c r="H1204" s="63"/>
      <c r="J1204" s="93"/>
      <c r="L1204" s="63"/>
      <c r="N1204" s="63"/>
      <c r="P1204" s="93"/>
      <c r="AT1204" s="63"/>
      <c r="AV1204" s="93"/>
      <c r="AX1204" s="66" t="s">
        <v>108</v>
      </c>
      <c r="AY1204" s="58" t="s">
        <v>481</v>
      </c>
    </row>
    <row r="1205" spans="1:51" ht="15.75">
      <c r="A1205" s="57">
        <f t="shared" si="268"/>
        <v>1203</v>
      </c>
      <c r="B1205" s="132" t="s">
        <v>482</v>
      </c>
      <c r="C1205" s="63"/>
      <c r="D1205" s="63"/>
      <c r="E1205" s="165"/>
      <c r="F1205" s="63"/>
      <c r="G1205" s="165"/>
      <c r="H1205" s="63"/>
      <c r="I1205" s="66"/>
      <c r="J1205" s="93"/>
      <c r="K1205" s="66">
        <f aca="true" t="shared" si="269" ref="K1205:K1210">AW1205</f>
        <v>37000.7</v>
      </c>
      <c r="L1205" s="63"/>
      <c r="M1205" s="66">
        <f aca="true" t="shared" si="270" ref="M1205:M1210">K1205</f>
        <v>37000.7</v>
      </c>
      <c r="N1205" s="63"/>
      <c r="O1205" s="66"/>
      <c r="P1205" s="93"/>
      <c r="Q1205" s="66">
        <f aca="true" t="shared" si="271" ref="Q1205:Q1210">M1205</f>
        <v>37000.7</v>
      </c>
      <c r="AT1205" s="63"/>
      <c r="AU1205" s="66"/>
      <c r="AV1205" s="93"/>
      <c r="AW1205" s="166">
        <v>37000.7</v>
      </c>
      <c r="AX1205" s="66" t="s">
        <v>41</v>
      </c>
      <c r="AY1205" s="58" t="s">
        <v>481</v>
      </c>
    </row>
    <row r="1206" spans="1:51" ht="15.75">
      <c r="A1206" s="57">
        <f t="shared" si="268"/>
        <v>1204</v>
      </c>
      <c r="B1206" s="132" t="s">
        <v>483</v>
      </c>
      <c r="C1206" s="63"/>
      <c r="D1206" s="63"/>
      <c r="E1206" s="165"/>
      <c r="F1206" s="63"/>
      <c r="G1206" s="165"/>
      <c r="H1206" s="63"/>
      <c r="I1206" s="66"/>
      <c r="J1206" s="93"/>
      <c r="K1206" s="66">
        <f t="shared" si="269"/>
        <v>1378725.0699999996</v>
      </c>
      <c r="L1206" s="63"/>
      <c r="M1206" s="66">
        <f t="shared" si="270"/>
        <v>1378725.0699999996</v>
      </c>
      <c r="N1206" s="63"/>
      <c r="O1206" s="66"/>
      <c r="P1206" s="93"/>
      <c r="Q1206" s="66">
        <f t="shared" si="271"/>
        <v>1378725.0699999996</v>
      </c>
      <c r="AT1206" s="63"/>
      <c r="AU1206" s="66"/>
      <c r="AV1206" s="93"/>
      <c r="AW1206" s="166">
        <v>1378725.07</v>
      </c>
      <c r="AX1206" s="66" t="s">
        <v>99</v>
      </c>
      <c r="AY1206" s="58" t="s">
        <v>481</v>
      </c>
    </row>
    <row r="1207" spans="1:51" ht="15.75">
      <c r="A1207" s="57">
        <f t="shared" si="268"/>
        <v>1205</v>
      </c>
      <c r="B1207" s="132" t="s">
        <v>484</v>
      </c>
      <c r="C1207" s="63"/>
      <c r="D1207" s="63"/>
      <c r="E1207" s="165"/>
      <c r="F1207" s="63"/>
      <c r="G1207" s="165"/>
      <c r="H1207" s="63"/>
      <c r="I1207" s="66"/>
      <c r="J1207" s="93"/>
      <c r="K1207" s="66">
        <f t="shared" si="269"/>
        <v>182941.64999999997</v>
      </c>
      <c r="L1207" s="63"/>
      <c r="M1207" s="66">
        <f t="shared" si="270"/>
        <v>182941.64999999997</v>
      </c>
      <c r="N1207" s="63"/>
      <c r="O1207" s="66"/>
      <c r="P1207" s="93"/>
      <c r="Q1207" s="66">
        <f t="shared" si="271"/>
        <v>182941.64999999997</v>
      </c>
      <c r="AT1207" s="63"/>
      <c r="AU1207" s="66"/>
      <c r="AV1207" s="93"/>
      <c r="AW1207" s="66">
        <v>182941.65</v>
      </c>
      <c r="AX1207" s="66" t="s">
        <v>108</v>
      </c>
      <c r="AY1207" s="58" t="s">
        <v>481</v>
      </c>
    </row>
    <row r="1208" spans="1:51" ht="15.75">
      <c r="A1208" s="57">
        <f t="shared" si="268"/>
        <v>1206</v>
      </c>
      <c r="B1208" s="132" t="s">
        <v>485</v>
      </c>
      <c r="C1208" s="63"/>
      <c r="D1208" s="63"/>
      <c r="E1208" s="165"/>
      <c r="F1208" s="63"/>
      <c r="G1208" s="165"/>
      <c r="H1208" s="63"/>
      <c r="I1208" s="66"/>
      <c r="J1208" s="93"/>
      <c r="K1208" s="66">
        <f t="shared" si="269"/>
        <v>4799.4400000000005</v>
      </c>
      <c r="L1208" s="63"/>
      <c r="M1208" s="66">
        <f t="shared" si="270"/>
        <v>4799.4400000000005</v>
      </c>
      <c r="N1208" s="63"/>
      <c r="O1208" s="66"/>
      <c r="P1208" s="93"/>
      <c r="Q1208" s="66">
        <f t="shared" si="271"/>
        <v>4799.4400000000005</v>
      </c>
      <c r="AT1208" s="63"/>
      <c r="AU1208" s="66"/>
      <c r="AV1208" s="93"/>
      <c r="AW1208" s="66">
        <v>4799.44</v>
      </c>
      <c r="AX1208" s="66" t="s">
        <v>261</v>
      </c>
      <c r="AY1208" s="58" t="s">
        <v>481</v>
      </c>
    </row>
    <row r="1209" spans="1:51" ht="15.75">
      <c r="A1209" s="57">
        <f t="shared" si="268"/>
        <v>1207</v>
      </c>
      <c r="B1209" s="132" t="s">
        <v>486</v>
      </c>
      <c r="C1209" s="63"/>
      <c r="D1209" s="63"/>
      <c r="E1209" s="165"/>
      <c r="F1209" s="63"/>
      <c r="G1209" s="165"/>
      <c r="H1209" s="63"/>
      <c r="I1209" s="66"/>
      <c r="J1209" s="93"/>
      <c r="K1209" s="66">
        <f t="shared" si="269"/>
        <v>0</v>
      </c>
      <c r="L1209" s="63"/>
      <c r="M1209" s="66">
        <f t="shared" si="270"/>
        <v>0</v>
      </c>
      <c r="N1209" s="63"/>
      <c r="O1209" s="66"/>
      <c r="P1209" s="93"/>
      <c r="Q1209" s="66">
        <f t="shared" si="271"/>
        <v>0</v>
      </c>
      <c r="AT1209" s="63"/>
      <c r="AU1209" s="66"/>
      <c r="AV1209" s="93"/>
      <c r="AW1209" s="66">
        <v>0</v>
      </c>
      <c r="AX1209" s="66" t="s">
        <v>111</v>
      </c>
      <c r="AY1209" s="58" t="s">
        <v>481</v>
      </c>
    </row>
    <row r="1210" spans="1:51" ht="15.75">
      <c r="A1210" s="57">
        <f t="shared" si="268"/>
        <v>1208</v>
      </c>
      <c r="B1210" s="132" t="s">
        <v>115</v>
      </c>
      <c r="C1210" s="63"/>
      <c r="D1210" s="63"/>
      <c r="E1210" s="167"/>
      <c r="F1210" s="63"/>
      <c r="G1210" s="167"/>
      <c r="H1210" s="63"/>
      <c r="I1210" s="80"/>
      <c r="J1210" s="168"/>
      <c r="K1210" s="80">
        <f t="shared" si="269"/>
        <v>0</v>
      </c>
      <c r="L1210" s="63"/>
      <c r="M1210" s="80">
        <f t="shared" si="270"/>
        <v>0</v>
      </c>
      <c r="N1210" s="63"/>
      <c r="O1210" s="80"/>
      <c r="P1210" s="168"/>
      <c r="Q1210" s="80">
        <f t="shared" si="271"/>
        <v>0</v>
      </c>
      <c r="AT1210" s="63"/>
      <c r="AU1210" s="80"/>
      <c r="AV1210" s="168"/>
      <c r="AW1210" s="80">
        <v>0</v>
      </c>
      <c r="AX1210" s="66" t="s">
        <v>114</v>
      </c>
      <c r="AY1210" s="58" t="s">
        <v>481</v>
      </c>
    </row>
    <row r="1211" spans="1:51" ht="15.75">
      <c r="A1211" s="57">
        <f t="shared" si="268"/>
        <v>1209</v>
      </c>
      <c r="B1211" s="132" t="s">
        <v>487</v>
      </c>
      <c r="C1211" s="63"/>
      <c r="D1211" s="63"/>
      <c r="E1211" s="165"/>
      <c r="F1211" s="63"/>
      <c r="G1211" s="165"/>
      <c r="H1211" s="63"/>
      <c r="I1211" s="66"/>
      <c r="J1211" s="93"/>
      <c r="K1211" s="66">
        <f>SUM(K1205:K1210)</f>
        <v>1603466.8599999994</v>
      </c>
      <c r="L1211" s="63"/>
      <c r="M1211" s="66">
        <f>SUM(M1205:M1210)</f>
        <v>1603466.8599999994</v>
      </c>
      <c r="N1211" s="63"/>
      <c r="O1211" s="66"/>
      <c r="P1211" s="93"/>
      <c r="Q1211" s="66">
        <f>SUM(Q1205:Q1210)</f>
        <v>1603466.8599999994</v>
      </c>
      <c r="AT1211" s="63"/>
      <c r="AU1211" s="66"/>
      <c r="AV1211" s="93"/>
      <c r="AW1211" s="66">
        <f>SUM(AW1205:AW1210)</f>
        <v>1603466.8599999994</v>
      </c>
      <c r="AX1211" s="66" t="s">
        <v>87</v>
      </c>
      <c r="AY1211" s="58" t="s">
        <v>481</v>
      </c>
    </row>
    <row r="1212" spans="1:51" ht="16.5" thickBot="1">
      <c r="A1212" s="57">
        <f t="shared" si="268"/>
        <v>1210</v>
      </c>
      <c r="B1212" s="63"/>
      <c r="C1212" s="63"/>
      <c r="D1212" s="63"/>
      <c r="E1212" s="96"/>
      <c r="F1212" s="63"/>
      <c r="G1212" s="96"/>
      <c r="H1212" s="63"/>
      <c r="I1212" s="97"/>
      <c r="J1212" s="100"/>
      <c r="K1212" s="97"/>
      <c r="L1212" s="63"/>
      <c r="M1212" s="97"/>
      <c r="N1212" s="63"/>
      <c r="O1212" s="97"/>
      <c r="P1212" s="100"/>
      <c r="Q1212" s="97"/>
      <c r="AT1212" s="63"/>
      <c r="AU1212" s="97"/>
      <c r="AV1212" s="100"/>
      <c r="AW1212" s="97"/>
      <c r="AX1212" s="66" t="s">
        <v>87</v>
      </c>
      <c r="AY1212" s="58" t="s">
        <v>481</v>
      </c>
    </row>
    <row r="1213" spans="1:51" ht="16.5" thickTop="1">
      <c r="A1213" s="57">
        <f t="shared" si="268"/>
        <v>1211</v>
      </c>
      <c r="B1213" s="63"/>
      <c r="C1213" s="63"/>
      <c r="D1213" s="63"/>
      <c r="F1213" s="63"/>
      <c r="H1213" s="63"/>
      <c r="I1213" s="66"/>
      <c r="J1213" s="93"/>
      <c r="K1213" s="66"/>
      <c r="L1213" s="63"/>
      <c r="M1213" s="66"/>
      <c r="N1213" s="63"/>
      <c r="O1213" s="66"/>
      <c r="P1213" s="93"/>
      <c r="Q1213" s="66"/>
      <c r="AT1213" s="63"/>
      <c r="AU1213" s="66"/>
      <c r="AV1213" s="93"/>
      <c r="AW1213" s="66"/>
      <c r="AX1213" s="66" t="s">
        <v>87</v>
      </c>
      <c r="AY1213" s="58" t="s">
        <v>481</v>
      </c>
    </row>
    <row r="1214" spans="1:51" ht="16.5" thickBot="1">
      <c r="A1214" s="57">
        <f t="shared" si="268"/>
        <v>1212</v>
      </c>
      <c r="B1214" s="83" t="s">
        <v>488</v>
      </c>
      <c r="C1214" s="83"/>
      <c r="D1214" s="83"/>
      <c r="E1214" s="169">
        <f>E1237+E1231</f>
        <v>19403365146.449997</v>
      </c>
      <c r="F1214" s="83"/>
      <c r="G1214" s="169">
        <f>G1237+G1231</f>
        <v>21216192384.999996</v>
      </c>
      <c r="H1214" s="83"/>
      <c r="I1214" s="84"/>
      <c r="J1214" s="83"/>
      <c r="K1214" s="84">
        <f>K1237+K1231</f>
        <v>1053778799.689225</v>
      </c>
      <c r="L1214" s="83"/>
      <c r="M1214" s="84">
        <f>M1237+M1231</f>
        <v>1159535130.960105</v>
      </c>
      <c r="N1214" s="83"/>
      <c r="O1214" s="84"/>
      <c r="P1214" s="83"/>
      <c r="Q1214" s="84">
        <f>Q1237+Q1231</f>
        <v>1210536890.960105</v>
      </c>
      <c r="AT1214" s="83"/>
      <c r="AU1214" s="169"/>
      <c r="AV1214" s="169"/>
      <c r="AW1214" s="84">
        <f>AW1237+AW1231</f>
        <v>984405971.52</v>
      </c>
      <c r="AX1214" s="66" t="s">
        <v>87</v>
      </c>
      <c r="AY1214" s="58" t="s">
        <v>489</v>
      </c>
    </row>
    <row r="1215" spans="1:51" ht="16.5" thickTop="1">
      <c r="A1215" s="57">
        <f t="shared" si="268"/>
        <v>1213</v>
      </c>
      <c r="I1215" s="66"/>
      <c r="J1215" s="93"/>
      <c r="K1215" s="66"/>
      <c r="M1215" s="66"/>
      <c r="O1215" s="66"/>
      <c r="P1215" s="93"/>
      <c r="Q1215" s="66"/>
      <c r="R1215" s="93"/>
      <c r="S1215" s="109"/>
      <c r="T1215" s="170"/>
      <c r="U1215" s="109"/>
      <c r="V1215" s="170"/>
      <c r="AU1215" s="66"/>
      <c r="AV1215" s="93"/>
      <c r="AW1215" s="66"/>
      <c r="AX1215" s="66"/>
      <c r="AY1215" s="66"/>
    </row>
    <row r="1216" spans="1:51" ht="15.75">
      <c r="A1216" s="57"/>
      <c r="E1216" s="5" t="s">
        <v>7</v>
      </c>
      <c r="F1216" s="5"/>
      <c r="G1216" s="5"/>
      <c r="H1216" s="5"/>
      <c r="I1216" s="5"/>
      <c r="J1216" s="49"/>
      <c r="K1216" s="49" t="s">
        <v>490</v>
      </c>
      <c r="M1216" s="50" t="s">
        <v>491</v>
      </c>
      <c r="O1216" s="49"/>
      <c r="P1216" s="49"/>
      <c r="Q1216" s="49" t="s">
        <v>492</v>
      </c>
      <c r="R1216" s="49"/>
      <c r="AT1216" s="5"/>
      <c r="AU1216" s="5"/>
      <c r="AW1216" s="5" t="s">
        <v>159</v>
      </c>
      <c r="AX1216" s="49"/>
      <c r="AY1216" s="49"/>
    </row>
    <row r="1217" spans="1:51" ht="15.75">
      <c r="A1217" s="57"/>
      <c r="D1217" s="51" t="s">
        <v>493</v>
      </c>
      <c r="E1217" s="171" t="s">
        <v>494</v>
      </c>
      <c r="F1217" s="51"/>
      <c r="G1217" s="171" t="s">
        <v>4</v>
      </c>
      <c r="H1217" s="51"/>
      <c r="I1217" s="171"/>
      <c r="K1217" s="171" t="s">
        <v>495</v>
      </c>
      <c r="L1217" s="51"/>
      <c r="M1217" s="171" t="s">
        <v>495</v>
      </c>
      <c r="N1217" s="51"/>
      <c r="O1217" s="171"/>
      <c r="Q1217" s="171" t="s">
        <v>495</v>
      </c>
      <c r="R1217" s="171"/>
      <c r="AT1217" s="51"/>
      <c r="AU1217" s="171"/>
      <c r="AW1217" s="171" t="s">
        <v>495</v>
      </c>
      <c r="AX1217" s="171"/>
      <c r="AY1217" s="171"/>
    </row>
    <row r="1218" ht="15.75">
      <c r="A1218" s="57"/>
    </row>
    <row r="1219" spans="1:51" ht="15.75">
      <c r="A1219" s="57"/>
      <c r="B1219" s="58" t="s">
        <v>6</v>
      </c>
      <c r="D1219" s="58" t="s">
        <v>6</v>
      </c>
      <c r="E1219" s="165">
        <f>SUM(E18,E20,E21,E29,E60,E61,E82,E40,E42,E43,E47,E19,E41,E58,E59,E69)</f>
        <v>5542285961</v>
      </c>
      <c r="G1219" s="165">
        <f>SUM(G18,G20,G21,G29,G60,G61,G82,G40,G42,G43,G47,G19,G41,G58,G59,G69)</f>
        <v>6157598887.999999</v>
      </c>
      <c r="K1219" s="66">
        <f>SUM(K17:K21,K26:K29,K57:K69,K79:K83,K39:K47)</f>
        <v>397257411</v>
      </c>
      <c r="M1219" s="66">
        <f>SUM(M17:M21,M26:M29,M57:M69,M79:M83,M39:M47)</f>
        <v>442024996</v>
      </c>
      <c r="O1219" s="66"/>
      <c r="Q1219" s="66">
        <f>SUM(Q17:Q21,Q26:Q29,Q57:Q69,Q79:Q83,Q39:Q47)</f>
        <v>458831961</v>
      </c>
      <c r="R1219" s="66"/>
      <c r="AU1219" s="66">
        <v>1338707.8299999237</v>
      </c>
      <c r="AW1219" s="66">
        <f>SUM(AW17:AW21,AW26:AW29,AW57:AW69,AW79:AW83,AW39:AW47)</f>
        <v>367797377</v>
      </c>
      <c r="AX1219" s="66"/>
      <c r="AY1219" s="66"/>
    </row>
    <row r="1220" spans="2:51" ht="15.75">
      <c r="B1220" s="58" t="s">
        <v>496</v>
      </c>
      <c r="D1220" s="58" t="s">
        <v>496</v>
      </c>
      <c r="E1220" s="165">
        <f>SUM(E100:E101,E102:E103)</f>
        <v>1101308953</v>
      </c>
      <c r="G1220" s="165">
        <f>SUM(G100:G101,G102:G103)</f>
        <v>1210447026.0000002</v>
      </c>
      <c r="K1220" s="66">
        <f>SUM(K95:K103,K108:K109)</f>
        <v>73619372</v>
      </c>
      <c r="M1220" s="66">
        <f>SUM(M95:M103,M108:M109)</f>
        <v>80575402</v>
      </c>
      <c r="O1220" s="66"/>
      <c r="Q1220" s="66">
        <f>SUM(Q95:Q103,Q108:Q109)</f>
        <v>83639668</v>
      </c>
      <c r="R1220" s="66"/>
      <c r="AU1220" s="66">
        <v>-430568.82000000775</v>
      </c>
      <c r="AW1220" s="66">
        <f>SUM(AW95:AW103,AW108:AW109)</f>
        <v>70909848</v>
      </c>
      <c r="AX1220" s="66"/>
      <c r="AY1220" s="66"/>
    </row>
    <row r="1221" spans="2:51" ht="15.75">
      <c r="B1221" s="58" t="s">
        <v>497</v>
      </c>
      <c r="D1221" s="58" t="s">
        <v>497</v>
      </c>
      <c r="E1221" s="165">
        <f>SUM(E264:E265,E349:E350,E351:E352,E401:E402,E418:E419)</f>
        <v>5093375877</v>
      </c>
      <c r="G1221" s="165">
        <f>SUM(G264:G265,G349:G350,G351:G352,G401:G402,G418:G419)</f>
        <v>5564658465.954322</v>
      </c>
      <c r="K1221" s="66">
        <f>SUM(K260:K265,K268:K269,K345:K352,K397:K403,K414:K420)</f>
        <v>286170581</v>
      </c>
      <c r="M1221" s="66">
        <f>SUM(M260:M265,M268:M269,M345:M352,M397:M403,M414:M420)</f>
        <v>315529274</v>
      </c>
      <c r="O1221" s="66"/>
      <c r="Q1221" s="66">
        <f>SUM(Q260:Q265,Q268:Q269,Q345:Q352,Q397:Q403,Q414:Q420)</f>
        <v>335211947</v>
      </c>
      <c r="R1221" s="66"/>
      <c r="AU1221" s="66">
        <v>0</v>
      </c>
      <c r="AW1221" s="66">
        <f>SUM(AW260:AW265,AW268:AW269,AW345:AW352,AW397:AW403,AW414:AW420)</f>
        <v>265291976</v>
      </c>
      <c r="AX1221" s="66"/>
      <c r="AY1221" s="66"/>
    </row>
    <row r="1222" spans="2:51" ht="15.75">
      <c r="B1222" s="58" t="s">
        <v>498</v>
      </c>
      <c r="D1222" s="58" t="s">
        <v>498</v>
      </c>
      <c r="E1222" s="165">
        <f>SUM(E500:E503,E519:E522,E539:E542,E559:E562,E579:E582,E599:E602)</f>
        <v>1767634516</v>
      </c>
      <c r="G1222" s="165">
        <f>SUM(G500:G503,G519:G522,G539:G542,G559:G562,G579:G582,G599:G602)</f>
        <v>1964229342.0456765</v>
      </c>
      <c r="K1222" s="66">
        <f>SUM(K494:K503,K513:K522,K533:K542,K553:K562,K573:K582,K593:K602)</f>
        <v>86945631</v>
      </c>
      <c r="M1222" s="66">
        <f>SUM(M494:M503,M513:M522,M533:M542,M553:M562,M573:M582,M593:M602)</f>
        <v>96635356</v>
      </c>
      <c r="O1222" s="66"/>
      <c r="Q1222" s="66">
        <f>SUM(Q494:Q503,Q513:Q522,Q533:Q542,Q553:Q562,Q573:Q582,Q593:Q602)</f>
        <v>101183507</v>
      </c>
      <c r="R1222" s="66"/>
      <c r="AU1222" s="66">
        <v>0</v>
      </c>
      <c r="AW1222" s="66">
        <f>SUM(AW494:AW503,AW513:AW522,AW533:AW542,AW553:AW562,AW573:AW582,AW593:AW602)</f>
        <v>81382136</v>
      </c>
      <c r="AX1222" s="66"/>
      <c r="AY1222" s="66"/>
    </row>
    <row r="1223" spans="2:51" ht="15.75">
      <c r="B1223" s="58" t="s">
        <v>499</v>
      </c>
      <c r="D1223" s="58" t="s">
        <v>499</v>
      </c>
      <c r="E1223" s="165">
        <f>SUM(E620:E623,E711,E712,E697,E698,E1118:E1121)</f>
        <v>3640548752.0000005</v>
      </c>
      <c r="G1223" s="165">
        <f>SUM(G620:G623,G711,G712,G697,G698,G1118:G1121)</f>
        <v>3893926930.999999</v>
      </c>
      <c r="K1223" s="66">
        <f>SUM(K614:K623,K709:K712,K694:K698,K1114:K1124)</f>
        <v>127853616</v>
      </c>
      <c r="M1223" s="66">
        <f>SUM(M614:M623,M709:M712,M694:M698,M1114:M1124)</f>
        <v>136757307</v>
      </c>
      <c r="O1223" s="66"/>
      <c r="Q1223" s="66">
        <f>SUM(Q614:Q623,Q709:Q712,Q694:Q698,Q1114:Q1124)</f>
        <v>141973165</v>
      </c>
      <c r="R1223" s="66"/>
      <c r="AU1223" s="66">
        <v>-1</v>
      </c>
      <c r="AW1223" s="66">
        <f>SUM(AW614:AW623,AW709:AW712,AW694:AW698,AW1114:AW1124)</f>
        <v>118752284</v>
      </c>
      <c r="AX1223" s="66"/>
      <c r="AY1223" s="66"/>
    </row>
    <row r="1224" spans="2:51" ht="15.75">
      <c r="B1224" s="58" t="s">
        <v>500</v>
      </c>
      <c r="D1224" s="58" t="s">
        <v>500</v>
      </c>
      <c r="E1224" s="165">
        <f>SUM(E729,E730,E734,E757,E758,E762)</f>
        <v>196043204</v>
      </c>
      <c r="G1224" s="165">
        <f>SUM(G729,G730,G734,G757,G758,G762)</f>
        <v>201908593</v>
      </c>
      <c r="K1224" s="66">
        <f>SUM(K731,K736,K759,K764)</f>
        <v>9076435</v>
      </c>
      <c r="M1224" s="66">
        <f>SUM(M731,M736,M759,M764)</f>
        <v>9352282</v>
      </c>
      <c r="O1224" s="66"/>
      <c r="Q1224" s="66">
        <f>SUM(Q731,Q736,Q759,Q764)</f>
        <v>9788252</v>
      </c>
      <c r="R1224" s="66"/>
      <c r="AU1224" s="66">
        <v>0</v>
      </c>
      <c r="AW1224" s="66">
        <f>SUM(AW731,AW736,AW759,AW764)</f>
        <v>8460374</v>
      </c>
      <c r="AX1224" s="66"/>
      <c r="AY1224" s="66"/>
    </row>
    <row r="1225" spans="2:51" ht="15.75">
      <c r="B1225" s="58" t="s">
        <v>501</v>
      </c>
      <c r="D1225" s="58" t="s">
        <v>501</v>
      </c>
      <c r="E1225" s="165">
        <f>SUM(E464,E814,E926,E936,E948,E1038)</f>
        <v>94967336.6</v>
      </c>
      <c r="G1225" s="165">
        <f>SUM(G464,G814,G926,G936,G948,G1038)</f>
        <v>104354461</v>
      </c>
      <c r="K1225" s="66">
        <f>SUM(K463,K812,K926,K935:K936,K945:K948,K1036)</f>
        <v>11679338</v>
      </c>
      <c r="M1225" s="66">
        <f>SUM(M463,M812,M926,M935:M936,M945:M948,M1036)</f>
        <v>12272469</v>
      </c>
      <c r="O1225" s="66"/>
      <c r="Q1225" s="66">
        <f>SUM(Q463,Q812,Q926,Q935:Q936,Q945:Q948,Q1036)</f>
        <v>13530999</v>
      </c>
      <c r="R1225" s="66"/>
      <c r="AU1225" s="66">
        <v>1.1929080002987575</v>
      </c>
      <c r="AW1225" s="66">
        <f>SUM(AW463,AW812,AW926,AW935:AW936,AW945:AW948,AW1036)</f>
        <v>10931333</v>
      </c>
      <c r="AX1225" s="66"/>
      <c r="AY1225" s="66"/>
    </row>
    <row r="1226" spans="2:51" ht="15.75">
      <c r="B1226" s="58" t="s">
        <v>502</v>
      </c>
      <c r="D1226" s="58" t="s">
        <v>502</v>
      </c>
      <c r="E1226" s="165">
        <f>SUM(E1052,E1053,E1059,E1060)</f>
        <v>3077615</v>
      </c>
      <c r="G1226" s="165">
        <f>SUM(G1052,G1053,G1059,G1060)</f>
        <v>3084891</v>
      </c>
      <c r="K1226" s="66">
        <f>SUM(K1050:K1053,K1057:K1060)</f>
        <v>241267</v>
      </c>
      <c r="M1226" s="66">
        <f>SUM(M1050:M1053,M1057:M1060)</f>
        <v>241825</v>
      </c>
      <c r="O1226" s="66"/>
      <c r="Q1226" s="66">
        <f>SUM(Q1050:Q1053,Q1057:Q1060)</f>
        <v>241825</v>
      </c>
      <c r="R1226" s="66"/>
      <c r="AU1226" s="66">
        <v>0</v>
      </c>
      <c r="AW1226" s="66">
        <f>SUM(AW1050:AW1053,AW1057:AW1060)</f>
        <v>241267</v>
      </c>
      <c r="AX1226" s="66"/>
      <c r="AY1226" s="66"/>
    </row>
    <row r="1227" spans="2:51" ht="15.75">
      <c r="B1227" s="58" t="s">
        <v>503</v>
      </c>
      <c r="D1227" s="58" t="s">
        <v>503</v>
      </c>
      <c r="E1227" s="165">
        <f>SUM(E1098-E1097,E1110:E1113)</f>
        <v>13501747</v>
      </c>
      <c r="G1227" s="165">
        <f>SUM(G1098-G1097,G1110:G1113)</f>
        <v>13452752</v>
      </c>
      <c r="K1227" s="66">
        <f>SUM(K1074:K1096,K1104:K1113,K1114:K1124)</f>
        <v>706779</v>
      </c>
      <c r="M1227" s="66">
        <f>SUM(M1074:M1096,M1104:M1113,M1114:M1124)</f>
        <v>704237</v>
      </c>
      <c r="O1227" s="66"/>
      <c r="Q1227" s="66">
        <f>SUM(Q1074:Q1096,Q1104:Q1113,Q1114:Q1124)</f>
        <v>693584</v>
      </c>
      <c r="R1227" s="66"/>
      <c r="AU1227" s="66">
        <v>0</v>
      </c>
      <c r="AW1227" s="66">
        <f>SUM(AW1074:AW1096,AW1104:AW1113,AW1114:AW1124)</f>
        <v>680690</v>
      </c>
      <c r="AX1227" s="66"/>
      <c r="AY1227" s="66"/>
    </row>
    <row r="1228" spans="2:51" ht="15.75">
      <c r="B1228" s="58" t="s">
        <v>504</v>
      </c>
      <c r="D1228" s="58" t="s">
        <v>504</v>
      </c>
      <c r="E1228" s="172">
        <f>SUM(E1167,E1138,E1160,E1147)</f>
        <v>2075488275</v>
      </c>
      <c r="G1228" s="172">
        <f>SUM(G1167,G1138,G1160,G1147)</f>
        <v>2102098659.9999995</v>
      </c>
      <c r="K1228" s="75">
        <f>SUM(K1167,K1138,K1160,K1147)</f>
        <v>62806832.069225</v>
      </c>
      <c r="M1228" s="75">
        <f>SUM(M1167,M1138,M1160,M1147)</f>
        <v>63798962.10010512</v>
      </c>
      <c r="O1228" s="104"/>
      <c r="Q1228" s="75">
        <f>SUM(Q1167,Q1138,Q1160,Q1147)</f>
        <v>63798962.10010512</v>
      </c>
      <c r="R1228" s="66"/>
      <c r="AU1228" s="66">
        <v>292033.58000000566</v>
      </c>
      <c r="AW1228" s="75">
        <f>SUM(AW1167,AW1138,AW1160,AW1147)</f>
        <v>60385440.42</v>
      </c>
      <c r="AX1228" s="75"/>
      <c r="AY1228" s="75"/>
    </row>
    <row r="1229" spans="2:51" ht="15.75">
      <c r="B1229" s="58" t="s">
        <v>465</v>
      </c>
      <c r="D1229" s="58" t="s">
        <v>465</v>
      </c>
      <c r="E1229" s="165">
        <f>SUM(E1185,E1174,E1199)</f>
        <v>432910.85</v>
      </c>
      <c r="G1229" s="165">
        <f>SUM(G1185,G1174,G1199)</f>
        <v>432375</v>
      </c>
      <c r="I1229" s="66"/>
      <c r="K1229" s="66">
        <f>SUM(K1182:K1184,K1173:K1174,K1195:K1196)</f>
        <v>39595</v>
      </c>
      <c r="M1229" s="66">
        <f>SUM(M1182:M1184,M1173:M1174,M1195:M1196)</f>
        <v>39554</v>
      </c>
      <c r="O1229" s="66"/>
      <c r="Q1229" s="66">
        <f>SUM(Q1182:Q1184,Q1173:Q1174,Q1195:Q1196)</f>
        <v>39554</v>
      </c>
      <c r="R1229" s="66"/>
      <c r="AU1229" s="165"/>
      <c r="AW1229" s="66">
        <f>SUM(AW1182:AW1184,AW1173:AW1174,AW1195:AW1196)</f>
        <v>39595</v>
      </c>
      <c r="AX1229" s="66"/>
      <c r="AY1229" s="66"/>
    </row>
    <row r="1230" spans="9:51" ht="15.75">
      <c r="I1230" s="66"/>
      <c r="K1230" s="66"/>
      <c r="M1230" s="66"/>
      <c r="O1230" s="66"/>
      <c r="Q1230" s="66"/>
      <c r="R1230" s="66"/>
      <c r="AW1230" s="66"/>
      <c r="AX1230" s="66"/>
      <c r="AY1230" s="66"/>
    </row>
    <row r="1231" spans="2:51" ht="15.75">
      <c r="B1231" s="58" t="s">
        <v>187</v>
      </c>
      <c r="D1231" s="58" t="s">
        <v>187</v>
      </c>
      <c r="E1231" s="165">
        <f>SUM(E1219:E1229)</f>
        <v>19528665147.449997</v>
      </c>
      <c r="G1231" s="165">
        <f>SUM(G1219:G1229)</f>
        <v>21216192384.999996</v>
      </c>
      <c r="I1231" s="66"/>
      <c r="K1231" s="66">
        <f>SUM(K1219:K1229)</f>
        <v>1056396857.069225</v>
      </c>
      <c r="M1231" s="66">
        <f>SUM(M1219:M1229)</f>
        <v>1157931664.100105</v>
      </c>
      <c r="O1231" s="66"/>
      <c r="Q1231" s="66">
        <f>SUM(Q1219:Q1229)</f>
        <v>1208933424.100105</v>
      </c>
      <c r="R1231" s="66"/>
      <c r="AU1231" s="165"/>
      <c r="AW1231" s="66">
        <f>SUM(AW1219:AW1229)</f>
        <v>984872320.42</v>
      </c>
      <c r="AX1231" s="66"/>
      <c r="AY1231" s="66"/>
    </row>
    <row r="1232" spans="9:51" ht="15.75">
      <c r="I1232" s="66"/>
      <c r="K1232" s="66"/>
      <c r="M1232" s="66"/>
      <c r="O1232" s="66"/>
      <c r="Q1232" s="66"/>
      <c r="R1232" s="66"/>
      <c r="AW1232" s="66"/>
      <c r="AX1232" s="66"/>
      <c r="AY1232" s="66"/>
    </row>
    <row r="1233" spans="2:51" ht="15.75">
      <c r="B1233" s="58" t="s">
        <v>189</v>
      </c>
      <c r="D1233" s="58" t="s">
        <v>189</v>
      </c>
      <c r="E1233" s="165">
        <f>E1313</f>
        <v>78659999</v>
      </c>
      <c r="G1233" s="165">
        <f>G1313</f>
        <v>0</v>
      </c>
      <c r="I1233" s="66"/>
      <c r="K1233" s="66">
        <f>K1313</f>
        <v>6378513</v>
      </c>
      <c r="M1233" s="66">
        <f>M1313</f>
        <v>0</v>
      </c>
      <c r="O1233" s="66"/>
      <c r="Q1233" s="66">
        <f>Q1313</f>
        <v>0</v>
      </c>
      <c r="R1233" s="66"/>
      <c r="AU1233" s="165"/>
      <c r="AV1233" s="165"/>
      <c r="AW1233" s="66">
        <f>AW1313</f>
        <v>6809082.82</v>
      </c>
      <c r="AX1233" s="66"/>
      <c r="AY1233" s="66"/>
    </row>
    <row r="1234" spans="2:51" ht="15.75">
      <c r="B1234" s="58" t="s">
        <v>505</v>
      </c>
      <c r="D1234" s="58" t="s">
        <v>505</v>
      </c>
      <c r="E1234" s="165">
        <f>E1295</f>
        <v>-203960000</v>
      </c>
      <c r="G1234" s="165">
        <f>G1295</f>
        <v>0</v>
      </c>
      <c r="I1234" s="66"/>
      <c r="K1234" s="66">
        <f>K1295</f>
        <v>-10600037.24</v>
      </c>
      <c r="M1234" s="66">
        <f>M1295</f>
        <v>0</v>
      </c>
      <c r="O1234" s="66"/>
      <c r="Q1234" s="66">
        <f>Q1295</f>
        <v>0</v>
      </c>
      <c r="R1234" s="66"/>
      <c r="AU1234" s="165"/>
      <c r="AV1234" s="165"/>
      <c r="AW1234" s="66">
        <f>AW1295</f>
        <v>-8878898.58</v>
      </c>
      <c r="AX1234" s="66"/>
      <c r="AY1234" s="66"/>
    </row>
    <row r="1235" spans="2:51" ht="15.75">
      <c r="B1235" s="58" t="s">
        <v>481</v>
      </c>
      <c r="D1235" s="58" t="s">
        <v>481</v>
      </c>
      <c r="E1235" s="58">
        <v>0</v>
      </c>
      <c r="G1235" s="58">
        <v>0</v>
      </c>
      <c r="I1235" s="66"/>
      <c r="K1235" s="66">
        <f>K1211</f>
        <v>1603466.8599999994</v>
      </c>
      <c r="M1235" s="66">
        <f>M1211</f>
        <v>1603466.8599999994</v>
      </c>
      <c r="O1235" s="66"/>
      <c r="Q1235" s="66">
        <f>Q1211</f>
        <v>1603466.8599999994</v>
      </c>
      <c r="R1235" s="66"/>
      <c r="AV1235" s="165"/>
      <c r="AW1235" s="66">
        <f>AW1211</f>
        <v>1603466.8599999994</v>
      </c>
      <c r="AX1235" s="66"/>
      <c r="AY1235" s="66"/>
    </row>
    <row r="1236" spans="9:51" ht="15.75">
      <c r="I1236" s="66"/>
      <c r="K1236" s="66"/>
      <c r="M1236" s="66"/>
      <c r="O1236" s="66"/>
      <c r="Q1236" s="66"/>
      <c r="R1236" s="66"/>
      <c r="AW1236" s="66"/>
      <c r="AX1236" s="66"/>
      <c r="AY1236" s="66"/>
    </row>
    <row r="1237" spans="2:51" ht="15.75">
      <c r="B1237" s="58" t="s">
        <v>187</v>
      </c>
      <c r="D1237" s="58" t="s">
        <v>187</v>
      </c>
      <c r="E1237" s="165">
        <f>E1234+E1233</f>
        <v>-125300001</v>
      </c>
      <c r="G1237" s="165">
        <f>G1234+G1233</f>
        <v>0</v>
      </c>
      <c r="I1237" s="66"/>
      <c r="K1237" s="66">
        <f>SUM(K1233:K1236)</f>
        <v>-2618057.380000001</v>
      </c>
      <c r="M1237" s="66">
        <f>SUM(M1233:M1236)</f>
        <v>1603466.8599999994</v>
      </c>
      <c r="O1237" s="66"/>
      <c r="Q1237" s="66">
        <f>SUM(Q1233:Q1236)</f>
        <v>1603466.8599999994</v>
      </c>
      <c r="R1237" s="66"/>
      <c r="AU1237" s="165"/>
      <c r="AV1237" s="165"/>
      <c r="AW1237" s="66">
        <f>SUM(AW1233:AW1236)</f>
        <v>-466348.9000000004</v>
      </c>
      <c r="AX1237" s="66"/>
      <c r="AY1237" s="66"/>
    </row>
    <row r="1238" spans="9:51" ht="15.75">
      <c r="I1238" s="66"/>
      <c r="K1238" s="66"/>
      <c r="M1238" s="66"/>
      <c r="O1238" s="66"/>
      <c r="Q1238" s="66"/>
      <c r="R1238" s="66"/>
      <c r="AW1238" s="66"/>
      <c r="AX1238" s="66"/>
      <c r="AY1238" s="66"/>
    </row>
    <row r="1239" spans="2:51" ht="15.75">
      <c r="B1239" s="58" t="s">
        <v>59</v>
      </c>
      <c r="D1239" s="58" t="s">
        <v>59</v>
      </c>
      <c r="E1239" s="165">
        <f>E1237+E1231</f>
        <v>19403365146.449997</v>
      </c>
      <c r="G1239" s="165">
        <f>G1237+G1231</f>
        <v>21216192384.999996</v>
      </c>
      <c r="K1239" s="66">
        <f>K1237+K1231</f>
        <v>1053778799.689225</v>
      </c>
      <c r="M1239" s="66">
        <f>M1237+M1231</f>
        <v>1159535130.960105</v>
      </c>
      <c r="O1239" s="66"/>
      <c r="Q1239" s="66">
        <f>Q1237+Q1231</f>
        <v>1210536890.960105</v>
      </c>
      <c r="R1239" s="66"/>
      <c r="S1239" s="66"/>
      <c r="AU1239" s="66">
        <v>1630740.602907896</v>
      </c>
      <c r="AW1239" s="66">
        <f>AW1237+AW1231</f>
        <v>984405971.52</v>
      </c>
      <c r="AX1239" s="66"/>
      <c r="AY1239" s="66"/>
    </row>
    <row r="1240" spans="5:51" ht="15.75">
      <c r="E1240" s="165"/>
      <c r="G1240" s="165"/>
      <c r="K1240" s="66"/>
      <c r="M1240" s="66"/>
      <c r="Q1240" s="66"/>
      <c r="AU1240" s="165"/>
      <c r="AV1240" s="165"/>
      <c r="AW1240" s="66"/>
      <c r="AX1240" s="66"/>
      <c r="AY1240" s="66"/>
    </row>
    <row r="1241" spans="11:51" ht="15.75">
      <c r="K1241" s="66"/>
      <c r="M1241" s="66"/>
      <c r="Q1241" s="66"/>
      <c r="AW1241" s="66"/>
      <c r="AX1241" s="66"/>
      <c r="AY1241" s="66"/>
    </row>
    <row r="1242" spans="11:51" ht="15.75">
      <c r="K1242" s="66"/>
      <c r="M1242" s="66"/>
      <c r="Q1242" s="66"/>
      <c r="AW1242" s="66"/>
      <c r="AX1242" s="66"/>
      <c r="AY1242" s="66"/>
    </row>
    <row r="1243" spans="5:51" ht="15.75">
      <c r="E1243" s="5" t="s">
        <v>7</v>
      </c>
      <c r="F1243" s="5"/>
      <c r="G1243" s="5"/>
      <c r="H1243" s="5"/>
      <c r="I1243" s="5"/>
      <c r="J1243" s="49"/>
      <c r="K1243" s="49" t="s">
        <v>490</v>
      </c>
      <c r="M1243" s="50" t="s">
        <v>491</v>
      </c>
      <c r="O1243" s="49"/>
      <c r="P1243" s="49"/>
      <c r="Q1243" s="49" t="s">
        <v>492</v>
      </c>
      <c r="R1243" s="49"/>
      <c r="AT1243" s="5"/>
      <c r="AU1243" s="5"/>
      <c r="AW1243" s="5" t="s">
        <v>506</v>
      </c>
      <c r="AX1243" s="49"/>
      <c r="AY1243" s="49"/>
    </row>
    <row r="1244" spans="2:51" ht="15.75">
      <c r="B1244" s="58" t="s">
        <v>507</v>
      </c>
      <c r="D1244" s="58" t="s">
        <v>507</v>
      </c>
      <c r="E1244" s="171" t="s">
        <v>495</v>
      </c>
      <c r="G1244" s="171" t="s">
        <v>495</v>
      </c>
      <c r="I1244" s="171" t="s">
        <v>508</v>
      </c>
      <c r="K1244" s="171" t="s">
        <v>495</v>
      </c>
      <c r="M1244" s="171" t="s">
        <v>495</v>
      </c>
      <c r="O1244" s="171" t="s">
        <v>508</v>
      </c>
      <c r="Q1244" s="171" t="s">
        <v>495</v>
      </c>
      <c r="R1244" s="171" t="s">
        <v>508</v>
      </c>
      <c r="T1244" s="171" t="s">
        <v>508</v>
      </c>
      <c r="AW1244" s="171" t="s">
        <v>495</v>
      </c>
      <c r="AX1244" s="171"/>
      <c r="AY1244" s="171"/>
    </row>
    <row r="1245" spans="1:51" ht="15.75">
      <c r="A1245" s="173"/>
      <c r="B1245" s="174"/>
      <c r="C1245" s="174"/>
      <c r="D1245" s="174"/>
      <c r="E1245" s="175" t="s">
        <v>509</v>
      </c>
      <c r="F1245" s="174"/>
      <c r="G1245" s="175" t="s">
        <v>4</v>
      </c>
      <c r="H1245" s="174"/>
      <c r="I1245" s="175" t="s">
        <v>509</v>
      </c>
      <c r="J1245" s="174"/>
      <c r="K1245" s="80" t="s">
        <v>510</v>
      </c>
      <c r="L1245" s="174"/>
      <c r="M1245" s="80"/>
      <c r="N1245" s="174"/>
      <c r="O1245" s="174" t="s">
        <v>1</v>
      </c>
      <c r="P1245" s="174"/>
      <c r="Q1245" s="80"/>
      <c r="R1245" s="174" t="s">
        <v>4</v>
      </c>
      <c r="S1245" s="173"/>
      <c r="T1245" s="174" t="s">
        <v>0</v>
      </c>
      <c r="U1245" s="173"/>
      <c r="AW1245" s="80" t="s">
        <v>511</v>
      </c>
      <c r="AX1245" s="80"/>
      <c r="AY1245" s="80"/>
    </row>
    <row r="1246" spans="2:51" ht="15.75">
      <c r="B1246" s="58" t="s">
        <v>6</v>
      </c>
      <c r="D1246" s="58" t="s">
        <v>6</v>
      </c>
      <c r="E1246" s="165">
        <f aca="true" t="shared" si="272" ref="E1246:E1256">E1219+E1264</f>
        <v>5513643367</v>
      </c>
      <c r="G1246" s="165">
        <f aca="true" t="shared" si="273" ref="G1246:G1256">G1219+G1264</f>
        <v>6157598887.999999</v>
      </c>
      <c r="I1246" s="165">
        <v>5513643367.000001</v>
      </c>
      <c r="J1246" s="58">
        <f aca="true" t="shared" si="274" ref="J1246:J1256">I1246-E1246</f>
        <v>0</v>
      </c>
      <c r="K1246" s="66">
        <f aca="true" t="shared" si="275" ref="K1246:K1256">K1219+K1264</f>
        <v>395192632.27</v>
      </c>
      <c r="M1246" s="66">
        <f aca="true" t="shared" si="276" ref="M1246:M1256">M1219+M1264</f>
        <v>442024996</v>
      </c>
      <c r="O1246" s="66">
        <v>395192632.2699999</v>
      </c>
      <c r="P1246" s="58">
        <f aca="true" t="shared" si="277" ref="P1246:P1256">O1246-K1246</f>
        <v>0</v>
      </c>
      <c r="Q1246" s="66">
        <f aca="true" t="shared" si="278" ref="Q1246:Q1256">Q1219+Q1264</f>
        <v>458831961</v>
      </c>
      <c r="R1246" s="66">
        <v>442024996.00000006</v>
      </c>
      <c r="S1246" s="55">
        <f aca="true" t="shared" si="279" ref="S1246:S1256">R1246-M1246</f>
        <v>0</v>
      </c>
      <c r="T1246" s="55">
        <v>458831961</v>
      </c>
      <c r="U1246" s="55">
        <f aca="true" t="shared" si="280" ref="U1246:U1256">T1246-Q1246</f>
        <v>0</v>
      </c>
      <c r="AW1246" s="66">
        <f aca="true" t="shared" si="281" ref="AW1246:AW1256">AW1219+AW1264</f>
        <v>367570848.53</v>
      </c>
      <c r="AX1246" s="66"/>
      <c r="AY1246" s="66"/>
    </row>
    <row r="1247" spans="2:51" ht="15.75">
      <c r="B1247" s="58" t="s">
        <v>496</v>
      </c>
      <c r="D1247" s="58" t="s">
        <v>496</v>
      </c>
      <c r="E1247" s="165">
        <f t="shared" si="272"/>
        <v>1092050316</v>
      </c>
      <c r="G1247" s="165">
        <f t="shared" si="273"/>
        <v>1210447026.0000002</v>
      </c>
      <c r="I1247" s="165">
        <v>1092050315.9999998</v>
      </c>
      <c r="J1247" s="58">
        <f t="shared" si="274"/>
        <v>0</v>
      </c>
      <c r="K1247" s="66">
        <f t="shared" si="275"/>
        <v>72807826.85203901</v>
      </c>
      <c r="M1247" s="66">
        <f t="shared" si="276"/>
        <v>80575402</v>
      </c>
      <c r="O1247" s="66">
        <v>72807826.85203902</v>
      </c>
      <c r="P1247" s="58">
        <f t="shared" si="277"/>
        <v>0</v>
      </c>
      <c r="Q1247" s="66">
        <f t="shared" si="278"/>
        <v>83639668</v>
      </c>
      <c r="R1247" s="66">
        <v>80575402</v>
      </c>
      <c r="S1247" s="55">
        <f t="shared" si="279"/>
        <v>0</v>
      </c>
      <c r="T1247" s="55">
        <v>83639668</v>
      </c>
      <c r="U1247" s="55">
        <f t="shared" si="280"/>
        <v>0</v>
      </c>
      <c r="AW1247" s="66">
        <f t="shared" si="281"/>
        <v>70411761.07203901</v>
      </c>
      <c r="AX1247" s="66"/>
      <c r="AY1247" s="66"/>
    </row>
    <row r="1248" spans="2:51" ht="15.75">
      <c r="B1248" s="58" t="s">
        <v>497</v>
      </c>
      <c r="D1248" s="58" t="s">
        <v>497</v>
      </c>
      <c r="E1248" s="165">
        <f t="shared" si="272"/>
        <v>5011467360</v>
      </c>
      <c r="G1248" s="165">
        <f t="shared" si="273"/>
        <v>5564658465.954322</v>
      </c>
      <c r="I1248" s="165">
        <v>5011467360</v>
      </c>
      <c r="J1248" s="58">
        <f t="shared" si="274"/>
        <v>0</v>
      </c>
      <c r="K1248" s="66">
        <f t="shared" si="275"/>
        <v>284351636.51193684</v>
      </c>
      <c r="M1248" s="66">
        <f t="shared" si="276"/>
        <v>315529274</v>
      </c>
      <c r="O1248" s="66">
        <v>284351636.5119368</v>
      </c>
      <c r="P1248" s="58">
        <f t="shared" si="277"/>
        <v>0</v>
      </c>
      <c r="Q1248" s="66">
        <f t="shared" si="278"/>
        <v>335211947</v>
      </c>
      <c r="R1248" s="66">
        <v>315529274</v>
      </c>
      <c r="S1248" s="55">
        <f t="shared" si="279"/>
        <v>0</v>
      </c>
      <c r="T1248" s="55">
        <v>335211947</v>
      </c>
      <c r="U1248" s="55">
        <f t="shared" si="280"/>
        <v>0</v>
      </c>
      <c r="AW1248" s="66">
        <f t="shared" si="281"/>
        <v>263473031.51193684</v>
      </c>
      <c r="AX1248" s="66"/>
      <c r="AY1248" s="66"/>
    </row>
    <row r="1249" spans="2:51" ht="15.75">
      <c r="B1249" s="58" t="s">
        <v>498</v>
      </c>
      <c r="D1249" s="58" t="s">
        <v>498</v>
      </c>
      <c r="E1249" s="165">
        <f t="shared" si="272"/>
        <v>1767222894</v>
      </c>
      <c r="G1249" s="165">
        <f t="shared" si="273"/>
        <v>1964229342.0456765</v>
      </c>
      <c r="I1249" s="165">
        <v>1780757506.0000002</v>
      </c>
      <c r="J1249" s="58">
        <f t="shared" si="274"/>
        <v>13534612.000000238</v>
      </c>
      <c r="K1249" s="66">
        <f t="shared" si="275"/>
        <v>87022854.35886957</v>
      </c>
      <c r="M1249" s="66">
        <f t="shared" si="276"/>
        <v>96635356</v>
      </c>
      <c r="O1249" s="66">
        <v>87530953.35886955</v>
      </c>
      <c r="P1249" s="58">
        <f t="shared" si="277"/>
        <v>508098.9999999851</v>
      </c>
      <c r="Q1249" s="66">
        <f t="shared" si="278"/>
        <v>101183507</v>
      </c>
      <c r="R1249" s="66">
        <v>97141612</v>
      </c>
      <c r="S1249" s="55">
        <f t="shared" si="279"/>
        <v>506256</v>
      </c>
      <c r="T1249" s="55">
        <v>101669900</v>
      </c>
      <c r="U1249" s="55">
        <f t="shared" si="280"/>
        <v>486393</v>
      </c>
      <c r="AW1249" s="66">
        <f t="shared" si="281"/>
        <v>81459359.35886957</v>
      </c>
      <c r="AX1249" s="66"/>
      <c r="AY1249" s="66"/>
    </row>
    <row r="1250" spans="2:51" ht="15.75">
      <c r="B1250" s="58" t="s">
        <v>499</v>
      </c>
      <c r="D1250" s="58" t="s">
        <v>499</v>
      </c>
      <c r="E1250" s="165">
        <f t="shared" si="272"/>
        <v>3636703600.0000005</v>
      </c>
      <c r="G1250" s="165">
        <f t="shared" si="273"/>
        <v>3893926930.999999</v>
      </c>
      <c r="I1250" s="165">
        <v>3636703600.0000005</v>
      </c>
      <c r="J1250" s="58">
        <f t="shared" si="274"/>
        <v>0</v>
      </c>
      <c r="K1250" s="66">
        <f t="shared" si="275"/>
        <v>127815905.65378127</v>
      </c>
      <c r="M1250" s="66">
        <f t="shared" si="276"/>
        <v>136757307</v>
      </c>
      <c r="O1250" s="66">
        <v>127815905.65378127</v>
      </c>
      <c r="P1250" s="58">
        <f t="shared" si="277"/>
        <v>0</v>
      </c>
      <c r="Q1250" s="66">
        <f t="shared" si="278"/>
        <v>141973165</v>
      </c>
      <c r="R1250" s="66">
        <v>136757307</v>
      </c>
      <c r="S1250" s="55">
        <f t="shared" si="279"/>
        <v>0</v>
      </c>
      <c r="T1250" s="55">
        <v>141973164.99999997</v>
      </c>
      <c r="U1250" s="55">
        <f t="shared" si="280"/>
        <v>0</v>
      </c>
      <c r="AW1250" s="66">
        <f t="shared" si="281"/>
        <v>118714573.65378127</v>
      </c>
      <c r="AX1250" s="66"/>
      <c r="AY1250" s="66"/>
    </row>
    <row r="1251" spans="2:51" ht="15.75">
      <c r="B1251" s="58" t="s">
        <v>500</v>
      </c>
      <c r="D1251" s="58" t="s">
        <v>500</v>
      </c>
      <c r="E1251" s="165">
        <f t="shared" si="272"/>
        <v>195288786</v>
      </c>
      <c r="G1251" s="165">
        <f t="shared" si="273"/>
        <v>201908593</v>
      </c>
      <c r="I1251" s="165">
        <v>195288786</v>
      </c>
      <c r="J1251" s="58">
        <f t="shared" si="274"/>
        <v>0</v>
      </c>
      <c r="K1251" s="66">
        <f t="shared" si="275"/>
        <v>9057805</v>
      </c>
      <c r="M1251" s="66">
        <f t="shared" si="276"/>
        <v>9352282</v>
      </c>
      <c r="O1251" s="66">
        <v>9057805</v>
      </c>
      <c r="P1251" s="58">
        <f t="shared" si="277"/>
        <v>0</v>
      </c>
      <c r="Q1251" s="66">
        <f t="shared" si="278"/>
        <v>9788252</v>
      </c>
      <c r="R1251" s="66">
        <v>9352282.000000002</v>
      </c>
      <c r="S1251" s="55">
        <f t="shared" si="279"/>
        <v>0</v>
      </c>
      <c r="T1251" s="55">
        <v>9788252</v>
      </c>
      <c r="U1251" s="55">
        <f t="shared" si="280"/>
        <v>0</v>
      </c>
      <c r="AW1251" s="66">
        <f t="shared" si="281"/>
        <v>8441744</v>
      </c>
      <c r="AX1251" s="66"/>
      <c r="AY1251" s="66"/>
    </row>
    <row r="1252" spans="2:51" ht="15.75">
      <c r="B1252" s="58" t="s">
        <v>501</v>
      </c>
      <c r="D1252" s="58" t="s">
        <v>501</v>
      </c>
      <c r="E1252" s="165">
        <f t="shared" si="272"/>
        <v>94465550.6</v>
      </c>
      <c r="G1252" s="165">
        <f t="shared" si="273"/>
        <v>104354461</v>
      </c>
      <c r="I1252" s="165">
        <v>94465550.60000001</v>
      </c>
      <c r="J1252" s="58">
        <f t="shared" si="274"/>
        <v>0</v>
      </c>
      <c r="K1252" s="66">
        <f t="shared" si="275"/>
        <v>12129126.197648825</v>
      </c>
      <c r="M1252" s="66">
        <f t="shared" si="276"/>
        <v>12272469</v>
      </c>
      <c r="O1252" s="66">
        <v>12129126.197648823</v>
      </c>
      <c r="P1252" s="58">
        <f t="shared" si="277"/>
        <v>0</v>
      </c>
      <c r="Q1252" s="66">
        <f t="shared" si="278"/>
        <v>13530999</v>
      </c>
      <c r="R1252" s="66">
        <v>12272469</v>
      </c>
      <c r="S1252" s="55">
        <f t="shared" si="279"/>
        <v>0</v>
      </c>
      <c r="T1252" s="55">
        <v>13530999</v>
      </c>
      <c r="U1252" s="55">
        <f t="shared" si="280"/>
        <v>0</v>
      </c>
      <c r="AW1252" s="66">
        <f t="shared" si="281"/>
        <v>11381121.197648825</v>
      </c>
      <c r="AX1252" s="66"/>
      <c r="AY1252" s="66"/>
    </row>
    <row r="1253" spans="2:51" ht="15.75">
      <c r="B1253" s="58" t="s">
        <v>502</v>
      </c>
      <c r="D1253" s="58" t="s">
        <v>502</v>
      </c>
      <c r="E1253" s="165">
        <f t="shared" si="272"/>
        <v>3065433</v>
      </c>
      <c r="G1253" s="165">
        <f t="shared" si="273"/>
        <v>3084891</v>
      </c>
      <c r="I1253" s="165">
        <v>3065433</v>
      </c>
      <c r="J1253" s="58">
        <f t="shared" si="274"/>
        <v>0</v>
      </c>
      <c r="K1253" s="66">
        <f t="shared" si="275"/>
        <v>240966</v>
      </c>
      <c r="M1253" s="66">
        <f t="shared" si="276"/>
        <v>241825</v>
      </c>
      <c r="O1253" s="66">
        <v>240966</v>
      </c>
      <c r="P1253" s="58">
        <f t="shared" si="277"/>
        <v>0</v>
      </c>
      <c r="Q1253" s="66">
        <f t="shared" si="278"/>
        <v>241825</v>
      </c>
      <c r="R1253" s="66">
        <v>241825</v>
      </c>
      <c r="S1253" s="55">
        <f t="shared" si="279"/>
        <v>0</v>
      </c>
      <c r="T1253" s="55">
        <v>241825</v>
      </c>
      <c r="U1253" s="55">
        <f t="shared" si="280"/>
        <v>0</v>
      </c>
      <c r="AW1253" s="66">
        <f t="shared" si="281"/>
        <v>240966</v>
      </c>
      <c r="AX1253" s="66"/>
      <c r="AY1253" s="66"/>
    </row>
    <row r="1254" spans="2:51" ht="15.75">
      <c r="B1254" s="58" t="s">
        <v>503</v>
      </c>
      <c r="D1254" s="58" t="s">
        <v>503</v>
      </c>
      <c r="E1254" s="165">
        <f t="shared" si="272"/>
        <v>13534612</v>
      </c>
      <c r="G1254" s="165">
        <f t="shared" si="273"/>
        <v>13452752</v>
      </c>
      <c r="I1254" s="165">
        <v>0</v>
      </c>
      <c r="J1254" s="58">
        <f t="shared" si="274"/>
        <v>-13534612</v>
      </c>
      <c r="K1254" s="66">
        <f t="shared" si="275"/>
        <v>709083.0898140877</v>
      </c>
      <c r="M1254" s="66">
        <f t="shared" si="276"/>
        <v>704237</v>
      </c>
      <c r="O1254" s="66">
        <v>200984.0898140877</v>
      </c>
      <c r="P1254" s="58">
        <f t="shared" si="277"/>
        <v>-508099</v>
      </c>
      <c r="Q1254" s="66">
        <f t="shared" si="278"/>
        <v>693584</v>
      </c>
      <c r="R1254" s="66">
        <v>197981</v>
      </c>
      <c r="S1254" s="55">
        <f t="shared" si="279"/>
        <v>-506256</v>
      </c>
      <c r="T1254" s="55">
        <v>207191</v>
      </c>
      <c r="U1254" s="55">
        <f t="shared" si="280"/>
        <v>-486393</v>
      </c>
      <c r="AW1254" s="66">
        <f t="shared" si="281"/>
        <v>682994.0898140877</v>
      </c>
      <c r="AX1254" s="66"/>
      <c r="AY1254" s="66"/>
    </row>
    <row r="1255" spans="2:51" ht="15.75">
      <c r="B1255" s="58" t="s">
        <v>504</v>
      </c>
      <c r="D1255" s="58" t="s">
        <v>504</v>
      </c>
      <c r="E1255" s="165">
        <f t="shared" si="272"/>
        <v>2075488275</v>
      </c>
      <c r="G1255" s="165">
        <f t="shared" si="273"/>
        <v>2102098659.9999995</v>
      </c>
      <c r="I1255" s="165">
        <v>2075488275</v>
      </c>
      <c r="J1255" s="58">
        <f t="shared" si="274"/>
        <v>0</v>
      </c>
      <c r="K1255" s="66">
        <f t="shared" si="275"/>
        <v>62806832.069225</v>
      </c>
      <c r="M1255" s="66">
        <f t="shared" si="276"/>
        <v>63798962.10010512</v>
      </c>
      <c r="O1255" s="66">
        <v>62806832.069225</v>
      </c>
      <c r="P1255" s="58">
        <f t="shared" si="277"/>
        <v>0</v>
      </c>
      <c r="Q1255" s="66">
        <f t="shared" si="278"/>
        <v>63798962.10010512</v>
      </c>
      <c r="R1255" s="66">
        <v>63798962.10010513</v>
      </c>
      <c r="S1255" s="55">
        <f t="shared" si="279"/>
        <v>0</v>
      </c>
      <c r="T1255" s="55">
        <v>63798962.10010513</v>
      </c>
      <c r="U1255" s="55">
        <f t="shared" si="280"/>
        <v>0</v>
      </c>
      <c r="AW1255" s="66">
        <f t="shared" si="281"/>
        <v>60385440.42</v>
      </c>
      <c r="AX1255" s="66"/>
      <c r="AY1255" s="66"/>
    </row>
    <row r="1256" spans="2:51" ht="15.75">
      <c r="B1256" s="58" t="s">
        <v>465</v>
      </c>
      <c r="D1256" s="58" t="s">
        <v>465</v>
      </c>
      <c r="E1256" s="165">
        <f t="shared" si="272"/>
        <v>434952.85</v>
      </c>
      <c r="G1256" s="165">
        <f t="shared" si="273"/>
        <v>432375</v>
      </c>
      <c r="I1256" s="165">
        <v>434952.85</v>
      </c>
      <c r="J1256" s="58">
        <f t="shared" si="274"/>
        <v>0</v>
      </c>
      <c r="K1256" s="66">
        <f t="shared" si="275"/>
        <v>40664.82591040025</v>
      </c>
      <c r="M1256" s="66">
        <f t="shared" si="276"/>
        <v>39554</v>
      </c>
      <c r="O1256" s="66">
        <v>40664.82591040025</v>
      </c>
      <c r="P1256" s="58">
        <f t="shared" si="277"/>
        <v>0</v>
      </c>
      <c r="Q1256" s="66">
        <f t="shared" si="278"/>
        <v>39554</v>
      </c>
      <c r="R1256" s="66">
        <v>39554</v>
      </c>
      <c r="S1256" s="55">
        <f t="shared" si="279"/>
        <v>0</v>
      </c>
      <c r="T1256" s="55">
        <v>39554</v>
      </c>
      <c r="U1256" s="55">
        <f t="shared" si="280"/>
        <v>0</v>
      </c>
      <c r="AW1256" s="66">
        <f t="shared" si="281"/>
        <v>40664.82591040025</v>
      </c>
      <c r="AX1256" s="66"/>
      <c r="AY1256" s="66"/>
    </row>
    <row r="1257" spans="11:51" ht="15.75">
      <c r="K1257" s="66"/>
      <c r="M1257" s="66"/>
      <c r="O1257" s="66"/>
      <c r="Q1257" s="66"/>
      <c r="R1257" s="66"/>
      <c r="AW1257" s="66"/>
      <c r="AX1257" s="66"/>
      <c r="AY1257" s="66"/>
    </row>
    <row r="1258" spans="2:51" ht="15.75">
      <c r="B1258" s="58" t="s">
        <v>59</v>
      </c>
      <c r="D1258" s="58" t="s">
        <v>59</v>
      </c>
      <c r="E1258" s="165">
        <f>E1231+E1276</f>
        <v>19403365146.449997</v>
      </c>
      <c r="G1258" s="165">
        <f>G1231+G1276</f>
        <v>21216192384.999996</v>
      </c>
      <c r="I1258" s="66">
        <f>SUM(I1246:I1257)</f>
        <v>19403365146.449997</v>
      </c>
      <c r="J1258" s="58">
        <f>I1258-E1258</f>
        <v>0</v>
      </c>
      <c r="K1258" s="66">
        <f>K1231+K1276</f>
        <v>1052175332.829225</v>
      </c>
      <c r="M1258" s="66">
        <f>M1231+M1276</f>
        <v>1157931664.100105</v>
      </c>
      <c r="O1258" s="66">
        <f>SUM(O1246:O1257)</f>
        <v>1052175332.829225</v>
      </c>
      <c r="P1258" s="58">
        <f>O1258-K1258</f>
        <v>0</v>
      </c>
      <c r="Q1258" s="66">
        <f>Q1231+Q1276</f>
        <v>1208933424.100105</v>
      </c>
      <c r="R1258" s="66">
        <f>SUM(R1246:R1257)</f>
        <v>1157931664.100105</v>
      </c>
      <c r="S1258" s="55">
        <f>R1258-M1258</f>
        <v>0</v>
      </c>
      <c r="T1258" s="66">
        <f>SUM(T1246:T1257)</f>
        <v>1208933424.100105</v>
      </c>
      <c r="U1258" s="55">
        <f>T1258-Q1258</f>
        <v>0</v>
      </c>
      <c r="AW1258" s="66">
        <f>AW1231+AW1276</f>
        <v>982802504.66</v>
      </c>
      <c r="AX1258" s="66"/>
      <c r="AY1258" s="66"/>
    </row>
    <row r="1259" spans="11:51" ht="15.75">
      <c r="K1259" s="66"/>
      <c r="M1259" s="66"/>
      <c r="Q1259" s="66"/>
      <c r="AW1259" s="66"/>
      <c r="AX1259" s="66"/>
      <c r="AY1259" s="66"/>
    </row>
    <row r="1260" spans="11:51" ht="15.75">
      <c r="K1260" s="66"/>
      <c r="M1260" s="66"/>
      <c r="Q1260" s="66"/>
      <c r="AW1260" s="66"/>
      <c r="AX1260" s="66"/>
      <c r="AY1260" s="66"/>
    </row>
    <row r="1261" spans="11:51" ht="15.75">
      <c r="K1261" s="66"/>
      <c r="M1261" s="66"/>
      <c r="Q1261" s="66"/>
      <c r="AW1261" s="66"/>
      <c r="AX1261" s="66"/>
      <c r="AY1261" s="66"/>
    </row>
    <row r="1262" spans="4:51" ht="15.75">
      <c r="D1262" s="58" t="s">
        <v>512</v>
      </c>
      <c r="K1262" s="66"/>
      <c r="M1262" s="66"/>
      <c r="Q1262" s="66"/>
      <c r="AW1262" s="66"/>
      <c r="AX1262" s="66"/>
      <c r="AY1262" s="66"/>
    </row>
    <row r="1263" spans="11:51" ht="15.75">
      <c r="K1263" s="66"/>
      <c r="M1263" s="66"/>
      <c r="Q1263" s="66"/>
      <c r="AW1263" s="66"/>
      <c r="AX1263" s="66"/>
      <c r="AY1263" s="66"/>
    </row>
    <row r="1264" spans="4:51" ht="15.75">
      <c r="D1264" s="58" t="s">
        <v>6</v>
      </c>
      <c r="E1264" s="165">
        <f>SUM(E30,E22:E25,E48,E70,E84)</f>
        <v>-28642594</v>
      </c>
      <c r="G1264" s="165">
        <f>SUM(G30,G22,G25,G48,G70,G84)</f>
        <v>0</v>
      </c>
      <c r="K1264" s="165">
        <f>SUM(K30,K22:K25,K48,K70,K84)</f>
        <v>-2064778.7299999995</v>
      </c>
      <c r="M1264" s="165">
        <f>SUM(M30,M22:M25,M48,M70,M84)</f>
        <v>0</v>
      </c>
      <c r="O1264" s="165"/>
      <c r="Q1264" s="165">
        <f>SUM(Q30,Q22:Q25,Q48,Q70,Q84)</f>
        <v>0</v>
      </c>
      <c r="AW1264" s="165">
        <f>SUM(AW30,AW22,AW25,AW48,AW70,AW84)</f>
        <v>-226528.46999999974</v>
      </c>
      <c r="AX1264" s="165"/>
      <c r="AY1264" s="165"/>
    </row>
    <row r="1265" spans="4:51" ht="15.75">
      <c r="D1265" s="58" t="s">
        <v>496</v>
      </c>
      <c r="E1265" s="165">
        <f>SUM(E110,E104:E107)</f>
        <v>-9258637.000000004</v>
      </c>
      <c r="G1265" s="165">
        <f>SUM(G110,G104:G107)</f>
        <v>0</v>
      </c>
      <c r="K1265" s="66">
        <f>SUM(K110,K104:K107)</f>
        <v>-811545.1479609851</v>
      </c>
      <c r="M1265" s="66">
        <f>SUM(M110,M104:M107)</f>
        <v>0</v>
      </c>
      <c r="O1265" s="66"/>
      <c r="Q1265" s="66">
        <f>SUM(Q110,Q104:Q107)</f>
        <v>0</v>
      </c>
      <c r="AW1265" s="66">
        <f>SUM(AW110,AW104:AW107)</f>
        <v>-498086.9279609844</v>
      </c>
      <c r="AX1265" s="66"/>
      <c r="AY1265" s="66"/>
    </row>
    <row r="1266" spans="4:51" ht="15.75">
      <c r="D1266" s="58" t="s">
        <v>497</v>
      </c>
      <c r="E1266" s="165">
        <f>SUM(E270,E266:E267,E353,E404,E421)</f>
        <v>-81908517</v>
      </c>
      <c r="G1266" s="165">
        <f>SUM(G270,G266:G267,G353,G404,G421)</f>
        <v>0</v>
      </c>
      <c r="K1266" s="66">
        <f>SUM(K270,K266:K267,K353,K404,K421)</f>
        <v>-1818944.488063161</v>
      </c>
      <c r="M1266" s="66">
        <f>SUM(M270,M266:M267,M353,M404,M421)</f>
        <v>0</v>
      </c>
      <c r="O1266" s="66"/>
      <c r="Q1266" s="66">
        <f>SUM(Q270,Q266:Q267,Q353,Q404,Q421)</f>
        <v>0</v>
      </c>
      <c r="AW1266" s="66">
        <f>SUM(AW270,AW266:AW267,AW353,AW404,AW421)</f>
        <v>-1818944.488063161</v>
      </c>
      <c r="AX1266" s="66"/>
      <c r="AY1266" s="66"/>
    </row>
    <row r="1267" spans="4:51" ht="15.75">
      <c r="D1267" s="58" t="s">
        <v>498</v>
      </c>
      <c r="E1267" s="165">
        <f>SUM(E504,E523,E543,E563,E583,E603)</f>
        <v>-411622</v>
      </c>
      <c r="G1267" s="165">
        <f>SUM(G504,G523,G543,G563,G583,G603)</f>
        <v>0</v>
      </c>
      <c r="K1267" s="66">
        <f>SUM(K504,K523,K543,K563,K583,K603)</f>
        <v>77223.35886957057</v>
      </c>
      <c r="M1267" s="66">
        <f>SUM(M504,M523,M543,M563,M583,M603)</f>
        <v>0</v>
      </c>
      <c r="O1267" s="66"/>
      <c r="Q1267" s="66">
        <f>SUM(Q504,Q523,Q543,Q563,Q583,Q603)</f>
        <v>0</v>
      </c>
      <c r="AW1267" s="66">
        <f>SUM(AW504,AW523,AW543,AW563,AW583,AW603)</f>
        <v>77223.35886957057</v>
      </c>
      <c r="AX1267" s="66"/>
      <c r="AY1267" s="66"/>
    </row>
    <row r="1268" spans="4:51" ht="15.75">
      <c r="D1268" s="58" t="s">
        <v>499</v>
      </c>
      <c r="E1268" s="165">
        <f>SUM(E624,E713,E699)</f>
        <v>-3845152</v>
      </c>
      <c r="G1268" s="165">
        <f>SUM(G624,G713,G699)</f>
        <v>0</v>
      </c>
      <c r="K1268" s="165">
        <f>SUM(K624,K713,K699)</f>
        <v>-37710.34621873759</v>
      </c>
      <c r="M1268" s="165">
        <f>SUM(M624,M713,M699)</f>
        <v>0</v>
      </c>
      <c r="O1268" s="165"/>
      <c r="Q1268" s="165">
        <f>SUM(Q624,Q713,Q699)</f>
        <v>0</v>
      </c>
      <c r="AW1268" s="165">
        <f>SUM(AW624,AW713,AW699)</f>
        <v>-37710.34621873759</v>
      </c>
      <c r="AX1268" s="165"/>
      <c r="AY1268" s="165"/>
    </row>
    <row r="1269" spans="4:51" ht="15.75">
      <c r="D1269" s="58" t="s">
        <v>500</v>
      </c>
      <c r="E1269" s="165">
        <f>SUM(E738,E766)</f>
        <v>-754418</v>
      </c>
      <c r="G1269" s="165">
        <f>SUM(G738,G766)</f>
        <v>0</v>
      </c>
      <c r="K1269" s="66">
        <f>SUM(K738,K766)</f>
        <v>-18630</v>
      </c>
      <c r="M1269" s="66">
        <f>SUM(M738,M766)</f>
        <v>0</v>
      </c>
      <c r="O1269" s="66"/>
      <c r="Q1269" s="66">
        <f>SUM(Q738,Q766)</f>
        <v>0</v>
      </c>
      <c r="AW1269" s="66">
        <f>SUM(AW738,AW766)</f>
        <v>-18630</v>
      </c>
      <c r="AX1269" s="66"/>
      <c r="AY1269" s="66"/>
    </row>
    <row r="1270" spans="4:51" ht="15.75">
      <c r="D1270" s="58" t="s">
        <v>501</v>
      </c>
      <c r="E1270" s="165">
        <f>SUM(E465,E816,E949,E937,E928,E1040)</f>
        <v>-501786</v>
      </c>
      <c r="G1270" s="165">
        <f>SUM(G465,G816,G949,G937,G928,G1040)</f>
        <v>0</v>
      </c>
      <c r="K1270" s="66">
        <f>SUM(K465,K816,K949,K937,K928,K1040)</f>
        <v>449788.19764882466</v>
      </c>
      <c r="M1270" s="66">
        <f>SUM(M465,M816,M949,M937,M928,M1040)</f>
        <v>0</v>
      </c>
      <c r="O1270" s="66"/>
      <c r="Q1270" s="66">
        <f>SUM(Q465,Q816,Q949,Q937,Q928,Q1040)</f>
        <v>0</v>
      </c>
      <c r="AW1270" s="66">
        <f>SUM(AW465,AW816,AW949,AW937,AW928,AW1040)</f>
        <v>449788.19764882466</v>
      </c>
      <c r="AX1270" s="66"/>
      <c r="AY1270" s="66"/>
    </row>
    <row r="1271" spans="4:51" ht="15.75">
      <c r="D1271" s="58" t="s">
        <v>502</v>
      </c>
      <c r="E1271" s="165">
        <f>E1054+E1061</f>
        <v>-12182</v>
      </c>
      <c r="G1271" s="165">
        <f>G1054+G1061</f>
        <v>0</v>
      </c>
      <c r="K1271" s="66">
        <f>+K1054+K1061</f>
        <v>-301</v>
      </c>
      <c r="M1271" s="66">
        <f>+M1054+M1061</f>
        <v>0</v>
      </c>
      <c r="O1271" s="66"/>
      <c r="Q1271" s="66">
        <f>+Q1054+Q1061</f>
        <v>0</v>
      </c>
      <c r="AW1271" s="66">
        <f>+AW1054+AW1061</f>
        <v>-301</v>
      </c>
      <c r="AX1271" s="66"/>
      <c r="AY1271" s="66"/>
    </row>
    <row r="1272" spans="4:51" ht="15.75">
      <c r="D1272" s="58" t="s">
        <v>503</v>
      </c>
      <c r="E1272" s="165">
        <f>SUM(E1097)</f>
        <v>32865</v>
      </c>
      <c r="G1272" s="165">
        <f>SUM(G1097)</f>
        <v>0</v>
      </c>
      <c r="K1272" s="66">
        <f>SUM(K1097)</f>
        <v>2304.089814087688</v>
      </c>
      <c r="M1272" s="66">
        <f>SUM(M1097)</f>
        <v>0</v>
      </c>
      <c r="O1272" s="66"/>
      <c r="Q1272" s="66">
        <f>SUM(Q1097)</f>
        <v>0</v>
      </c>
      <c r="AW1272" s="66">
        <f>SUM(AW1097)</f>
        <v>2304.089814087688</v>
      </c>
      <c r="AX1272" s="66"/>
      <c r="AY1272" s="66"/>
    </row>
    <row r="1273" spans="4:51" ht="15.75">
      <c r="D1273" s="58" t="s">
        <v>504</v>
      </c>
      <c r="E1273" s="176">
        <v>0</v>
      </c>
      <c r="G1273" s="176">
        <v>0</v>
      </c>
      <c r="K1273" s="32">
        <v>0</v>
      </c>
      <c r="M1273" s="32">
        <v>0</v>
      </c>
      <c r="O1273" s="32"/>
      <c r="Q1273" s="32">
        <v>0</v>
      </c>
      <c r="AW1273" s="32">
        <v>0</v>
      </c>
      <c r="AX1273" s="32"/>
      <c r="AY1273" s="32"/>
    </row>
    <row r="1274" spans="4:51" ht="15.75">
      <c r="D1274" s="58" t="s">
        <v>465</v>
      </c>
      <c r="E1274" s="165">
        <f>E1186+E1175+E1201</f>
        <v>2042</v>
      </c>
      <c r="G1274" s="165">
        <f>G1186+G1175+G1201</f>
        <v>0</v>
      </c>
      <c r="K1274" s="66">
        <f>K1186+K1175+K1201</f>
        <v>1069.8259104002505</v>
      </c>
      <c r="M1274" s="66">
        <f>M1186+M1175+M1201</f>
        <v>0</v>
      </c>
      <c r="O1274" s="66"/>
      <c r="Q1274" s="66">
        <f>Q1186+Q1175+Q1201</f>
        <v>0</v>
      </c>
      <c r="AW1274" s="66">
        <f>AW1186+AW1175+AW1201</f>
        <v>1069.8259104002505</v>
      </c>
      <c r="AX1274" s="66"/>
      <c r="AY1274" s="66"/>
    </row>
    <row r="1275" spans="5:51" ht="15.75">
      <c r="E1275" s="165"/>
      <c r="G1275" s="165"/>
      <c r="K1275" s="66"/>
      <c r="M1275" s="66"/>
      <c r="Q1275" s="66"/>
      <c r="AW1275" s="66"/>
      <c r="AX1275" s="66"/>
      <c r="AY1275" s="66"/>
    </row>
    <row r="1276" spans="4:51" ht="15.75">
      <c r="D1276" s="58" t="s">
        <v>59</v>
      </c>
      <c r="E1276" s="165">
        <f>SUM(E1264:E1274)</f>
        <v>-125300001</v>
      </c>
      <c r="G1276" s="165">
        <f>SUM(G1264:G1274)</f>
        <v>0</v>
      </c>
      <c r="K1276" s="66">
        <f>SUM(K1264:K1274)</f>
        <v>-4221524.24</v>
      </c>
      <c r="M1276" s="66">
        <f>SUM(M1264:M1274)</f>
        <v>0</v>
      </c>
      <c r="Q1276" s="66">
        <f>SUM(Q1264:Q1274)</f>
        <v>0</v>
      </c>
      <c r="AW1276" s="66">
        <f>SUM(AW1264:AW1274)</f>
        <v>-2069815.7599999998</v>
      </c>
      <c r="AX1276" s="66"/>
      <c r="AY1276" s="66"/>
    </row>
    <row r="1277" spans="11:51" ht="15.75">
      <c r="K1277" s="66"/>
      <c r="M1277" s="66"/>
      <c r="Q1277" s="66"/>
      <c r="AW1277" s="66"/>
      <c r="AX1277" s="66"/>
      <c r="AY1277" s="66"/>
    </row>
    <row r="1278" spans="11:51" ht="15.75">
      <c r="K1278" s="66"/>
      <c r="M1278" s="66"/>
      <c r="Q1278" s="66"/>
      <c r="AW1278" s="66"/>
      <c r="AX1278" s="66"/>
      <c r="AY1278" s="66"/>
    </row>
    <row r="1279" spans="11:51" ht="15.75">
      <c r="K1279" s="66"/>
      <c r="M1279" s="66"/>
      <c r="Q1279" s="66"/>
      <c r="AW1279" s="66"/>
      <c r="AX1279" s="66"/>
      <c r="AY1279" s="66"/>
    </row>
    <row r="1280" spans="11:51" ht="15.75">
      <c r="K1280" s="66"/>
      <c r="M1280" s="66"/>
      <c r="Q1280" s="66"/>
      <c r="AW1280" s="66"/>
      <c r="AX1280" s="66"/>
      <c r="AY1280" s="66"/>
    </row>
    <row r="1281" spans="4:51" ht="15.75">
      <c r="D1281" s="58" t="s">
        <v>505</v>
      </c>
      <c r="K1281" s="66"/>
      <c r="M1281" s="66"/>
      <c r="Q1281" s="66"/>
      <c r="AW1281" s="66"/>
      <c r="AX1281" s="66"/>
      <c r="AY1281" s="66"/>
    </row>
    <row r="1282" spans="11:51" ht="15.75">
      <c r="K1282" s="66"/>
      <c r="M1282" s="66"/>
      <c r="Q1282" s="66"/>
      <c r="AW1282" s="66"/>
      <c r="AX1282" s="66"/>
      <c r="AY1282" s="66"/>
    </row>
    <row r="1283" spans="4:51" ht="15.75">
      <c r="D1283" s="58" t="s">
        <v>6</v>
      </c>
      <c r="E1283" s="165">
        <f>SUM(E22:E25)</f>
        <v>-102998000</v>
      </c>
      <c r="G1283" s="165">
        <f>SUM(G22,G25)</f>
        <v>0</v>
      </c>
      <c r="K1283" s="165">
        <f>SUM(K22:K25)</f>
        <v>-7139449.7299999995</v>
      </c>
      <c r="M1283" s="165">
        <f>SUM(M22:M25)</f>
        <v>0</v>
      </c>
      <c r="Q1283" s="165">
        <f>SUM(Q22:Q25)</f>
        <v>0</v>
      </c>
      <c r="AW1283" s="165">
        <f>SUM(AW22,AW25)</f>
        <v>-5301199.47</v>
      </c>
      <c r="AX1283" s="165"/>
      <c r="AY1283" s="165"/>
    </row>
    <row r="1284" spans="4:51" ht="15.75">
      <c r="D1284" s="58" t="s">
        <v>496</v>
      </c>
      <c r="E1284" s="165">
        <f>SUM(E104:E107)</f>
        <v>-11499000.000000004</v>
      </c>
      <c r="G1284" s="165">
        <f>SUM(G104,G107)</f>
        <v>0</v>
      </c>
      <c r="K1284" s="66">
        <f>SUM(K104:K107)</f>
        <v>-979152.2700000003</v>
      </c>
      <c r="M1284" s="66">
        <f>SUM(M104:M107)</f>
        <v>0</v>
      </c>
      <c r="Q1284" s="66">
        <f>SUM(Q104:Q107)</f>
        <v>0</v>
      </c>
      <c r="AW1284" s="66">
        <f>SUM(AW104,AW107)</f>
        <v>-1096263.8699999999</v>
      </c>
      <c r="AX1284" s="66"/>
      <c r="AY1284" s="66"/>
    </row>
    <row r="1285" spans="4:51" ht="15.75">
      <c r="D1285" s="58" t="s">
        <v>497</v>
      </c>
      <c r="E1285" s="165">
        <f>SUM(E266,E267)</f>
        <v>-89463000</v>
      </c>
      <c r="G1285" s="165">
        <f>SUM(G266,G267)</f>
        <v>0</v>
      </c>
      <c r="K1285" s="66">
        <f>SUM(K266,K267)</f>
        <v>-2481435.24</v>
      </c>
      <c r="M1285" s="66">
        <f>SUM(M266,M267)</f>
        <v>0</v>
      </c>
      <c r="Q1285" s="66">
        <f>SUM(Q266,Q267)</f>
        <v>0</v>
      </c>
      <c r="AW1285" s="66">
        <f>SUM(AW266,AW267)</f>
        <v>-2481435.24</v>
      </c>
      <c r="AX1285" s="66"/>
      <c r="AY1285" s="66"/>
    </row>
    <row r="1286" spans="4:51" ht="15.75">
      <c r="D1286" s="58" t="s">
        <v>499</v>
      </c>
      <c r="K1286" s="66"/>
      <c r="M1286" s="66"/>
      <c r="Q1286" s="66"/>
      <c r="AW1286" s="66"/>
      <c r="AX1286" s="66"/>
      <c r="AY1286" s="66"/>
    </row>
    <row r="1287" spans="4:51" ht="15.75">
      <c r="D1287" s="58" t="s">
        <v>500</v>
      </c>
      <c r="K1287" s="66"/>
      <c r="M1287" s="66"/>
      <c r="Q1287" s="66"/>
      <c r="AW1287" s="66"/>
      <c r="AX1287" s="66"/>
      <c r="AY1287" s="66"/>
    </row>
    <row r="1288" spans="4:51" ht="15.75">
      <c r="D1288" s="58" t="s">
        <v>501</v>
      </c>
      <c r="K1288" s="66"/>
      <c r="M1288" s="66"/>
      <c r="Q1288" s="66"/>
      <c r="AW1288" s="66"/>
      <c r="AX1288" s="66"/>
      <c r="AY1288" s="66"/>
    </row>
    <row r="1289" spans="4:51" ht="15.75">
      <c r="D1289" s="58" t="s">
        <v>513</v>
      </c>
      <c r="K1289" s="66"/>
      <c r="M1289" s="66"/>
      <c r="Q1289" s="66"/>
      <c r="AW1289" s="66"/>
      <c r="AX1289" s="66"/>
      <c r="AY1289" s="66"/>
    </row>
    <row r="1290" spans="4:51" ht="15.75">
      <c r="D1290" s="58" t="s">
        <v>514</v>
      </c>
      <c r="K1290" s="66"/>
      <c r="M1290" s="66"/>
      <c r="Q1290" s="66"/>
      <c r="AW1290" s="66"/>
      <c r="AX1290" s="66"/>
      <c r="AY1290" s="66"/>
    </row>
    <row r="1291" spans="4:51" ht="15.75">
      <c r="D1291" s="58" t="s">
        <v>503</v>
      </c>
      <c r="K1291" s="66"/>
      <c r="M1291" s="66"/>
      <c r="Q1291" s="66"/>
      <c r="AW1291" s="66"/>
      <c r="AX1291" s="66"/>
      <c r="AY1291" s="66"/>
    </row>
    <row r="1292" spans="4:51" ht="15.75">
      <c r="D1292" s="58" t="s">
        <v>504</v>
      </c>
      <c r="K1292" s="66"/>
      <c r="M1292" s="66"/>
      <c r="Q1292" s="66"/>
      <c r="AW1292" s="66"/>
      <c r="AX1292" s="66"/>
      <c r="AY1292" s="66"/>
    </row>
    <row r="1293" spans="4:51" ht="15.75">
      <c r="D1293" s="58" t="s">
        <v>465</v>
      </c>
      <c r="K1293" s="66"/>
      <c r="M1293" s="66"/>
      <c r="Q1293" s="66"/>
      <c r="AW1293" s="66"/>
      <c r="AX1293" s="66"/>
      <c r="AY1293" s="66"/>
    </row>
    <row r="1294" spans="11:51" ht="15.75">
      <c r="K1294" s="66"/>
      <c r="M1294" s="66"/>
      <c r="Q1294" s="66"/>
      <c r="AW1294" s="66"/>
      <c r="AX1294" s="66"/>
      <c r="AY1294" s="66"/>
    </row>
    <row r="1295" spans="4:51" ht="15.75">
      <c r="D1295" s="58" t="s">
        <v>59</v>
      </c>
      <c r="E1295" s="165">
        <f>SUM(E1283:E1293)</f>
        <v>-203960000</v>
      </c>
      <c r="G1295" s="165">
        <f>SUM(G1283:G1293)</f>
        <v>0</v>
      </c>
      <c r="K1295" s="66">
        <f>SUM(K1283:K1293)</f>
        <v>-10600037.24</v>
      </c>
      <c r="M1295" s="66">
        <f>SUM(M1283:M1293)</f>
        <v>0</v>
      </c>
      <c r="Q1295" s="66">
        <f>SUM(Q1283:Q1293)</f>
        <v>0</v>
      </c>
      <c r="AW1295" s="66">
        <f>SUM(AW1283:AW1293)</f>
        <v>-8878898.58</v>
      </c>
      <c r="AX1295" s="66"/>
      <c r="AY1295" s="66"/>
    </row>
    <row r="1296" spans="11:51" ht="15.75">
      <c r="K1296" s="66"/>
      <c r="M1296" s="66"/>
      <c r="Q1296" s="66"/>
      <c r="AW1296" s="66"/>
      <c r="AX1296" s="66"/>
      <c r="AY1296" s="66"/>
    </row>
    <row r="1297" spans="11:51" ht="15.75">
      <c r="K1297" s="66"/>
      <c r="M1297" s="66"/>
      <c r="Q1297" s="66"/>
      <c r="AW1297" s="66"/>
      <c r="AX1297" s="66"/>
      <c r="AY1297" s="66"/>
    </row>
    <row r="1298" spans="11:51" ht="15.75">
      <c r="K1298" s="66"/>
      <c r="M1298" s="66"/>
      <c r="Q1298" s="66"/>
      <c r="AW1298" s="66"/>
      <c r="AX1298" s="66"/>
      <c r="AY1298" s="66"/>
    </row>
    <row r="1299" spans="4:51" ht="15.75">
      <c r="D1299" s="58" t="s">
        <v>189</v>
      </c>
      <c r="K1299" s="66"/>
      <c r="M1299" s="66"/>
      <c r="Q1299" s="66"/>
      <c r="AW1299" s="66"/>
      <c r="AX1299" s="66"/>
      <c r="AY1299" s="66"/>
    </row>
    <row r="1300" spans="11:51" ht="15.75">
      <c r="K1300" s="66"/>
      <c r="M1300" s="66"/>
      <c r="Q1300" s="66"/>
      <c r="AW1300" s="66"/>
      <c r="AX1300" s="66"/>
      <c r="AY1300" s="66"/>
    </row>
    <row r="1301" spans="4:51" ht="15.75">
      <c r="D1301" s="58" t="s">
        <v>6</v>
      </c>
      <c r="E1301" s="165">
        <f>E1264-E1283</f>
        <v>74355406</v>
      </c>
      <c r="G1301" s="165">
        <f>G1264-G1283</f>
        <v>0</v>
      </c>
      <c r="K1301" s="66">
        <f>K1264-K1283</f>
        <v>5074671</v>
      </c>
      <c r="M1301" s="66">
        <f>M1264-M1283</f>
        <v>0</v>
      </c>
      <c r="Q1301" s="66">
        <f>Q1264-Q1283</f>
        <v>0</v>
      </c>
      <c r="AW1301" s="66">
        <f>AW1264-AW1283</f>
        <v>5074671</v>
      </c>
      <c r="AX1301" s="66"/>
      <c r="AY1301" s="66"/>
    </row>
    <row r="1302" spans="4:51" ht="15.75">
      <c r="D1302" s="58" t="s">
        <v>496</v>
      </c>
      <c r="E1302" s="165">
        <f>E1265-E1284</f>
        <v>2240363</v>
      </c>
      <c r="G1302" s="165">
        <f>G1265-G1284</f>
        <v>0</v>
      </c>
      <c r="K1302" s="66">
        <f>K1265-K1284</f>
        <v>167607.12203901517</v>
      </c>
      <c r="M1302" s="66">
        <f>M1265-M1284</f>
        <v>0</v>
      </c>
      <c r="Q1302" s="66">
        <f>Q1265-Q1284</f>
        <v>0</v>
      </c>
      <c r="AW1302" s="66">
        <f>AW1265-AW1284</f>
        <v>598176.9420390155</v>
      </c>
      <c r="AX1302" s="66"/>
      <c r="AY1302" s="66"/>
    </row>
    <row r="1303" spans="4:51" ht="15.75">
      <c r="D1303" s="58" t="s">
        <v>497</v>
      </c>
      <c r="E1303" s="165">
        <f>E1266-E1285</f>
        <v>7554483</v>
      </c>
      <c r="G1303" s="165">
        <f>G1266-G1285</f>
        <v>0</v>
      </c>
      <c r="K1303" s="66">
        <f>K1266-K1285</f>
        <v>662490.7519368392</v>
      </c>
      <c r="M1303" s="66">
        <f>M1266-M1285</f>
        <v>0</v>
      </c>
      <c r="Q1303" s="66">
        <f>Q1266-Q1285</f>
        <v>0</v>
      </c>
      <c r="AW1303" s="66">
        <f>AW1266-AW1285</f>
        <v>662490.7519368392</v>
      </c>
      <c r="AX1303" s="66"/>
      <c r="AY1303" s="66"/>
    </row>
    <row r="1304" spans="4:51" ht="15.75">
      <c r="D1304" s="58" t="s">
        <v>498</v>
      </c>
      <c r="E1304" s="165">
        <f>E1267-E1286</f>
        <v>-411622</v>
      </c>
      <c r="G1304" s="165">
        <f>G1267-G1286</f>
        <v>0</v>
      </c>
      <c r="K1304" s="66">
        <f>K1267-K1286</f>
        <v>77223.35886957057</v>
      </c>
      <c r="M1304" s="66">
        <f>M1267-M1286</f>
        <v>0</v>
      </c>
      <c r="Q1304" s="66">
        <f>Q1267-Q1286</f>
        <v>0</v>
      </c>
      <c r="AW1304" s="66">
        <f>AW1267-AW1286</f>
        <v>77223.35886957057</v>
      </c>
      <c r="AX1304" s="66"/>
      <c r="AY1304" s="66"/>
    </row>
    <row r="1305" spans="4:51" ht="15.75">
      <c r="D1305" s="58" t="s">
        <v>499</v>
      </c>
      <c r="E1305" s="165">
        <f>E1268-E1286</f>
        <v>-3845152</v>
      </c>
      <c r="G1305" s="165">
        <f>G1268-G1286</f>
        <v>0</v>
      </c>
      <c r="K1305" s="66">
        <f>K1268-K1286</f>
        <v>-37710.34621873759</v>
      </c>
      <c r="M1305" s="66">
        <f>M1268-M1286</f>
        <v>0</v>
      </c>
      <c r="Q1305" s="66">
        <f>Q1268-Q1286</f>
        <v>0</v>
      </c>
      <c r="AW1305" s="66">
        <f>AW1268-AW1286</f>
        <v>-37710.34621873759</v>
      </c>
      <c r="AX1305" s="66"/>
      <c r="AY1305" s="66"/>
    </row>
    <row r="1306" spans="4:51" ht="15.75">
      <c r="D1306" s="58" t="s">
        <v>500</v>
      </c>
      <c r="E1306" s="165">
        <f>E1269-E1287</f>
        <v>-754418</v>
      </c>
      <c r="G1306" s="165">
        <f>G1269-G1287</f>
        <v>0</v>
      </c>
      <c r="K1306" s="66">
        <f>K1269-K1287</f>
        <v>-18630</v>
      </c>
      <c r="M1306" s="66">
        <f>M1269-M1287</f>
        <v>0</v>
      </c>
      <c r="Q1306" s="66">
        <f>Q1269-Q1287</f>
        <v>0</v>
      </c>
      <c r="AW1306" s="66">
        <f>AW1269-AW1287</f>
        <v>-18630</v>
      </c>
      <c r="AX1306" s="66"/>
      <c r="AY1306" s="66"/>
    </row>
    <row r="1307" spans="4:51" ht="15.75">
      <c r="D1307" s="58" t="s">
        <v>501</v>
      </c>
      <c r="E1307" s="165">
        <f>E1270-E1288</f>
        <v>-501786</v>
      </c>
      <c r="G1307" s="165">
        <f>G1270-G1288</f>
        <v>0</v>
      </c>
      <c r="K1307" s="66">
        <f>K1270-K1288</f>
        <v>449788.19764882466</v>
      </c>
      <c r="M1307" s="66">
        <f>M1270-M1288</f>
        <v>0</v>
      </c>
      <c r="Q1307" s="66">
        <f>Q1270-Q1288</f>
        <v>0</v>
      </c>
      <c r="AW1307" s="66">
        <f>AW1270-AW1288</f>
        <v>449788.19764882466</v>
      </c>
      <c r="AX1307" s="66"/>
      <c r="AY1307" s="66"/>
    </row>
    <row r="1308" spans="4:51" ht="15.75">
      <c r="D1308" s="58" t="s">
        <v>513</v>
      </c>
      <c r="E1308" s="165">
        <f>E1271-E1289</f>
        <v>-12182</v>
      </c>
      <c r="G1308" s="165">
        <f>G1271-G1289</f>
        <v>0</v>
      </c>
      <c r="K1308" s="66">
        <f>K1271-K1289</f>
        <v>-301</v>
      </c>
      <c r="M1308" s="66">
        <f>M1271-M1289</f>
        <v>0</v>
      </c>
      <c r="Q1308" s="66">
        <f>Q1271-Q1289</f>
        <v>0</v>
      </c>
      <c r="AW1308" s="66">
        <f>AW1271-AW1289</f>
        <v>-301</v>
      </c>
      <c r="AX1308" s="66"/>
      <c r="AY1308" s="66"/>
    </row>
    <row r="1309" spans="4:51" ht="15.75">
      <c r="D1309" s="58" t="s">
        <v>503</v>
      </c>
      <c r="E1309" s="165">
        <f>E1272-E1291</f>
        <v>32865</v>
      </c>
      <c r="G1309" s="165">
        <f>G1272-G1291</f>
        <v>0</v>
      </c>
      <c r="K1309" s="66">
        <f>K1272-K1291</f>
        <v>2304.089814087688</v>
      </c>
      <c r="M1309" s="66">
        <f>M1272-M1291</f>
        <v>0</v>
      </c>
      <c r="Q1309" s="66">
        <f>Q1272-Q1291</f>
        <v>0</v>
      </c>
      <c r="AW1309" s="66">
        <f>AW1272-AW1291</f>
        <v>2304.089814087688</v>
      </c>
      <c r="AX1309" s="66"/>
      <c r="AY1309" s="66"/>
    </row>
    <row r="1310" spans="4:51" ht="15.75">
      <c r="D1310" s="58" t="s">
        <v>504</v>
      </c>
      <c r="E1310" s="165">
        <f>E1273-E1292</f>
        <v>0</v>
      </c>
      <c r="G1310" s="165">
        <f>G1273-G1292</f>
        <v>0</v>
      </c>
      <c r="K1310" s="66">
        <f>K1273-K1292</f>
        <v>0</v>
      </c>
      <c r="M1310" s="66">
        <f>M1273-M1292</f>
        <v>0</v>
      </c>
      <c r="Q1310" s="66">
        <f>Q1273-Q1292</f>
        <v>0</v>
      </c>
      <c r="AW1310" s="66">
        <f>AW1273-AW1292</f>
        <v>0</v>
      </c>
      <c r="AX1310" s="66"/>
      <c r="AY1310" s="66"/>
    </row>
    <row r="1311" spans="4:51" ht="15.75">
      <c r="D1311" s="58" t="s">
        <v>465</v>
      </c>
      <c r="E1311" s="165">
        <f>E1274-E1293</f>
        <v>2042</v>
      </c>
      <c r="G1311" s="165">
        <f>G1274-G1293</f>
        <v>0</v>
      </c>
      <c r="K1311" s="66">
        <f>K1274-K1293</f>
        <v>1069.8259104002505</v>
      </c>
      <c r="M1311" s="66">
        <f>M1274-M1293</f>
        <v>0</v>
      </c>
      <c r="Q1311" s="66">
        <f>Q1274-Q1293</f>
        <v>0</v>
      </c>
      <c r="AW1311" s="66">
        <f>AW1274-AW1293</f>
        <v>1069.8259104002505</v>
      </c>
      <c r="AX1311" s="66"/>
      <c r="AY1311" s="66"/>
    </row>
    <row r="1312" spans="11:51" ht="15.75">
      <c r="K1312" s="66"/>
      <c r="M1312" s="66"/>
      <c r="Q1312" s="66"/>
      <c r="AW1312" s="66"/>
      <c r="AX1312" s="66"/>
      <c r="AY1312" s="66"/>
    </row>
    <row r="1313" spans="4:51" ht="15.75">
      <c r="D1313" s="58" t="s">
        <v>59</v>
      </c>
      <c r="E1313" s="165">
        <f>SUM(E1301:E1311)</f>
        <v>78659999</v>
      </c>
      <c r="G1313" s="165">
        <f>SUM(G1301:G1311)</f>
        <v>0</v>
      </c>
      <c r="K1313" s="66">
        <f>SUM(K1301:K1311)</f>
        <v>6378513</v>
      </c>
      <c r="M1313" s="66">
        <f>SUM(M1301:M1311)</f>
        <v>0</v>
      </c>
      <c r="Q1313" s="66">
        <f>SUM(Q1301:Q1311)</f>
        <v>0</v>
      </c>
      <c r="AW1313" s="66">
        <f>SUM(AW1301:AW1311)</f>
        <v>6809082.82</v>
      </c>
      <c r="AX1313" s="66"/>
      <c r="AY1313" s="66"/>
    </row>
  </sheetData>
  <autoFilter ref="A12:BE1313"/>
  <printOptions horizontalCentered="1"/>
  <pageMargins left="0.5" right="0.5" top="0.5" bottom="0.55" header="0.5" footer="0.5"/>
  <pageSetup fitToHeight="0" fitToWidth="1" horizontalDpi="600" verticalDpi="600" orientation="portrait" scale="46" r:id="rId2"/>
  <headerFooter alignWithMargins="0">
    <oddHeader xml:space="preserve">&amp;RPage &amp;P of &amp;N </oddHeader>
    <oddFooter>&amp;LPrepared by Pricing, &amp;D&amp;R&amp;F&amp;A</oddFooter>
  </headerFooter>
  <rowBreaks count="16" manualBreakCount="16">
    <brk id="90" max="16" man="1"/>
    <brk id="169" max="16" man="1"/>
    <brk id="255" max="16" man="1"/>
    <brk id="340" max="16" man="1"/>
    <brk id="426" max="16" man="1"/>
    <brk id="470" max="16" man="1"/>
    <brk id="548" max="16" man="1"/>
    <brk id="609" max="16" man="1"/>
    <brk id="689" max="16" man="1"/>
    <brk id="771" max="16" man="1"/>
    <brk id="820" max="16" man="1"/>
    <brk id="880" max="16" man="1"/>
    <brk id="959" max="16" man="1"/>
    <brk id="1044" max="16" man="1"/>
    <brk id="1129" max="16" man="1"/>
    <brk id="1280" max="2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Reid</dc:creator>
  <cp:keywords/>
  <dc:description/>
  <cp:lastModifiedBy>lm</cp:lastModifiedBy>
  <cp:lastPrinted>2005-02-16T23:08:16Z</cp:lastPrinted>
  <dcterms:created xsi:type="dcterms:W3CDTF">2005-02-04T19:28:15Z</dcterms:created>
  <dcterms:modified xsi:type="dcterms:W3CDTF">2005-02-24T20:05:03Z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-1606715597</vt:i4>
  </property>
  <property fmtid="{D5CDD505-2E9C-101B-9397-08002B2CF9AE}" pid="3" name="_NewReviewCycle">
    <vt:lpwstr/>
  </property>
  <property fmtid="{D5CDD505-2E9C-101B-9397-08002B2CF9AE}" pid="4" name="_EmailSubject">
    <vt:lpwstr>Utah Stipulation File</vt:lpwstr>
  </property>
  <property fmtid="{D5CDD505-2E9C-101B-9397-08002B2CF9AE}" pid="5" name="_AuthorEmail">
    <vt:lpwstr>Michael.Reid@PacifiCorp.com</vt:lpwstr>
  </property>
  <property fmtid="{D5CDD505-2E9C-101B-9397-08002B2CF9AE}" pid="6" name="_AuthorEmailDisplayName">
    <vt:lpwstr>Reid, Michael</vt:lpwstr>
  </property>
</Properties>
</file>