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mpanies" sheetId="1" r:id="rId1"/>
    <sheet name="DCF " sheetId="2" r:id="rId2"/>
    <sheet name="DCF  Adjusted" sheetId="3" r:id="rId3"/>
    <sheet name="CAPM VL" sheetId="4" r:id="rId4"/>
    <sheet name="CAPM S&amp;P" sheetId="5" r:id="rId5"/>
    <sheet name="VL Fin calc" sheetId="6" r:id="rId6"/>
  </sheets>
  <definedNames>
    <definedName name="_xlnm.Print_Area" localSheetId="4">'CAPM S&amp;P'!$A$1:$K$39</definedName>
    <definedName name="_xlnm.Print_Area" localSheetId="3">'CAPM VL'!$A$1:$K$37</definedName>
    <definedName name="_xlnm.Print_Area" localSheetId="0">'Companies'!$A$1:$J$47</definedName>
    <definedName name="_xlnm.Print_Area" localSheetId="1">'DCF '!$A$11:$K$67</definedName>
    <definedName name="_xlnm.Print_Area" localSheetId="2">'DCF  Adjusted'!$A$1:$I$79</definedName>
    <definedName name="_xlnm.Print_Area" localSheetId="5">'VL Fin calc'!$A$2:$M$44</definedName>
    <definedName name="_xlnm.Print_Titles" localSheetId="4">'CAPM S&amp;P'!$4:$9</definedName>
    <definedName name="_xlnm.Print_Titles" localSheetId="3">'CAPM VL'!$4:$9</definedName>
    <definedName name="_xlnm.Print_Titles" localSheetId="1">'DCF '!$4:$9</definedName>
    <definedName name="_xlnm.Print_Titles" localSheetId="2">'DCF  Adjusted'!$4:$7</definedName>
  </definedNames>
  <calcPr fullCalcOnLoad="1"/>
</workbook>
</file>

<file path=xl/sharedStrings.xml><?xml version="1.0" encoding="utf-8"?>
<sst xmlns="http://schemas.openxmlformats.org/spreadsheetml/2006/main" count="427" uniqueCount="209">
  <si>
    <t>CH Energy Group</t>
  </si>
  <si>
    <t>CHG</t>
  </si>
  <si>
    <t>C</t>
  </si>
  <si>
    <t>MGE Energy</t>
  </si>
  <si>
    <t>MGEE</t>
  </si>
  <si>
    <t>Estimated of Current Cost of Equity</t>
  </si>
  <si>
    <t>SO</t>
  </si>
  <si>
    <t>VVC</t>
  </si>
  <si>
    <t>Mean</t>
  </si>
  <si>
    <t>Accepted</t>
  </si>
  <si>
    <t>na</t>
  </si>
  <si>
    <t>MS</t>
  </si>
  <si>
    <t>Sources:</t>
  </si>
  <si>
    <t xml:space="preserve"> AUS Utility Reports, July 2006</t>
  </si>
  <si>
    <t xml:space="preserve"> Value Line Investment Service, Standard Edition, various editions, May and June 2006.</t>
  </si>
  <si>
    <t xml:space="preserve">                        DPU  Exhibit 3.4</t>
  </si>
  <si>
    <t xml:space="preserve">                     DPU Exhibit 3.7</t>
  </si>
  <si>
    <t xml:space="preserve">         DPU Exhibit 3.10</t>
  </si>
  <si>
    <t>approximately the highest average CAPM (using Value Line betas) plus two standard deviations.</t>
  </si>
  <si>
    <t xml:space="preserve">The lower end is based upon approximately PacifiCorp's long-term debt yield plus 1 percent. The higher limit is </t>
  </si>
  <si>
    <t>Source: Value Line CD ROM 5/1/2006</t>
  </si>
  <si>
    <t xml:space="preserve">      DPU Exhibit 3.14</t>
  </si>
  <si>
    <t>Hadaway Guideline Companies</t>
  </si>
  <si>
    <t xml:space="preserve">Basis for adjustments: cost of equity estimate elimated if it is less than 7.40 percent or higher than 13.50 percent. </t>
  </si>
  <si>
    <t>Comparison of Guideline Company Characteristics</t>
  </si>
  <si>
    <t xml:space="preserve">          DPU Exhibit 3.11</t>
  </si>
  <si>
    <t xml:space="preserve"> Ibbotson &amp; Associates, "Stocks, Bonds, Bills, and Inflation" 2006 edition.</t>
  </si>
  <si>
    <t xml:space="preserve"> Federal Reserve Board of Governors, "Federal Reserve Statistical Release, H.15" July 31, 2006</t>
  </si>
  <si>
    <t xml:space="preserve"> Standard &amp; Poor's Stock Reports, Spring 2006</t>
  </si>
  <si>
    <t xml:space="preserve"> Value Line Investment Service, various May and June 2006 editions</t>
  </si>
  <si>
    <t>Hadaway Guideline Company List</t>
  </si>
  <si>
    <t xml:space="preserve"> Yahoo! Finance/Thompson Financial Network</t>
  </si>
  <si>
    <t>EDE</t>
  </si>
  <si>
    <t>Capital Asset Pricing Model Based on Value Line Betas</t>
  </si>
  <si>
    <t>Capital Asset Pricing Model Based On Standard &amp; Poor's Betas</t>
  </si>
  <si>
    <t>S&amp;P</t>
  </si>
  <si>
    <t>Moody</t>
  </si>
  <si>
    <t>Guideline Companies Full List (Avg. Financial Strength 6.69 (A/B++))</t>
  </si>
  <si>
    <t>MRP Model--Full List--Std. Dev.</t>
  </si>
  <si>
    <t>VL</t>
  </si>
  <si>
    <t>Yahoo</t>
  </si>
  <si>
    <t>Forecast</t>
  </si>
  <si>
    <t>Apparent</t>
  </si>
  <si>
    <t># Analysts</t>
  </si>
  <si>
    <t>Overlap Companies with Peterson</t>
  </si>
  <si>
    <t>A-/BBB+</t>
  </si>
  <si>
    <t>30 Trading Days</t>
  </si>
  <si>
    <t>As of July 31, 2006</t>
  </si>
  <si>
    <t>Latest Qrt.</t>
  </si>
  <si>
    <t>Annualized</t>
  </si>
  <si>
    <t>Empire District</t>
  </si>
  <si>
    <t>Southern Company</t>
  </si>
  <si>
    <t>Vectren</t>
  </si>
  <si>
    <t>Div. Yield times 5-yr Wtd. Growth plus Weighted Growth</t>
  </si>
  <si>
    <t>C++</t>
  </si>
  <si>
    <t>F</t>
  </si>
  <si>
    <t>Risk Premium Model Based On Value Line Financial Strength</t>
  </si>
  <si>
    <t>Fin. Strgth.</t>
  </si>
  <si>
    <t>Regression</t>
  </si>
  <si>
    <t>Standard</t>
  </si>
  <si>
    <t>Numeric</t>
  </si>
  <si>
    <t>on Adj.</t>
  </si>
  <si>
    <t>Deviation</t>
  </si>
  <si>
    <t>Number</t>
  </si>
  <si>
    <t>Ratio</t>
  </si>
  <si>
    <t>of Return</t>
  </si>
  <si>
    <t xml:space="preserve">C+ </t>
  </si>
  <si>
    <t>Wtd. Average</t>
  </si>
  <si>
    <t>Estimate</t>
  </si>
  <si>
    <t>Std. Dev.</t>
  </si>
  <si>
    <t>F.S. ^ .5</t>
  </si>
  <si>
    <t>Yield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</si>
  <si>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</si>
  <si>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</si>
  <si>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</si>
  <si>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</si>
  <si>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</si>
  <si>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</si>
  <si>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</si>
  <si>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</si>
  <si>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Residual</t>
  </si>
  <si>
    <t>Intercept</t>
  </si>
  <si>
    <t>df</t>
  </si>
  <si>
    <t>SS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</si>
  <si>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</si>
  <si>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</si>
  <si>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</si>
  <si>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</si>
  <si>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</si>
  <si>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</si>
  <si>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</si>
  <si>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</si>
  <si>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</si>
  <si>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</si>
  <si>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Regress</t>
  </si>
  <si>
    <t>Regression Formula:  r = (-1.34 * FS ) + (-.65 * FS ^0.5) + 19.56</t>
  </si>
  <si>
    <t>Historical Period = 30 Years</t>
  </si>
  <si>
    <t>Note</t>
  </si>
  <si>
    <t>Estimated Market Return</t>
  </si>
  <si>
    <t>MRP Model--Full List--Adj. Mean</t>
  </si>
  <si>
    <t>MRP Model--Full List--Regression</t>
  </si>
  <si>
    <t>Company Name</t>
  </si>
  <si>
    <t>Stock Price</t>
  </si>
  <si>
    <t>B++</t>
  </si>
  <si>
    <t>B+</t>
  </si>
  <si>
    <t>B</t>
  </si>
  <si>
    <t>A</t>
  </si>
  <si>
    <t>Ticker</t>
  </si>
  <si>
    <t>EPS</t>
  </si>
  <si>
    <t>Current</t>
  </si>
  <si>
    <t>Median</t>
  </si>
  <si>
    <t>Dividend</t>
  </si>
  <si>
    <t>Total</t>
  </si>
  <si>
    <t>Growth</t>
  </si>
  <si>
    <t>Growth in</t>
  </si>
  <si>
    <t>5-Yr.</t>
  </si>
  <si>
    <t>10-Year</t>
  </si>
  <si>
    <t>Projected</t>
  </si>
  <si>
    <t>3-5 Year</t>
  </si>
  <si>
    <t>Financial</t>
  </si>
  <si>
    <t>Strength</t>
  </si>
  <si>
    <t>Price</t>
  </si>
  <si>
    <t>Average</t>
  </si>
  <si>
    <t>75-25 Wtd.</t>
  </si>
  <si>
    <t>Divd Yield</t>
  </si>
  <si>
    <t>on Current</t>
  </si>
  <si>
    <t>DCF Model Results</t>
  </si>
  <si>
    <t>Standard Deviation</t>
  </si>
  <si>
    <t>Estimated</t>
  </si>
  <si>
    <t>Value</t>
  </si>
  <si>
    <t>Model Using Forecast Growth Rates</t>
  </si>
  <si>
    <t>Model Using Historical Growth Rates</t>
  </si>
  <si>
    <t>+/-  2 Std. Deviations</t>
  </si>
  <si>
    <t>Cost of</t>
  </si>
  <si>
    <t>Equity 1/</t>
  </si>
  <si>
    <t xml:space="preserve">1/  </t>
  </si>
  <si>
    <t>V.L.</t>
  </si>
  <si>
    <t>S &amp; P</t>
  </si>
  <si>
    <t>Bond</t>
  </si>
  <si>
    <t>Rating</t>
  </si>
  <si>
    <t>BBB</t>
  </si>
  <si>
    <t>BBB+</t>
  </si>
  <si>
    <t>F.S.</t>
  </si>
  <si>
    <t>A+</t>
  </si>
  <si>
    <t>AA-</t>
  </si>
  <si>
    <t>A-</t>
  </si>
  <si>
    <t>F.S. vs. Bonds Correlation</t>
  </si>
  <si>
    <t>EPS Growth</t>
  </si>
  <si>
    <t>Divd Growth</t>
  </si>
  <si>
    <t>Historical Risk Premium Period: 30 Years</t>
  </si>
  <si>
    <t>V.L. Beta</t>
  </si>
  <si>
    <t>90 - Day</t>
  </si>
  <si>
    <t>T-Bill</t>
  </si>
  <si>
    <t>10 - Year</t>
  </si>
  <si>
    <t>T-Note</t>
  </si>
  <si>
    <t>CAPM</t>
  </si>
  <si>
    <t>T-Bond</t>
  </si>
  <si>
    <t>MRP</t>
  </si>
  <si>
    <t>T-Note (est)</t>
  </si>
  <si>
    <t>CAPM Results</t>
  </si>
  <si>
    <t>Single-Stage Discounted Cash Flow Models</t>
  </si>
  <si>
    <t>Symbol</t>
  </si>
  <si>
    <t>Select Group</t>
  </si>
  <si>
    <t>Revenues</t>
  </si>
  <si>
    <t>Moody's</t>
  </si>
  <si>
    <t>A3</t>
  </si>
  <si>
    <t>Baa1</t>
  </si>
  <si>
    <t>A2</t>
  </si>
  <si>
    <t>Aa3</t>
  </si>
  <si>
    <t>Net</t>
  </si>
  <si>
    <t>Plant</t>
  </si>
  <si>
    <t>Estimate of Current Cost of Equity for PacifiCorp</t>
  </si>
  <si>
    <t>Percent</t>
  </si>
  <si>
    <t>Electric</t>
  </si>
  <si>
    <t>Utility</t>
  </si>
  <si>
    <t>PacifiCorp</t>
  </si>
  <si>
    <t>---</t>
  </si>
  <si>
    <t>Progress Energy</t>
  </si>
  <si>
    <t>PGN</t>
  </si>
  <si>
    <t>Alliant Energy</t>
  </si>
  <si>
    <t>LNT</t>
  </si>
  <si>
    <t>Ameren</t>
  </si>
  <si>
    <t>AEE</t>
  </si>
  <si>
    <t>Consolidated Edison</t>
  </si>
  <si>
    <t>ED</t>
  </si>
  <si>
    <t>Energy East</t>
  </si>
  <si>
    <t>EAS</t>
  </si>
  <si>
    <t>NSTAR</t>
  </si>
  <si>
    <t>NST</t>
  </si>
  <si>
    <t>SCANA</t>
  </si>
  <si>
    <t>SCG</t>
  </si>
  <si>
    <t>A1</t>
  </si>
  <si>
    <t>Xcel Energy</t>
  </si>
  <si>
    <t>XEL</t>
  </si>
  <si>
    <t xml:space="preserve">BBB </t>
  </si>
  <si>
    <t>Value Line</t>
  </si>
  <si>
    <t>P/E Ratio</t>
  </si>
  <si>
    <t>Divd. Yield</t>
  </si>
  <si>
    <t>A++</t>
  </si>
  <si>
    <t xml:space="preserve">A+ </t>
  </si>
  <si>
    <t xml:space="preserve">B+ </t>
  </si>
  <si>
    <t>def.</t>
  </si>
  <si>
    <t>Adjusted</t>
  </si>
  <si>
    <t>20 - Year</t>
  </si>
  <si>
    <t>20-Year</t>
  </si>
  <si>
    <t>Beta</t>
  </si>
  <si>
    <t>S&amp;P Beta</t>
  </si>
  <si>
    <t>1-Month</t>
  </si>
  <si>
    <t>CEP/06-035-21/August 17, 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</si>
</sst>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0.000_);\(0.000\)"/>
    <numFmt numFmtId="166" formatCode="#,##0.000_);\(#,##0.000\)"/>
    <numFmt numFmtId="167" formatCode="[$-409]dddd\,\ mmmm\ dd\,\ yyyy"/>
    <numFmt numFmtId="168" formatCode="mmm\-yyyy"/>
    <numFmt numFmtId="169" formatCode="m/d/yy;@"/>
    <numFmt numFmtId="170" formatCode="&quot;$&quot;#,##0.0_);\(&quot;$&quot;#,##0.0\)"/>
    <numFmt numFmtId="171" formatCode="#,##0.0_);\(#,##0.0\)"/>
    <numFmt numFmtId="172" formatCode="[$-409]mmmm\ d\,\ yyyy;@"/>
    <numFmt numFmtId="173" formatCode="0.000%"/>
    <numFmt numFmtId="174" formatCode="0.00_);\(0.00\)"/>
  </numFmts>
  <fonts count="12">
    <font>
      <sz val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39" fontId="0" fillId="0" borderId="0" xfId="0" applyAlignment="1">
      <alignment/>
    </xf>
    <xf numFmtId="39" fontId="2" fillId="0" borderId="0" xfId="0" applyFont="1" applyAlignment="1">
      <alignment/>
    </xf>
    <xf numFmtId="39" fontId="3" fillId="0" borderId="0" xfId="0" applyFont="1" applyAlignment="1">
      <alignment/>
    </xf>
    <xf numFmtId="39" fontId="0" fillId="0" borderId="1" xfId="0" applyBorder="1" applyAlignment="1">
      <alignment/>
    </xf>
    <xf numFmtId="39" fontId="4" fillId="0" borderId="0" xfId="0" applyFont="1" applyAlignment="1">
      <alignment/>
    </xf>
    <xf numFmtId="39" fontId="0" fillId="0" borderId="0" xfId="0" applyAlignment="1">
      <alignment horizontal="right"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39" fontId="4" fillId="0" borderId="0" xfId="0" applyFont="1" applyAlignment="1">
      <alignment horizontal="right"/>
    </xf>
    <xf numFmtId="10" fontId="4" fillId="0" borderId="0" xfId="0" applyNumberFormat="1" applyFont="1" applyAlignment="1">
      <alignment/>
    </xf>
    <xf numFmtId="39" fontId="5" fillId="0" borderId="0" xfId="0" applyFont="1" applyAlignment="1">
      <alignment horizontal="left"/>
    </xf>
    <xf numFmtId="10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39" fontId="3" fillId="0" borderId="0" xfId="0" applyFont="1" applyAlignment="1">
      <alignment horizontal="center"/>
    </xf>
    <xf numFmtId="39" fontId="3" fillId="0" borderId="0" xfId="0" applyFont="1" applyAlignment="1" quotePrefix="1">
      <alignment horizontal="center"/>
    </xf>
    <xf numFmtId="39" fontId="0" fillId="0" borderId="0" xfId="0" applyAlignment="1">
      <alignment horizontal="center"/>
    </xf>
    <xf numFmtId="39" fontId="0" fillId="0" borderId="0" xfId="0" applyAlignment="1" quotePrefix="1">
      <alignment horizontal="right"/>
    </xf>
    <xf numFmtId="39" fontId="0" fillId="0" borderId="0" xfId="0" applyFont="1" applyAlignment="1">
      <alignment horizontal="center"/>
    </xf>
    <xf numFmtId="39" fontId="0" fillId="0" borderId="0" xfId="0" applyFill="1" applyBorder="1" applyAlignment="1">
      <alignment/>
    </xf>
    <xf numFmtId="39" fontId="0" fillId="0" borderId="2" xfId="0" applyFill="1" applyBorder="1" applyAlignment="1">
      <alignment/>
    </xf>
    <xf numFmtId="39" fontId="6" fillId="0" borderId="3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39" fontId="0" fillId="0" borderId="0" xfId="0" applyAlignment="1">
      <alignment horizontal="left"/>
    </xf>
    <xf numFmtId="39" fontId="7" fillId="0" borderId="0" xfId="0" applyFont="1" applyAlignment="1">
      <alignment/>
    </xf>
    <xf numFmtId="39" fontId="7" fillId="0" borderId="0" xfId="0" applyFont="1" applyAlignment="1">
      <alignment horizontal="centerContinuous"/>
    </xf>
    <xf numFmtId="39" fontId="2" fillId="0" borderId="0" xfId="0" applyFont="1" applyAlignment="1">
      <alignment horizontal="centerContinuous"/>
    </xf>
    <xf numFmtId="39" fontId="0" fillId="0" borderId="0" xfId="0" applyAlignment="1">
      <alignment horizontal="centerContinuous"/>
    </xf>
    <xf numFmtId="39" fontId="4" fillId="0" borderId="0" xfId="0" applyFont="1" applyAlignment="1">
      <alignment horizontal="centerContinuous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Continuous"/>
    </xf>
    <xf numFmtId="39" fontId="0" fillId="0" borderId="0" xfId="0" applyAlignment="1" quotePrefix="1">
      <alignment horizontal="left"/>
    </xf>
    <xf numFmtId="39" fontId="0" fillId="0" borderId="0" xfId="0" applyAlignment="1" quotePrefix="1">
      <alignment horizontal="center"/>
    </xf>
    <xf numFmtId="171" fontId="0" fillId="0" borderId="0" xfId="0" applyNumberFormat="1" applyAlignment="1">
      <alignment horizontal="centerContinuous"/>
    </xf>
    <xf numFmtId="171" fontId="3" fillId="0" borderId="0" xfId="0" applyNumberFormat="1" applyFont="1" applyAlignment="1">
      <alignment horizontal="center"/>
    </xf>
    <xf numFmtId="171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9" fontId="0" fillId="0" borderId="0" xfId="0" applyNumberFormat="1" applyAlignment="1">
      <alignment horizontal="centerContinuous"/>
    </xf>
    <xf numFmtId="9" fontId="3" fillId="0" borderId="0" xfId="0" applyNumberFormat="1" applyFont="1" applyAlignment="1">
      <alignment horizontal="center"/>
    </xf>
    <xf numFmtId="9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171" fontId="0" fillId="0" borderId="1" xfId="0" applyNumberFormat="1" applyFon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1" xfId="0" applyNumberFormat="1" applyBorder="1" applyAlignment="1">
      <alignment horizontal="center"/>
    </xf>
    <xf numFmtId="39" fontId="0" fillId="0" borderId="0" xfId="0" applyAlignment="1">
      <alignment/>
    </xf>
    <xf numFmtId="17" fontId="4" fillId="0" borderId="0" xfId="0" applyNumberFormat="1" applyFont="1" applyAlignment="1">
      <alignment horizontal="centerContinuous"/>
    </xf>
    <xf numFmtId="39" fontId="3" fillId="0" borderId="0" xfId="0" applyFont="1" applyAlignment="1" quotePrefix="1">
      <alignment horizontal="left"/>
    </xf>
    <xf numFmtId="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39" fontId="6" fillId="0" borderId="3" xfId="0" applyFont="1" applyFill="1" applyBorder="1" applyAlignment="1">
      <alignment horizontal="centerContinuous"/>
    </xf>
    <xf numFmtId="39" fontId="8" fillId="0" borderId="0" xfId="0" applyFont="1" applyAlignment="1">
      <alignment horizontal="center"/>
    </xf>
    <xf numFmtId="39" fontId="11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17" fontId="4" fillId="0" borderId="0" xfId="0" applyNumberFormat="1" applyFont="1" applyAlignment="1" quotePrefix="1">
      <alignment horizontal="centerContinuous"/>
    </xf>
    <xf numFmtId="39" fontId="0" fillId="0" borderId="0" xfId="0" applyFont="1" applyAlignment="1" quotePrefix="1">
      <alignment horizontal="left"/>
    </xf>
    <xf numFmtId="17" fontId="0" fillId="0" borderId="0" xfId="0" applyNumberFormat="1" applyAlignment="1">
      <alignment horizontal="centerContinuous"/>
    </xf>
    <xf numFmtId="1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5.33203125" style="0" customWidth="1"/>
    <col min="2" max="2" width="8" style="0" customWidth="1"/>
    <col min="3" max="3" width="10.5" style="38" customWidth="1"/>
    <col min="4" max="4" width="11.5" style="38" customWidth="1"/>
    <col min="5" max="5" width="8.5" style="42" customWidth="1"/>
    <col min="6" max="6" width="11.66015625" style="44" customWidth="1"/>
    <col min="7" max="7" width="11.5" style="24" customWidth="1"/>
    <col min="8" max="8" width="11" style="16" customWidth="1"/>
    <col min="9" max="10" width="9.33203125" style="16" customWidth="1"/>
    <col min="11" max="12" width="5.66015625" style="0" customWidth="1"/>
  </cols>
  <sheetData>
    <row r="2" spans="1:9" ht="12.75">
      <c r="A2" s="33" t="s">
        <v>208</v>
      </c>
      <c r="I2" s="34" t="s">
        <v>15</v>
      </c>
    </row>
    <row r="3" ht="12.75">
      <c r="I3" s="34"/>
    </row>
    <row r="4" spans="1:10" s="46" customFormat="1" ht="18.75">
      <c r="A4" s="28" t="s">
        <v>175</v>
      </c>
      <c r="B4" s="29"/>
      <c r="C4" s="35"/>
      <c r="D4" s="35"/>
      <c r="E4" s="39"/>
      <c r="F4" s="35"/>
      <c r="G4" s="32"/>
      <c r="H4" s="29"/>
      <c r="I4" s="29"/>
      <c r="J4" s="29"/>
    </row>
    <row r="5" spans="1:10" s="46" customFormat="1" ht="18.75">
      <c r="A5" s="28" t="s">
        <v>24</v>
      </c>
      <c r="B5" s="29"/>
      <c r="C5" s="35"/>
      <c r="D5" s="35"/>
      <c r="E5" s="39"/>
      <c r="F5" s="35"/>
      <c r="G5" s="32"/>
      <c r="H5" s="29"/>
      <c r="I5" s="29"/>
      <c r="J5" s="29"/>
    </row>
    <row r="6" spans="1:10" s="46" customFormat="1" ht="15.75">
      <c r="A6" s="30" t="s">
        <v>30</v>
      </c>
      <c r="B6" s="29"/>
      <c r="C6" s="35"/>
      <c r="D6" s="35"/>
      <c r="E6" s="39"/>
      <c r="F6" s="35"/>
      <c r="G6" s="32"/>
      <c r="H6" s="29"/>
      <c r="I6" s="29"/>
      <c r="J6" s="29"/>
    </row>
    <row r="7" spans="1:10" s="46" customFormat="1" ht="20.25">
      <c r="A7" s="53"/>
      <c r="B7" s="29"/>
      <c r="C7" s="35"/>
      <c r="D7" s="35"/>
      <c r="E7" s="39"/>
      <c r="F7" s="35"/>
      <c r="G7" s="32"/>
      <c r="H7" s="29"/>
      <c r="I7" s="29"/>
      <c r="J7" s="29"/>
    </row>
    <row r="9" spans="3:10" ht="12.75">
      <c r="C9" s="36"/>
      <c r="D9" s="36"/>
      <c r="E9" s="40" t="s">
        <v>172</v>
      </c>
      <c r="F9" s="36" t="s">
        <v>109</v>
      </c>
      <c r="G9" s="31" t="s">
        <v>109</v>
      </c>
      <c r="H9" s="14" t="s">
        <v>136</v>
      </c>
      <c r="I9" s="14" t="s">
        <v>137</v>
      </c>
      <c r="J9" s="14" t="s">
        <v>164</v>
      </c>
    </row>
    <row r="10" spans="2:10" ht="12.75">
      <c r="B10" s="2" t="s">
        <v>107</v>
      </c>
      <c r="C10" s="36"/>
      <c r="D10" s="36" t="s">
        <v>169</v>
      </c>
      <c r="E10" s="40" t="s">
        <v>173</v>
      </c>
      <c r="F10" s="36" t="s">
        <v>195</v>
      </c>
      <c r="G10" s="31" t="s">
        <v>195</v>
      </c>
      <c r="H10" s="14" t="s">
        <v>119</v>
      </c>
      <c r="I10" s="14" t="s">
        <v>138</v>
      </c>
      <c r="J10" s="14" t="s">
        <v>138</v>
      </c>
    </row>
    <row r="11" spans="1:15" ht="12.75">
      <c r="A11" s="2" t="s">
        <v>101</v>
      </c>
      <c r="B11" s="2" t="s">
        <v>161</v>
      </c>
      <c r="C11" s="36" t="s">
        <v>163</v>
      </c>
      <c r="D11" s="36" t="s">
        <v>170</v>
      </c>
      <c r="E11" s="40" t="s">
        <v>174</v>
      </c>
      <c r="F11" s="36" t="s">
        <v>196</v>
      </c>
      <c r="G11" s="31" t="s">
        <v>197</v>
      </c>
      <c r="H11" s="14" t="s">
        <v>120</v>
      </c>
      <c r="I11" s="14" t="s">
        <v>139</v>
      </c>
      <c r="J11" s="14" t="s">
        <v>139</v>
      </c>
      <c r="M11" t="s">
        <v>136</v>
      </c>
      <c r="N11" t="s">
        <v>35</v>
      </c>
      <c r="O11" s="25" t="s">
        <v>36</v>
      </c>
    </row>
    <row r="12" spans="1:10" ht="7.5" customHeight="1">
      <c r="A12" s="3"/>
      <c r="B12" s="3"/>
      <c r="C12" s="37"/>
      <c r="D12" s="37"/>
      <c r="E12" s="41"/>
      <c r="F12" s="43"/>
      <c r="G12" s="22"/>
      <c r="H12" s="22"/>
      <c r="I12" s="22"/>
      <c r="J12" s="22"/>
    </row>
    <row r="13" spans="1:21" ht="12.75">
      <c r="A13" t="s">
        <v>179</v>
      </c>
      <c r="B13" t="s">
        <v>180</v>
      </c>
      <c r="C13" s="38">
        <v>3411.8</v>
      </c>
      <c r="D13" s="38">
        <v>4466.5</v>
      </c>
      <c r="E13" s="42">
        <v>0.7</v>
      </c>
      <c r="F13" s="44">
        <v>14.7</v>
      </c>
      <c r="G13" s="24">
        <v>0.035</v>
      </c>
      <c r="H13" s="18" t="s">
        <v>104</v>
      </c>
      <c r="I13" s="18" t="s">
        <v>145</v>
      </c>
      <c r="J13" s="18" t="s">
        <v>167</v>
      </c>
      <c r="M13">
        <v>5</v>
      </c>
      <c r="N13">
        <v>4</v>
      </c>
      <c r="O13">
        <v>5</v>
      </c>
      <c r="Q13" t="s">
        <v>143</v>
      </c>
      <c r="R13">
        <v>6</v>
      </c>
      <c r="T13" t="s">
        <v>200</v>
      </c>
      <c r="U13">
        <v>5</v>
      </c>
    </row>
    <row r="14" spans="1:21" ht="12.75">
      <c r="A14" t="s">
        <v>181</v>
      </c>
      <c r="B14" t="s">
        <v>182</v>
      </c>
      <c r="C14" s="38">
        <v>6959</v>
      </c>
      <c r="D14" s="38">
        <v>13854</v>
      </c>
      <c r="E14" s="42">
        <v>0.79</v>
      </c>
      <c r="F14" s="44">
        <v>16.8</v>
      </c>
      <c r="G14" s="24">
        <v>0.051</v>
      </c>
      <c r="H14" s="18" t="s">
        <v>143</v>
      </c>
      <c r="I14" s="18" t="s">
        <v>145</v>
      </c>
      <c r="J14" s="18" t="s">
        <v>165</v>
      </c>
      <c r="M14">
        <v>8</v>
      </c>
      <c r="N14">
        <v>4</v>
      </c>
      <c r="O14">
        <v>4</v>
      </c>
      <c r="Q14" t="s">
        <v>106</v>
      </c>
      <c r="R14">
        <v>5</v>
      </c>
      <c r="T14" t="s">
        <v>105</v>
      </c>
      <c r="U14">
        <v>4</v>
      </c>
    </row>
    <row r="15" spans="1:21" ht="12.75">
      <c r="A15" s="33" t="s">
        <v>0</v>
      </c>
      <c r="B15" t="s">
        <v>1</v>
      </c>
      <c r="C15" s="38">
        <v>1002.7</v>
      </c>
      <c r="D15" s="38">
        <v>785.7</v>
      </c>
      <c r="E15" s="42">
        <v>0.53</v>
      </c>
      <c r="F15" s="44">
        <v>17.6</v>
      </c>
      <c r="G15" s="24">
        <v>0.047</v>
      </c>
      <c r="H15" s="18" t="s">
        <v>106</v>
      </c>
      <c r="I15" s="18" t="s">
        <v>106</v>
      </c>
      <c r="J15" s="18" t="s">
        <v>167</v>
      </c>
      <c r="M15">
        <v>7</v>
      </c>
      <c r="N15">
        <v>5</v>
      </c>
      <c r="O15">
        <v>5</v>
      </c>
      <c r="Q15" t="s">
        <v>145</v>
      </c>
      <c r="R15">
        <v>4</v>
      </c>
      <c r="T15" t="s">
        <v>54</v>
      </c>
      <c r="U15">
        <v>3</v>
      </c>
    </row>
    <row r="16" spans="1:21" ht="12.75">
      <c r="A16" t="s">
        <v>183</v>
      </c>
      <c r="B16" t="s">
        <v>184</v>
      </c>
      <c r="C16" s="38">
        <v>12206</v>
      </c>
      <c r="D16" s="38">
        <v>16481</v>
      </c>
      <c r="E16" s="42">
        <v>0.64</v>
      </c>
      <c r="F16" s="44">
        <v>14.4</v>
      </c>
      <c r="G16" s="24">
        <v>0.054</v>
      </c>
      <c r="H16" s="18" t="s">
        <v>198</v>
      </c>
      <c r="I16" s="18" t="s">
        <v>106</v>
      </c>
      <c r="J16" s="18" t="s">
        <v>191</v>
      </c>
      <c r="M16">
        <v>9</v>
      </c>
      <c r="N16">
        <v>5</v>
      </c>
      <c r="O16">
        <v>6</v>
      </c>
      <c r="Q16" t="s">
        <v>141</v>
      </c>
      <c r="R16">
        <v>3</v>
      </c>
      <c r="T16" t="s">
        <v>66</v>
      </c>
      <c r="U16">
        <v>2</v>
      </c>
    </row>
    <row r="17" spans="1:21" ht="12.75">
      <c r="A17" t="s">
        <v>50</v>
      </c>
      <c r="B17" t="s">
        <v>32</v>
      </c>
      <c r="C17" s="38">
        <v>394.6</v>
      </c>
      <c r="D17" s="38">
        <v>916.2</v>
      </c>
      <c r="E17" s="42">
        <v>0.93</v>
      </c>
      <c r="F17" s="44">
        <v>19.4</v>
      </c>
      <c r="G17" s="24">
        <v>0.063</v>
      </c>
      <c r="H17" s="18" t="s">
        <v>104</v>
      </c>
      <c r="I17" s="18" t="s">
        <v>141</v>
      </c>
      <c r="J17" s="18" t="s">
        <v>166</v>
      </c>
      <c r="M17">
        <v>5</v>
      </c>
      <c r="N17">
        <v>3</v>
      </c>
      <c r="O17">
        <v>3</v>
      </c>
      <c r="Q17" t="s">
        <v>194</v>
      </c>
      <c r="R17">
        <v>2</v>
      </c>
      <c r="T17" t="s">
        <v>2</v>
      </c>
      <c r="U17">
        <v>1</v>
      </c>
    </row>
    <row r="18" spans="1:15" ht="12.75">
      <c r="A18" t="s">
        <v>185</v>
      </c>
      <c r="B18" t="s">
        <v>186</v>
      </c>
      <c r="C18" s="38">
        <v>5357.8</v>
      </c>
      <c r="D18" s="38">
        <v>5757.1</v>
      </c>
      <c r="E18" s="42">
        <v>0.56</v>
      </c>
      <c r="F18" s="44">
        <v>14.1</v>
      </c>
      <c r="G18" s="24">
        <v>0.054</v>
      </c>
      <c r="H18" s="18" t="s">
        <v>103</v>
      </c>
      <c r="I18" s="18" t="s">
        <v>141</v>
      </c>
      <c r="J18" s="18" t="s">
        <v>165</v>
      </c>
      <c r="M18">
        <v>6</v>
      </c>
      <c r="N18">
        <v>3</v>
      </c>
      <c r="O18">
        <v>4</v>
      </c>
    </row>
    <row r="19" spans="1:15" ht="12.75">
      <c r="A19" t="s">
        <v>3</v>
      </c>
      <c r="B19" t="s">
        <v>4</v>
      </c>
      <c r="C19" s="38">
        <v>533</v>
      </c>
      <c r="D19" s="38">
        <v>677.3</v>
      </c>
      <c r="E19" s="42">
        <v>0.6</v>
      </c>
      <c r="F19" s="44">
        <v>16.4</v>
      </c>
      <c r="G19" s="24">
        <v>0.047</v>
      </c>
      <c r="H19" s="18" t="s">
        <v>106</v>
      </c>
      <c r="I19" s="18" t="s">
        <v>144</v>
      </c>
      <c r="J19" s="18" t="s">
        <v>168</v>
      </c>
      <c r="M19">
        <v>7</v>
      </c>
      <c r="N19">
        <v>7</v>
      </c>
      <c r="O19">
        <v>7</v>
      </c>
    </row>
    <row r="20" spans="1:15" ht="12.75">
      <c r="A20" t="s">
        <v>187</v>
      </c>
      <c r="B20" t="s">
        <v>188</v>
      </c>
      <c r="C20" s="38">
        <v>3397.8</v>
      </c>
      <c r="D20" s="38">
        <v>3892.8</v>
      </c>
      <c r="E20" s="42">
        <v>0.78</v>
      </c>
      <c r="F20" s="44">
        <v>14.3</v>
      </c>
      <c r="G20" s="24">
        <v>0.046</v>
      </c>
      <c r="H20" s="18" t="s">
        <v>106</v>
      </c>
      <c r="I20" s="18" t="s">
        <v>143</v>
      </c>
      <c r="J20" s="18" t="s">
        <v>191</v>
      </c>
      <c r="M20">
        <v>7</v>
      </c>
      <c r="N20">
        <v>6</v>
      </c>
      <c r="O20">
        <v>6</v>
      </c>
    </row>
    <row r="21" spans="1:15" ht="12.75">
      <c r="A21" t="s">
        <v>177</v>
      </c>
      <c r="B21" t="s">
        <v>178</v>
      </c>
      <c r="C21" s="38">
        <v>10441</v>
      </c>
      <c r="D21" s="38">
        <v>14570</v>
      </c>
      <c r="E21" s="42">
        <v>0.78</v>
      </c>
      <c r="F21" s="44">
        <v>12.8</v>
      </c>
      <c r="G21" s="24">
        <v>0.06</v>
      </c>
      <c r="H21" s="18" t="s">
        <v>103</v>
      </c>
      <c r="I21" s="18" t="s">
        <v>140</v>
      </c>
      <c r="J21" s="18" t="s">
        <v>165</v>
      </c>
      <c r="M21">
        <v>6</v>
      </c>
      <c r="N21">
        <v>2</v>
      </c>
      <c r="O21">
        <v>4</v>
      </c>
    </row>
    <row r="22" spans="1:15" ht="12.75">
      <c r="A22" t="s">
        <v>189</v>
      </c>
      <c r="B22" t="s">
        <v>190</v>
      </c>
      <c r="C22" s="38">
        <v>4899</v>
      </c>
      <c r="D22" s="38">
        <v>6826</v>
      </c>
      <c r="E22" s="42">
        <v>0.39</v>
      </c>
      <c r="F22" s="44">
        <v>13.2</v>
      </c>
      <c r="G22" s="24">
        <v>0.046</v>
      </c>
      <c r="H22" s="18" t="s">
        <v>106</v>
      </c>
      <c r="I22" s="18" t="s">
        <v>145</v>
      </c>
      <c r="J22" s="18" t="s">
        <v>191</v>
      </c>
      <c r="M22">
        <v>7</v>
      </c>
      <c r="N22">
        <v>4</v>
      </c>
      <c r="O22">
        <v>6</v>
      </c>
    </row>
    <row r="23" spans="1:15" ht="12.75">
      <c r="A23" t="s">
        <v>51</v>
      </c>
      <c r="B23" t="s">
        <v>6</v>
      </c>
      <c r="C23" s="38">
        <v>13873.7</v>
      </c>
      <c r="D23" s="38">
        <v>27968.3</v>
      </c>
      <c r="E23" s="42">
        <v>0.98</v>
      </c>
      <c r="F23" s="44">
        <v>14.6</v>
      </c>
      <c r="G23" s="24">
        <v>0.05</v>
      </c>
      <c r="H23" s="18" t="s">
        <v>106</v>
      </c>
      <c r="I23" s="18" t="s">
        <v>143</v>
      </c>
      <c r="J23" s="18" t="s">
        <v>167</v>
      </c>
      <c r="M23">
        <v>7</v>
      </c>
      <c r="N23">
        <v>6</v>
      </c>
      <c r="O23">
        <v>5</v>
      </c>
    </row>
    <row r="24" spans="1:15" ht="12.75">
      <c r="A24" t="s">
        <v>52</v>
      </c>
      <c r="B24" t="s">
        <v>7</v>
      </c>
      <c r="C24" s="38">
        <v>2125.3</v>
      </c>
      <c r="D24" s="38">
        <v>2267.7</v>
      </c>
      <c r="E24" s="42">
        <v>0.2</v>
      </c>
      <c r="F24" s="44">
        <v>14.2</v>
      </c>
      <c r="G24" s="24">
        <v>0.047</v>
      </c>
      <c r="H24" s="18" t="s">
        <v>106</v>
      </c>
      <c r="I24" s="18" t="s">
        <v>106</v>
      </c>
      <c r="J24" s="18" t="s">
        <v>165</v>
      </c>
      <c r="M24">
        <v>7</v>
      </c>
      <c r="N24">
        <v>5</v>
      </c>
      <c r="O24">
        <v>4</v>
      </c>
    </row>
    <row r="25" spans="1:15" ht="12.75">
      <c r="A25" t="s">
        <v>192</v>
      </c>
      <c r="B25" t="s">
        <v>193</v>
      </c>
      <c r="C25" s="38">
        <v>10123.5</v>
      </c>
      <c r="D25" s="38">
        <v>14882.8</v>
      </c>
      <c r="E25" s="42">
        <v>0.75</v>
      </c>
      <c r="F25" s="44">
        <v>15.7</v>
      </c>
      <c r="G25" s="24">
        <v>0.045</v>
      </c>
      <c r="H25" s="18" t="s">
        <v>103</v>
      </c>
      <c r="I25" s="18" t="s">
        <v>145</v>
      </c>
      <c r="J25" s="18" t="s">
        <v>165</v>
      </c>
      <c r="M25">
        <v>6</v>
      </c>
      <c r="N25">
        <v>4</v>
      </c>
      <c r="O25">
        <v>4</v>
      </c>
    </row>
    <row r="26" spans="3:10" ht="7.5" customHeight="1">
      <c r="C26" s="37"/>
      <c r="D26" s="37"/>
      <c r="E26" s="41"/>
      <c r="F26" s="45"/>
      <c r="G26" s="23"/>
      <c r="H26" s="23"/>
      <c r="I26" s="23"/>
      <c r="J26" s="23"/>
    </row>
    <row r="27" spans="1:15" ht="12.75">
      <c r="A27" s="5" t="s">
        <v>122</v>
      </c>
      <c r="C27" s="38">
        <f>AVERAGE(C12:C26)</f>
        <v>5748.092307692307</v>
      </c>
      <c r="D27" s="38">
        <f>AVERAGE(D12:D26)</f>
        <v>8718.876923076923</v>
      </c>
      <c r="E27" s="42">
        <f>AVERAGE(E12:E26)</f>
        <v>0.6638461538461538</v>
      </c>
      <c r="F27" s="44">
        <f>AVERAGE(F12:F26)</f>
        <v>15.246153846153844</v>
      </c>
      <c r="G27" s="24">
        <f>AVERAGE(G12:G26)</f>
        <v>0.049615384615384624</v>
      </c>
      <c r="H27" s="16" t="s">
        <v>103</v>
      </c>
      <c r="I27" s="16" t="s">
        <v>145</v>
      </c>
      <c r="J27" s="16" t="s">
        <v>167</v>
      </c>
      <c r="M27">
        <f>AVERAGE(M13:M25)</f>
        <v>6.6923076923076925</v>
      </c>
      <c r="N27">
        <f>AVERAGE(N13:N25)</f>
        <v>4.461538461538462</v>
      </c>
      <c r="O27">
        <f>AVERAGE(O13:O25)</f>
        <v>4.846153846153846</v>
      </c>
    </row>
    <row r="28" ht="7.5" customHeight="1"/>
    <row r="29" spans="1:10" ht="12.75">
      <c r="A29" t="s">
        <v>175</v>
      </c>
      <c r="B29" s="34" t="s">
        <v>176</v>
      </c>
      <c r="C29" s="38">
        <v>3896.7</v>
      </c>
      <c r="D29" s="38">
        <v>10109.2</v>
      </c>
      <c r="E29" s="42">
        <v>1</v>
      </c>
      <c r="F29" s="34" t="s">
        <v>176</v>
      </c>
      <c r="G29" s="34" t="s">
        <v>176</v>
      </c>
      <c r="H29" s="34" t="s">
        <v>176</v>
      </c>
      <c r="I29" s="16" t="s">
        <v>145</v>
      </c>
      <c r="J29" s="16" t="s">
        <v>165</v>
      </c>
    </row>
    <row r="32" ht="12.75">
      <c r="A32" s="2" t="s">
        <v>44</v>
      </c>
    </row>
    <row r="34" spans="1:15" ht="12.75">
      <c r="A34" t="str">
        <f aca="true" t="shared" si="0" ref="A34:J34">A13</f>
        <v>Alliant Energy</v>
      </c>
      <c r="B34" t="str">
        <f t="shared" si="0"/>
        <v>LNT</v>
      </c>
      <c r="C34" s="38">
        <f t="shared" si="0"/>
        <v>3411.8</v>
      </c>
      <c r="D34" s="38">
        <f t="shared" si="0"/>
        <v>4466.5</v>
      </c>
      <c r="E34" s="42">
        <f t="shared" si="0"/>
        <v>0.7</v>
      </c>
      <c r="F34" s="44">
        <f t="shared" si="0"/>
        <v>14.7</v>
      </c>
      <c r="G34" s="24">
        <f t="shared" si="0"/>
        <v>0.035</v>
      </c>
      <c r="H34" s="18" t="str">
        <f t="shared" si="0"/>
        <v>B+</v>
      </c>
      <c r="I34" s="18" t="str">
        <f t="shared" si="0"/>
        <v>A-</v>
      </c>
      <c r="J34" s="18" t="str">
        <f t="shared" si="0"/>
        <v>A2</v>
      </c>
      <c r="M34">
        <f aca="true" t="shared" si="1" ref="M34:O35">M13</f>
        <v>5</v>
      </c>
      <c r="N34">
        <f t="shared" si="1"/>
        <v>4</v>
      </c>
      <c r="O34">
        <f t="shared" si="1"/>
        <v>5</v>
      </c>
    </row>
    <row r="35" spans="1:15" ht="12.75">
      <c r="A35" t="str">
        <f aca="true" t="shared" si="2" ref="A35:J35">A14</f>
        <v>Ameren</v>
      </c>
      <c r="B35" t="str">
        <f t="shared" si="2"/>
        <v>AEE</v>
      </c>
      <c r="C35" s="38">
        <f t="shared" si="2"/>
        <v>6959</v>
      </c>
      <c r="D35" s="38">
        <f t="shared" si="2"/>
        <v>13854</v>
      </c>
      <c r="E35" s="42">
        <f t="shared" si="2"/>
        <v>0.79</v>
      </c>
      <c r="F35" s="44">
        <f t="shared" si="2"/>
        <v>16.8</v>
      </c>
      <c r="G35" s="24">
        <f t="shared" si="2"/>
        <v>0.051</v>
      </c>
      <c r="H35" s="18" t="str">
        <f t="shared" si="2"/>
        <v>A+</v>
      </c>
      <c r="I35" s="18" t="str">
        <f t="shared" si="2"/>
        <v>A-</v>
      </c>
      <c r="J35" s="18" t="str">
        <f t="shared" si="2"/>
        <v>A3</v>
      </c>
      <c r="M35">
        <f t="shared" si="1"/>
        <v>8</v>
      </c>
      <c r="N35">
        <f t="shared" si="1"/>
        <v>4</v>
      </c>
      <c r="O35">
        <f t="shared" si="1"/>
        <v>4</v>
      </c>
    </row>
    <row r="36" spans="1:15" ht="12.75">
      <c r="A36" t="str">
        <f aca="true" t="shared" si="3" ref="A36:J36">A16</f>
        <v>Consolidated Edison</v>
      </c>
      <c r="B36" t="str">
        <f t="shared" si="3"/>
        <v>ED</v>
      </c>
      <c r="C36" s="38">
        <f t="shared" si="3"/>
        <v>12206</v>
      </c>
      <c r="D36" s="38">
        <f t="shared" si="3"/>
        <v>16481</v>
      </c>
      <c r="E36" s="42">
        <f t="shared" si="3"/>
        <v>0.64</v>
      </c>
      <c r="F36" s="44">
        <f t="shared" si="3"/>
        <v>14.4</v>
      </c>
      <c r="G36" s="24">
        <f t="shared" si="3"/>
        <v>0.054</v>
      </c>
      <c r="H36" s="18" t="str">
        <f t="shared" si="3"/>
        <v>A++</v>
      </c>
      <c r="I36" s="18" t="str">
        <f t="shared" si="3"/>
        <v>A</v>
      </c>
      <c r="J36" s="18" t="str">
        <f t="shared" si="3"/>
        <v>A1</v>
      </c>
      <c r="M36">
        <f>M16</f>
        <v>9</v>
      </c>
      <c r="N36">
        <f>N16</f>
        <v>5</v>
      </c>
      <c r="O36">
        <f>O16</f>
        <v>6</v>
      </c>
    </row>
    <row r="37" spans="1:15" ht="12.75">
      <c r="A37" t="str">
        <f aca="true" t="shared" si="4" ref="A37:J37">A18</f>
        <v>Energy East</v>
      </c>
      <c r="B37" t="str">
        <f t="shared" si="4"/>
        <v>EAS</v>
      </c>
      <c r="C37" s="38">
        <f t="shared" si="4"/>
        <v>5357.8</v>
      </c>
      <c r="D37" s="38">
        <f t="shared" si="4"/>
        <v>5757.1</v>
      </c>
      <c r="E37" s="42">
        <f t="shared" si="4"/>
        <v>0.56</v>
      </c>
      <c r="F37" s="44">
        <f t="shared" si="4"/>
        <v>14.1</v>
      </c>
      <c r="G37" s="24">
        <f t="shared" si="4"/>
        <v>0.054</v>
      </c>
      <c r="H37" s="18" t="str">
        <f t="shared" si="4"/>
        <v>B++</v>
      </c>
      <c r="I37" s="18" t="str">
        <f t="shared" si="4"/>
        <v>BBB+</v>
      </c>
      <c r="J37" s="18" t="str">
        <f t="shared" si="4"/>
        <v>A3</v>
      </c>
      <c r="M37">
        <f>M18</f>
        <v>6</v>
      </c>
      <c r="N37">
        <f>N18</f>
        <v>3</v>
      </c>
      <c r="O37">
        <f>O18</f>
        <v>4</v>
      </c>
    </row>
    <row r="38" spans="1:15" ht="12.75">
      <c r="A38" t="str">
        <f aca="true" t="shared" si="5" ref="A38:J38">A20</f>
        <v>NSTAR</v>
      </c>
      <c r="B38" t="str">
        <f t="shared" si="5"/>
        <v>NST</v>
      </c>
      <c r="C38" s="38">
        <f t="shared" si="5"/>
        <v>3397.8</v>
      </c>
      <c r="D38" s="38">
        <f t="shared" si="5"/>
        <v>3892.8</v>
      </c>
      <c r="E38" s="42">
        <f t="shared" si="5"/>
        <v>0.78</v>
      </c>
      <c r="F38" s="44">
        <f t="shared" si="5"/>
        <v>14.3</v>
      </c>
      <c r="G38" s="24">
        <f t="shared" si="5"/>
        <v>0.046</v>
      </c>
      <c r="H38" s="18" t="str">
        <f t="shared" si="5"/>
        <v>A</v>
      </c>
      <c r="I38" s="18" t="str">
        <f t="shared" si="5"/>
        <v>A+</v>
      </c>
      <c r="J38" s="18" t="str">
        <f t="shared" si="5"/>
        <v>A1</v>
      </c>
      <c r="M38">
        <f aca="true" t="shared" si="6" ref="M38:O40">M20</f>
        <v>7</v>
      </c>
      <c r="N38">
        <f t="shared" si="6"/>
        <v>6</v>
      </c>
      <c r="O38">
        <f t="shared" si="6"/>
        <v>6</v>
      </c>
    </row>
    <row r="39" spans="1:15" ht="12.75">
      <c r="A39" t="str">
        <f aca="true" t="shared" si="7" ref="A39:J39">A21</f>
        <v>Progress Energy</v>
      </c>
      <c r="B39" t="str">
        <f t="shared" si="7"/>
        <v>PGN</v>
      </c>
      <c r="C39" s="38">
        <f t="shared" si="7"/>
        <v>10441</v>
      </c>
      <c r="D39" s="38">
        <f t="shared" si="7"/>
        <v>14570</v>
      </c>
      <c r="E39" s="42">
        <f t="shared" si="7"/>
        <v>0.78</v>
      </c>
      <c r="F39" s="44">
        <f t="shared" si="7"/>
        <v>12.8</v>
      </c>
      <c r="G39" s="24">
        <f t="shared" si="7"/>
        <v>0.06</v>
      </c>
      <c r="H39" s="18" t="str">
        <f t="shared" si="7"/>
        <v>B++</v>
      </c>
      <c r="I39" s="18" t="str">
        <f t="shared" si="7"/>
        <v>BBB</v>
      </c>
      <c r="J39" s="18" t="str">
        <f t="shared" si="7"/>
        <v>A3</v>
      </c>
      <c r="M39">
        <f t="shared" si="6"/>
        <v>6</v>
      </c>
      <c r="N39">
        <f t="shared" si="6"/>
        <v>2</v>
      </c>
      <c r="O39">
        <f t="shared" si="6"/>
        <v>4</v>
      </c>
    </row>
    <row r="40" spans="1:15" ht="12.75">
      <c r="A40" t="str">
        <f aca="true" t="shared" si="8" ref="A40:J40">A22</f>
        <v>SCANA</v>
      </c>
      <c r="B40" t="str">
        <f t="shared" si="8"/>
        <v>SCG</v>
      </c>
      <c r="C40" s="38">
        <f t="shared" si="8"/>
        <v>4899</v>
      </c>
      <c r="D40" s="38">
        <f t="shared" si="8"/>
        <v>6826</v>
      </c>
      <c r="E40" s="42">
        <f t="shared" si="8"/>
        <v>0.39</v>
      </c>
      <c r="F40" s="44">
        <f t="shared" si="8"/>
        <v>13.2</v>
      </c>
      <c r="G40" s="24">
        <f t="shared" si="8"/>
        <v>0.046</v>
      </c>
      <c r="H40" s="18" t="str">
        <f t="shared" si="8"/>
        <v>A</v>
      </c>
      <c r="I40" s="18" t="str">
        <f t="shared" si="8"/>
        <v>A-</v>
      </c>
      <c r="J40" s="18" t="str">
        <f t="shared" si="8"/>
        <v>A1</v>
      </c>
      <c r="M40">
        <f t="shared" si="6"/>
        <v>7</v>
      </c>
      <c r="N40">
        <f t="shared" si="6"/>
        <v>4</v>
      </c>
      <c r="O40">
        <f t="shared" si="6"/>
        <v>6</v>
      </c>
    </row>
    <row r="41" spans="1:15" ht="12.75">
      <c r="A41" t="str">
        <f aca="true" t="shared" si="9" ref="A41:J41">A25</f>
        <v>Xcel Energy</v>
      </c>
      <c r="B41" t="str">
        <f t="shared" si="9"/>
        <v>XEL</v>
      </c>
      <c r="C41" s="38">
        <f t="shared" si="9"/>
        <v>10123.5</v>
      </c>
      <c r="D41" s="38">
        <f t="shared" si="9"/>
        <v>14882.8</v>
      </c>
      <c r="E41" s="42">
        <f t="shared" si="9"/>
        <v>0.75</v>
      </c>
      <c r="F41" s="44">
        <f t="shared" si="9"/>
        <v>15.7</v>
      </c>
      <c r="G41" s="24">
        <f t="shared" si="9"/>
        <v>0.045</v>
      </c>
      <c r="H41" s="18" t="str">
        <f t="shared" si="9"/>
        <v>B++</v>
      </c>
      <c r="I41" s="18" t="str">
        <f t="shared" si="9"/>
        <v>A-</v>
      </c>
      <c r="J41" s="18" t="str">
        <f t="shared" si="9"/>
        <v>A3</v>
      </c>
      <c r="M41">
        <f>M25</f>
        <v>6</v>
      </c>
      <c r="N41">
        <f>N25</f>
        <v>4</v>
      </c>
      <c r="O41">
        <f>O25</f>
        <v>4</v>
      </c>
    </row>
    <row r="43" spans="1:15" ht="12.75">
      <c r="A43" s="5" t="s">
        <v>122</v>
      </c>
      <c r="C43" s="38">
        <f>AVERAGE(C33:C42)</f>
        <v>7099.487499999999</v>
      </c>
      <c r="D43" s="38">
        <f>AVERAGE(D33:D42)</f>
        <v>10091.275</v>
      </c>
      <c r="E43" s="42">
        <f>AVERAGE(E33:E42)</f>
        <v>0.67375</v>
      </c>
      <c r="F43" s="44">
        <f>AVERAGE(F33:F42)</f>
        <v>14.5</v>
      </c>
      <c r="G43" s="24">
        <f>AVERAGE(G33:G42)</f>
        <v>0.048874999999999995</v>
      </c>
      <c r="H43" s="16" t="s">
        <v>106</v>
      </c>
      <c r="I43" s="34" t="s">
        <v>45</v>
      </c>
      <c r="J43" s="16" t="s">
        <v>167</v>
      </c>
      <c r="M43">
        <f>AVERAGE(M33:M42)</f>
        <v>6.75</v>
      </c>
      <c r="N43">
        <f>AVERAGE(N33:N42)</f>
        <v>4</v>
      </c>
      <c r="O43">
        <f>AVERAGE(O33:O42)</f>
        <v>4.875</v>
      </c>
    </row>
    <row r="45" spans="1:2" ht="12.75">
      <c r="A45" s="5" t="s">
        <v>12</v>
      </c>
      <c r="B45" t="s">
        <v>13</v>
      </c>
    </row>
    <row r="46" ht="12.75">
      <c r="B46" t="s">
        <v>14</v>
      </c>
    </row>
  </sheetData>
  <printOptions horizontalCentered="1"/>
  <pageMargins left="0.5" right="0.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7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8" sqref="A68:IV199"/>
    </sheetView>
  </sheetViews>
  <sheetFormatPr defaultColWidth="9.33203125" defaultRowHeight="12.75"/>
  <cols>
    <col min="1" max="1" width="23.5" style="0" customWidth="1"/>
    <col min="2" max="3" width="12.83203125" style="0" customWidth="1"/>
    <col min="4" max="4" width="13.5" style="0" customWidth="1"/>
    <col min="5" max="5" width="12.5" style="0" customWidth="1"/>
    <col min="6" max="6" width="13.33203125" style="0" customWidth="1"/>
    <col min="7" max="7" width="12" style="0" customWidth="1"/>
    <col min="8" max="8" width="13" style="0" customWidth="1"/>
    <col min="9" max="9" width="12.16015625" style="0" customWidth="1"/>
    <col min="10" max="10" width="11.66015625" style="0" customWidth="1"/>
    <col min="11" max="11" width="11.83203125" style="0" customWidth="1"/>
    <col min="12" max="12" width="11.16015625" style="0" customWidth="1"/>
    <col min="13" max="14" width="10.66015625" style="0" customWidth="1"/>
    <col min="15" max="15" width="11.83203125" style="0" customWidth="1"/>
    <col min="16" max="16" width="11" style="0" customWidth="1"/>
    <col min="17" max="17" width="11.66015625" style="0" customWidth="1"/>
    <col min="18" max="18" width="10.83203125" style="0" customWidth="1"/>
    <col min="19" max="20" width="11.5" style="0" customWidth="1"/>
    <col min="21" max="21" width="11" style="0" customWidth="1"/>
    <col min="22" max="22" width="11.5" style="0" customWidth="1"/>
    <col min="23" max="23" width="12.16015625" style="0" customWidth="1"/>
    <col min="24" max="25" width="10.33203125" style="0" customWidth="1"/>
  </cols>
  <sheetData>
    <row r="3" spans="1:11" ht="18.75">
      <c r="A3" s="28" t="str">
        <f>Companies!A4</f>
        <v>PacifiCorp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5" ht="18.75">
      <c r="A4" s="28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6"/>
      <c r="M4" s="46"/>
      <c r="N4" s="46"/>
      <c r="O4" s="46"/>
    </row>
    <row r="5" spans="1:15" ht="15.75">
      <c r="A5" s="30" t="s">
        <v>160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46"/>
      <c r="M5" s="46"/>
      <c r="N5" s="46"/>
      <c r="O5" s="46"/>
    </row>
    <row r="6" spans="1:15" ht="15.75">
      <c r="A6" s="47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46"/>
      <c r="M6" s="46"/>
      <c r="N6" s="46"/>
      <c r="O6" s="46"/>
    </row>
    <row r="7" spans="1:15" ht="15.75">
      <c r="A7" s="30" t="str">
        <f>Companies!A6</f>
        <v>Hadaway Guideline Company List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46"/>
      <c r="M7" s="46"/>
      <c r="N7" s="46"/>
      <c r="O7" s="46"/>
    </row>
    <row r="8" spans="1:11" ht="19.5" customHeight="1">
      <c r="A8" s="53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12.75">
      <c r="A9" s="5"/>
    </row>
    <row r="10" ht="12.75">
      <c r="A10" s="5"/>
    </row>
    <row r="11" ht="12.75">
      <c r="A11" s="5"/>
    </row>
    <row r="12" ht="15.75">
      <c r="A12" s="10" t="s">
        <v>131</v>
      </c>
    </row>
    <row r="13" spans="2:9" ht="12.75">
      <c r="B13" s="16"/>
      <c r="C13" s="16"/>
      <c r="D13" s="14" t="s">
        <v>48</v>
      </c>
      <c r="E13" s="14" t="s">
        <v>124</v>
      </c>
      <c r="F13" s="14" t="s">
        <v>115</v>
      </c>
      <c r="G13" s="14" t="s">
        <v>115</v>
      </c>
      <c r="H13" s="14"/>
      <c r="I13" s="14" t="s">
        <v>128</v>
      </c>
    </row>
    <row r="14" spans="3:18" ht="12.75">
      <c r="C14" s="14" t="s">
        <v>46</v>
      </c>
      <c r="D14" s="49" t="s">
        <v>49</v>
      </c>
      <c r="E14" s="14" t="s">
        <v>125</v>
      </c>
      <c r="F14" s="14" t="s">
        <v>114</v>
      </c>
      <c r="G14" s="14" t="s">
        <v>114</v>
      </c>
      <c r="H14" s="15" t="s">
        <v>123</v>
      </c>
      <c r="I14" s="14" t="s">
        <v>133</v>
      </c>
      <c r="P14" s="6" t="s">
        <v>39</v>
      </c>
      <c r="Q14" s="6" t="s">
        <v>40</v>
      </c>
      <c r="R14" s="6"/>
    </row>
    <row r="15" spans="1:20" ht="12.75">
      <c r="A15" s="2" t="s">
        <v>101</v>
      </c>
      <c r="C15" s="14" t="s">
        <v>102</v>
      </c>
      <c r="D15" s="14" t="s">
        <v>111</v>
      </c>
      <c r="E15" s="14" t="s">
        <v>121</v>
      </c>
      <c r="F15" s="14" t="s">
        <v>108</v>
      </c>
      <c r="G15" s="14" t="s">
        <v>111</v>
      </c>
      <c r="H15" s="14" t="s">
        <v>113</v>
      </c>
      <c r="I15" s="14" t="s">
        <v>134</v>
      </c>
      <c r="M15" s="2"/>
      <c r="N15" s="2"/>
      <c r="P15" s="6" t="s">
        <v>147</v>
      </c>
      <c r="Q15" s="6" t="s">
        <v>147</v>
      </c>
      <c r="R15" s="6" t="s">
        <v>122</v>
      </c>
      <c r="T15" s="2"/>
    </row>
    <row r="16" spans="1:18" ht="7.5" customHeight="1">
      <c r="A16" s="3"/>
      <c r="B16" s="3"/>
      <c r="C16" s="3"/>
      <c r="D16" s="3"/>
      <c r="E16" s="3"/>
      <c r="F16" s="3"/>
      <c r="G16" s="3"/>
      <c r="H16" s="11"/>
      <c r="I16" s="11"/>
      <c r="L16" s="6"/>
      <c r="P16" s="6"/>
      <c r="Q16" s="6"/>
      <c r="R16" s="6"/>
    </row>
    <row r="17" spans="1:19" ht="12.75">
      <c r="A17" t="str">
        <f>Companies!A13</f>
        <v>Alliant Energy</v>
      </c>
      <c r="C17">
        <v>34.34</v>
      </c>
      <c r="D17">
        <f>0.288*4</f>
        <v>1.152</v>
      </c>
      <c r="E17" s="6">
        <f aca="true" t="shared" si="0" ref="E17:E29">$D17/C17</f>
        <v>0.033546884100174715</v>
      </c>
      <c r="F17" s="50">
        <f>R17</f>
        <v>0.013</v>
      </c>
      <c r="G17" s="24" t="s">
        <v>201</v>
      </c>
      <c r="H17" s="50">
        <f>F17</f>
        <v>0.013</v>
      </c>
      <c r="I17" s="6"/>
      <c r="L17" s="6"/>
      <c r="P17" s="24" t="s">
        <v>201</v>
      </c>
      <c r="Q17" s="6">
        <v>0.013</v>
      </c>
      <c r="R17" s="6">
        <f>Q17</f>
        <v>0.013</v>
      </c>
      <c r="S17" t="s">
        <v>9</v>
      </c>
    </row>
    <row r="18" spans="1:19" ht="12.75">
      <c r="A18" t="str">
        <f>Companies!A14</f>
        <v>Ameren</v>
      </c>
      <c r="C18">
        <v>50.8</v>
      </c>
      <c r="D18">
        <f>0.635*4</f>
        <v>2.54</v>
      </c>
      <c r="E18" s="6">
        <f t="shared" si="0"/>
        <v>0.05</v>
      </c>
      <c r="F18" s="50">
        <f aca="true" t="shared" si="1" ref="F18:F29">R18</f>
        <v>0.005</v>
      </c>
      <c r="G18" s="6">
        <v>0</v>
      </c>
      <c r="H18" s="6">
        <f>F18</f>
        <v>0.005</v>
      </c>
      <c r="I18" s="6"/>
      <c r="L18" s="6"/>
      <c r="P18" s="50">
        <v>0.005</v>
      </c>
      <c r="Q18" s="6">
        <v>-0.026</v>
      </c>
      <c r="R18" s="6">
        <f>P18</f>
        <v>0.005</v>
      </c>
      <c r="S18" t="s">
        <v>9</v>
      </c>
    </row>
    <row r="19" spans="1:18" ht="12.75">
      <c r="A19" t="str">
        <f>Companies!A15</f>
        <v>CH Energy Group</v>
      </c>
      <c r="C19">
        <v>47.45</v>
      </c>
      <c r="D19">
        <f>0.54*4</f>
        <v>2.16</v>
      </c>
      <c r="E19" s="6">
        <f>$D19/C19</f>
        <v>0.04552160168598525</v>
      </c>
      <c r="F19" s="24" t="str">
        <f t="shared" si="1"/>
        <v>def.</v>
      </c>
      <c r="G19" s="50">
        <v>0</v>
      </c>
      <c r="H19" s="50">
        <f>G19</f>
        <v>0</v>
      </c>
      <c r="I19" s="6"/>
      <c r="L19" s="6"/>
      <c r="P19" s="50">
        <v>-0.015</v>
      </c>
      <c r="Q19" s="6">
        <v>-0.005</v>
      </c>
      <c r="R19" s="50" t="s">
        <v>201</v>
      </c>
    </row>
    <row r="20" spans="1:18" ht="12.75">
      <c r="A20" t="str">
        <f>Companies!A16</f>
        <v>Consolidated Edison</v>
      </c>
      <c r="C20">
        <v>45.18</v>
      </c>
      <c r="D20">
        <f>0.575*4</f>
        <v>2.3</v>
      </c>
      <c r="E20" s="6">
        <f t="shared" si="0"/>
        <v>0.05090748118636564</v>
      </c>
      <c r="F20" s="50" t="str">
        <f t="shared" si="1"/>
        <v>def.</v>
      </c>
      <c r="G20" s="6">
        <v>0.01</v>
      </c>
      <c r="H20" s="6">
        <v>0.01</v>
      </c>
      <c r="I20" s="6"/>
      <c r="L20" s="6"/>
      <c r="P20" s="50">
        <v>-0.02</v>
      </c>
      <c r="Q20" s="6">
        <v>-0.03</v>
      </c>
      <c r="R20" s="50" t="s">
        <v>201</v>
      </c>
    </row>
    <row r="21" spans="1:19" ht="12.75">
      <c r="A21" t="str">
        <f>Companies!A17</f>
        <v>Empire District</v>
      </c>
      <c r="C21">
        <v>20.92</v>
      </c>
      <c r="D21">
        <f>0.32*4</f>
        <v>1.28</v>
      </c>
      <c r="E21" s="6">
        <f t="shared" si="0"/>
        <v>0.06118546845124283</v>
      </c>
      <c r="F21" s="50">
        <f t="shared" si="1"/>
        <v>0.026</v>
      </c>
      <c r="G21" s="6">
        <v>0</v>
      </c>
      <c r="H21" s="6">
        <f aca="true" t="shared" si="2" ref="H21:H28">F21*0.75+G21*0.25</f>
        <v>0.0195</v>
      </c>
      <c r="I21" s="6">
        <f>E21*(1+H21)+H21</f>
        <v>0.08187858508604207</v>
      </c>
      <c r="L21" s="6"/>
      <c r="P21" s="24">
        <v>-0.05</v>
      </c>
      <c r="Q21" s="6">
        <v>0.026</v>
      </c>
      <c r="R21" s="50">
        <f>Q21</f>
        <v>0.026</v>
      </c>
      <c r="S21" t="s">
        <v>9</v>
      </c>
    </row>
    <row r="22" spans="1:18" ht="12.75">
      <c r="A22" t="str">
        <f>Companies!A18</f>
        <v>Energy East</v>
      </c>
      <c r="C22">
        <v>23.78</v>
      </c>
      <c r="D22">
        <f>0.29*4</f>
        <v>1.16</v>
      </c>
      <c r="E22" s="6">
        <f t="shared" si="0"/>
        <v>0.048780487804878044</v>
      </c>
      <c r="F22" s="50" t="str">
        <f t="shared" si="1"/>
        <v>def.</v>
      </c>
      <c r="G22" s="6">
        <v>0.05</v>
      </c>
      <c r="H22" s="6">
        <f>G22</f>
        <v>0.05</v>
      </c>
      <c r="I22" s="6">
        <f aca="true" t="shared" si="3" ref="I22:I28">E22*(1+H22)+H22</f>
        <v>0.10121951219512196</v>
      </c>
      <c r="L22" s="6"/>
      <c r="P22" s="24">
        <v>-0.025</v>
      </c>
      <c r="Q22" s="6">
        <v>-0.031</v>
      </c>
      <c r="R22" s="50" t="s">
        <v>201</v>
      </c>
    </row>
    <row r="23" spans="1:19" ht="12.75">
      <c r="A23" t="str">
        <f>Companies!A19</f>
        <v>MGE Energy</v>
      </c>
      <c r="C23">
        <v>30.82</v>
      </c>
      <c r="D23">
        <f>0.345*4</f>
        <v>1.38</v>
      </c>
      <c r="E23" s="6">
        <f>$D23/C23</f>
        <v>0.04477611940298507</v>
      </c>
      <c r="F23" s="50">
        <f t="shared" si="1"/>
        <v>0.04</v>
      </c>
      <c r="G23" s="6">
        <v>0.01</v>
      </c>
      <c r="H23" s="6">
        <f t="shared" si="2"/>
        <v>0.0325</v>
      </c>
      <c r="I23" s="6">
        <f t="shared" si="3"/>
        <v>0.07873134328358208</v>
      </c>
      <c r="L23" s="6"/>
      <c r="P23" s="6">
        <v>0.04</v>
      </c>
      <c r="Q23" s="24" t="s">
        <v>10</v>
      </c>
      <c r="R23" s="6">
        <f>P23</f>
        <v>0.04</v>
      </c>
      <c r="S23" t="s">
        <v>9</v>
      </c>
    </row>
    <row r="24" spans="1:19" ht="12.75">
      <c r="A24" t="str">
        <f>Companies!A20</f>
        <v>NSTAR</v>
      </c>
      <c r="C24">
        <v>28.74</v>
      </c>
      <c r="D24">
        <f>0.303*4</f>
        <v>1.212</v>
      </c>
      <c r="E24" s="6">
        <f t="shared" si="0"/>
        <v>0.042171189979123176</v>
      </c>
      <c r="F24" s="50">
        <f t="shared" si="1"/>
        <v>0.0315</v>
      </c>
      <c r="G24" s="6">
        <v>0.01</v>
      </c>
      <c r="H24" s="6">
        <f t="shared" si="2"/>
        <v>0.026125</v>
      </c>
      <c r="I24" s="6"/>
      <c r="L24" s="6"/>
      <c r="P24" s="6">
        <v>0.04</v>
      </c>
      <c r="Q24" s="6">
        <v>0.023</v>
      </c>
      <c r="R24" s="6">
        <f>(P24+Q24)/2</f>
        <v>0.0315</v>
      </c>
      <c r="S24" t="s">
        <v>9</v>
      </c>
    </row>
    <row r="25" spans="1:18" ht="12.75">
      <c r="A25" t="str">
        <f>Companies!A21</f>
        <v>Progress Energy</v>
      </c>
      <c r="C25">
        <v>42.64</v>
      </c>
      <c r="D25">
        <f>0.605*4</f>
        <v>2.42</v>
      </c>
      <c r="E25" s="6">
        <f>$D25/C25</f>
        <v>0.05675422138836773</v>
      </c>
      <c r="F25" s="50">
        <f t="shared" si="1"/>
        <v>0.007999999999999998</v>
      </c>
      <c r="G25" s="6">
        <v>0.03</v>
      </c>
      <c r="H25" s="6">
        <f t="shared" si="2"/>
        <v>0.013499999999999998</v>
      </c>
      <c r="I25" s="6"/>
      <c r="L25" s="6"/>
      <c r="P25" s="6">
        <v>0.045</v>
      </c>
      <c r="Q25" s="6">
        <v>-0.029</v>
      </c>
      <c r="R25" s="6">
        <f>(P25+Q25)/2</f>
        <v>0.007999999999999998</v>
      </c>
    </row>
    <row r="26" spans="1:18" ht="12.75">
      <c r="A26" t="str">
        <f>Companies!A22</f>
        <v>SCANA</v>
      </c>
      <c r="C26">
        <v>38.94</v>
      </c>
      <c r="D26">
        <f>0.42*4</f>
        <v>1.68</v>
      </c>
      <c r="E26" s="6">
        <f t="shared" si="0"/>
        <v>0.04314329738058552</v>
      </c>
      <c r="F26" s="50">
        <f t="shared" si="1"/>
        <v>0.066</v>
      </c>
      <c r="G26" s="6">
        <v>0.02</v>
      </c>
      <c r="H26" s="6">
        <f t="shared" si="2"/>
        <v>0.0545</v>
      </c>
      <c r="I26" s="6">
        <f t="shared" si="3"/>
        <v>0.09999460708782743</v>
      </c>
      <c r="L26" s="6"/>
      <c r="P26" s="6">
        <v>0.07</v>
      </c>
      <c r="Q26" s="6">
        <v>0.062</v>
      </c>
      <c r="R26" s="6">
        <f>(P26+Q26)/2</f>
        <v>0.066</v>
      </c>
    </row>
    <row r="27" spans="1:18" ht="12.75">
      <c r="A27" t="str">
        <f>Companies!A23</f>
        <v>Southern Company</v>
      </c>
      <c r="C27">
        <v>32.71</v>
      </c>
      <c r="D27">
        <f>0.388*4</f>
        <v>1.552</v>
      </c>
      <c r="E27" s="6">
        <f t="shared" si="0"/>
        <v>0.04744726383369</v>
      </c>
      <c r="F27" s="50">
        <f t="shared" si="1"/>
        <v>0.042</v>
      </c>
      <c r="G27" s="6">
        <v>0.01</v>
      </c>
      <c r="H27" s="6">
        <f t="shared" si="2"/>
        <v>0.034</v>
      </c>
      <c r="I27" s="6">
        <f t="shared" si="3"/>
        <v>0.08306047080403547</v>
      </c>
      <c r="L27" s="6"/>
      <c r="P27" s="6">
        <v>0.02</v>
      </c>
      <c r="Q27" s="6">
        <v>0.064</v>
      </c>
      <c r="R27" s="6">
        <f>(P27+Q27)/2</f>
        <v>0.042</v>
      </c>
    </row>
    <row r="28" spans="1:18" ht="12.75">
      <c r="A28" t="str">
        <f>Companies!A24</f>
        <v>Vectren</v>
      </c>
      <c r="C28">
        <v>27.27</v>
      </c>
      <c r="D28">
        <f>0.305*4</f>
        <v>1.22</v>
      </c>
      <c r="E28" s="6">
        <f t="shared" si="0"/>
        <v>0.044737807114044736</v>
      </c>
      <c r="F28" s="50">
        <f t="shared" si="1"/>
        <v>0.041499999999999995</v>
      </c>
      <c r="G28" s="6">
        <v>0.035</v>
      </c>
      <c r="H28" s="6">
        <f t="shared" si="2"/>
        <v>0.039874999999999994</v>
      </c>
      <c r="I28" s="6">
        <f t="shared" si="3"/>
        <v>0.08639672717271726</v>
      </c>
      <c r="L28" s="6"/>
      <c r="P28" s="6">
        <v>0.04</v>
      </c>
      <c r="Q28" s="6">
        <v>0.043</v>
      </c>
      <c r="R28" s="6">
        <f>(P28+Q28)/2</f>
        <v>0.041499999999999995</v>
      </c>
    </row>
    <row r="29" spans="1:18" ht="12.75">
      <c r="A29" t="str">
        <f>Companies!A25</f>
        <v>Xcel Energy</v>
      </c>
      <c r="C29">
        <v>19.39</v>
      </c>
      <c r="D29">
        <f>0.215*4</f>
        <v>0.86</v>
      </c>
      <c r="E29" s="6">
        <f t="shared" si="0"/>
        <v>0.0443527591542032</v>
      </c>
      <c r="F29" s="24" t="str">
        <f t="shared" si="1"/>
        <v>def.</v>
      </c>
      <c r="G29" s="24" t="s">
        <v>201</v>
      </c>
      <c r="H29" s="24" t="str">
        <f>G29</f>
        <v>def.</v>
      </c>
      <c r="I29" s="6"/>
      <c r="L29" s="6"/>
      <c r="P29" s="24" t="s">
        <v>201</v>
      </c>
      <c r="Q29" s="6">
        <v>-0.143</v>
      </c>
      <c r="R29" s="6" t="s">
        <v>201</v>
      </c>
    </row>
    <row r="30" spans="5:18" ht="7.5" customHeight="1">
      <c r="E30" s="3"/>
      <c r="F30" s="11"/>
      <c r="G30" s="3"/>
      <c r="H30" s="11"/>
      <c r="I30" s="11"/>
      <c r="L30" s="6"/>
      <c r="P30" s="6"/>
      <c r="Q30" s="6"/>
      <c r="R30" s="6"/>
    </row>
    <row r="31" spans="1:18" ht="12.75">
      <c r="A31" s="5" t="s">
        <v>122</v>
      </c>
      <c r="E31" s="6">
        <f>AVERAGE(E17:E30)</f>
        <v>0.04717881396012661</v>
      </c>
      <c r="F31" s="6">
        <f>AVERAGE(F17:F30)</f>
        <v>0.030333333333333337</v>
      </c>
      <c r="G31" s="6">
        <f>AVERAGE(G17:G30)</f>
        <v>0.01590909090909091</v>
      </c>
      <c r="H31" s="6">
        <f>AVERAGE(H17:H30)</f>
        <v>0.024833333333333336</v>
      </c>
      <c r="I31" s="6">
        <f>AVERAGE(I17:I30)</f>
        <v>0.08854687427155439</v>
      </c>
      <c r="L31" s="6"/>
      <c r="P31" s="50">
        <f>AVERAGE(P16:P30)</f>
        <v>0.013636363636363636</v>
      </c>
      <c r="Q31" s="50">
        <f>AVERAGE(Q16:Q30)</f>
        <v>-0.0027500000000000003</v>
      </c>
      <c r="R31" s="50">
        <f>AVERAGE(R16:R30)</f>
        <v>0.030333333333333337</v>
      </c>
    </row>
    <row r="32" spans="1:18" ht="12.75">
      <c r="A32" s="5" t="s">
        <v>127</v>
      </c>
      <c r="E32" s="6"/>
      <c r="F32" s="6"/>
      <c r="G32" s="6"/>
      <c r="H32" s="6"/>
      <c r="I32" s="6">
        <f>STDEV(I17:I30)</f>
        <v>0.00966623839316117</v>
      </c>
      <c r="P32" s="6"/>
      <c r="Q32" s="6"/>
      <c r="R32" s="6"/>
    </row>
    <row r="33" spans="1:18" ht="12.75">
      <c r="A33" s="5" t="s">
        <v>110</v>
      </c>
      <c r="E33" s="6"/>
      <c r="F33" s="6"/>
      <c r="G33" s="6"/>
      <c r="H33" s="6"/>
      <c r="I33" s="6">
        <f>MEDIAN(I17:I30)</f>
        <v>0.08472859898837637</v>
      </c>
      <c r="P33" s="6"/>
      <c r="Q33" s="6"/>
      <c r="R33" s="6"/>
    </row>
    <row r="34" spans="1:18" ht="12.75">
      <c r="A34" s="17" t="s">
        <v>132</v>
      </c>
      <c r="E34" s="6"/>
      <c r="F34" s="6"/>
      <c r="G34" s="6"/>
      <c r="H34" s="6">
        <f>I31-I32*2</f>
        <v>0.06921439748523205</v>
      </c>
      <c r="I34" s="6">
        <f>I31+I32*2</f>
        <v>0.10787935105787673</v>
      </c>
      <c r="P34" s="6"/>
      <c r="Q34" s="6"/>
      <c r="R34" s="6"/>
    </row>
    <row r="35" spans="1:18" ht="7.5" customHeight="1">
      <c r="A35" s="5"/>
      <c r="E35" s="6"/>
      <c r="H35" s="6"/>
      <c r="P35" s="6"/>
      <c r="Q35" s="6"/>
      <c r="R35" s="6"/>
    </row>
    <row r="36" spans="1:18" ht="15.75">
      <c r="A36" s="8" t="s">
        <v>126</v>
      </c>
      <c r="B36" s="9">
        <f>I31</f>
        <v>0.08854687427155439</v>
      </c>
      <c r="C36" s="9"/>
      <c r="D36" s="4"/>
      <c r="E36" s="9"/>
      <c r="H36" s="6"/>
      <c r="P36" s="6"/>
      <c r="Q36" s="6"/>
      <c r="R36" s="6"/>
    </row>
    <row r="37" spans="8:18" ht="7.5" customHeight="1">
      <c r="H37" s="6"/>
      <c r="P37" s="6"/>
      <c r="Q37" s="6"/>
      <c r="R37" s="6"/>
    </row>
    <row r="38" spans="1:18" ht="12.75">
      <c r="A38" s="17" t="s">
        <v>135</v>
      </c>
      <c r="B38" s="33" t="s">
        <v>53</v>
      </c>
      <c r="P38" s="6"/>
      <c r="Q38" s="6"/>
      <c r="R38" s="6"/>
    </row>
    <row r="39" spans="1:18" ht="12.75">
      <c r="A39" s="17"/>
      <c r="P39" s="6"/>
      <c r="Q39" s="6"/>
      <c r="R39" s="6"/>
    </row>
    <row r="40" spans="16:18" ht="12.75">
      <c r="P40" s="6"/>
      <c r="Q40" s="6"/>
      <c r="R40" s="6"/>
    </row>
    <row r="41" spans="1:18" ht="15.75">
      <c r="A41" s="10" t="s">
        <v>130</v>
      </c>
      <c r="P41" s="6"/>
      <c r="Q41" s="6"/>
      <c r="R41" s="6"/>
    </row>
    <row r="42" spans="2:18" ht="12.75">
      <c r="B42" s="16"/>
      <c r="C42" s="16"/>
      <c r="D42" s="16"/>
      <c r="E42" s="14" t="s">
        <v>124</v>
      </c>
      <c r="F42" s="14" t="s">
        <v>117</v>
      </c>
      <c r="G42" s="14" t="s">
        <v>117</v>
      </c>
      <c r="H42" s="14"/>
      <c r="I42" s="14" t="s">
        <v>128</v>
      </c>
      <c r="P42" s="6" t="s">
        <v>41</v>
      </c>
      <c r="Q42" s="6"/>
      <c r="R42" s="6"/>
    </row>
    <row r="43" spans="3:19" ht="12.75">
      <c r="C43" s="14" t="str">
        <f>C14</f>
        <v>30 Trading Days</v>
      </c>
      <c r="D43" s="14" t="str">
        <f>D14</f>
        <v>Annualized</v>
      </c>
      <c r="E43" s="14" t="s">
        <v>125</v>
      </c>
      <c r="F43" s="14" t="s">
        <v>118</v>
      </c>
      <c r="G43" s="14" t="s">
        <v>118</v>
      </c>
      <c r="H43" s="15" t="s">
        <v>123</v>
      </c>
      <c r="I43" s="14" t="s">
        <v>133</v>
      </c>
      <c r="P43" s="6" t="s">
        <v>39</v>
      </c>
      <c r="Q43" s="6" t="s">
        <v>40</v>
      </c>
      <c r="R43" s="6"/>
      <c r="S43" t="s">
        <v>42</v>
      </c>
    </row>
    <row r="44" spans="1:19" ht="12.75">
      <c r="A44" s="2" t="s">
        <v>101</v>
      </c>
      <c r="C44" s="14" t="s">
        <v>102</v>
      </c>
      <c r="D44" s="14" t="s">
        <v>111</v>
      </c>
      <c r="E44" s="14" t="s">
        <v>121</v>
      </c>
      <c r="F44" s="14" t="s">
        <v>147</v>
      </c>
      <c r="G44" s="14" t="s">
        <v>148</v>
      </c>
      <c r="H44" s="14" t="s">
        <v>113</v>
      </c>
      <c r="I44" s="14" t="s">
        <v>134</v>
      </c>
      <c r="P44" s="6" t="s">
        <v>147</v>
      </c>
      <c r="Q44" s="6" t="s">
        <v>147</v>
      </c>
      <c r="R44" s="6" t="s">
        <v>122</v>
      </c>
      <c r="S44" t="s">
        <v>43</v>
      </c>
    </row>
    <row r="45" spans="1:18" ht="7.5" customHeight="1">
      <c r="A45" s="3"/>
      <c r="B45" s="3"/>
      <c r="C45" s="3"/>
      <c r="D45" s="3"/>
      <c r="E45" s="3"/>
      <c r="F45" s="11"/>
      <c r="G45" s="11"/>
      <c r="H45" s="11"/>
      <c r="I45" s="11"/>
      <c r="P45" s="6"/>
      <c r="Q45" s="6"/>
      <c r="R45" s="6"/>
    </row>
    <row r="46" spans="1:19" ht="12.75">
      <c r="A46" t="str">
        <f>A17</f>
        <v>Alliant Energy</v>
      </c>
      <c r="C46">
        <f>C17</f>
        <v>34.34</v>
      </c>
      <c r="D46">
        <f>D17</f>
        <v>1.152</v>
      </c>
      <c r="E46" s="6">
        <f aca="true" t="shared" si="4" ref="E46:E56">D46/C46</f>
        <v>0.033546884100174715</v>
      </c>
      <c r="F46" s="6">
        <f>R46</f>
        <v>0.045</v>
      </c>
      <c r="G46" s="6">
        <v>0.07</v>
      </c>
      <c r="H46" s="6">
        <f aca="true" t="shared" si="5" ref="H46:H58">F46*0.75+G46*0.25</f>
        <v>0.051250000000000004</v>
      </c>
      <c r="I46" s="6">
        <f aca="true" t="shared" si="6" ref="I46:I58">E46*(1+H46)+H46</f>
        <v>0.08651616191030867</v>
      </c>
      <c r="P46" s="6">
        <v>0.045</v>
      </c>
      <c r="Q46" s="6">
        <v>0.045</v>
      </c>
      <c r="R46" s="6">
        <f aca="true" t="shared" si="7" ref="R46:R58">(P46+Q46)/2</f>
        <v>0.045</v>
      </c>
      <c r="S46" s="54">
        <v>1</v>
      </c>
    </row>
    <row r="47" spans="1:19" ht="12.75">
      <c r="A47" t="str">
        <f aca="true" t="shared" si="8" ref="A47:A58">A18</f>
        <v>Ameren</v>
      </c>
      <c r="C47">
        <f aca="true" t="shared" si="9" ref="C47:D56">C18</f>
        <v>50.8</v>
      </c>
      <c r="D47">
        <f t="shared" si="9"/>
        <v>2.54</v>
      </c>
      <c r="E47" s="6">
        <f t="shared" si="4"/>
        <v>0.05</v>
      </c>
      <c r="F47" s="6">
        <f aca="true" t="shared" si="10" ref="F47:F58">R47</f>
        <v>0.0275</v>
      </c>
      <c r="G47" s="6">
        <v>0</v>
      </c>
      <c r="H47" s="6">
        <f t="shared" si="5"/>
        <v>0.020625</v>
      </c>
      <c r="I47" s="6">
        <f t="shared" si="6"/>
        <v>0.07165625</v>
      </c>
      <c r="P47" s="6">
        <v>0.015</v>
      </c>
      <c r="Q47" s="6">
        <v>0.04</v>
      </c>
      <c r="R47" s="6">
        <f t="shared" si="7"/>
        <v>0.0275</v>
      </c>
      <c r="S47" s="54">
        <v>9</v>
      </c>
    </row>
    <row r="48" spans="1:20" ht="12.75">
      <c r="A48" t="str">
        <f t="shared" si="8"/>
        <v>CH Energy Group</v>
      </c>
      <c r="C48">
        <f t="shared" si="9"/>
        <v>47.45</v>
      </c>
      <c r="D48">
        <f t="shared" si="9"/>
        <v>2.16</v>
      </c>
      <c r="E48" s="6">
        <f t="shared" si="4"/>
        <v>0.04552160168598525</v>
      </c>
      <c r="F48" s="6">
        <f t="shared" si="10"/>
        <v>0.03</v>
      </c>
      <c r="G48" s="6">
        <v>0.005</v>
      </c>
      <c r="H48" s="6">
        <f t="shared" si="5"/>
        <v>0.02375</v>
      </c>
      <c r="I48" s="6">
        <f t="shared" si="6"/>
        <v>0.0703527397260274</v>
      </c>
      <c r="P48" s="6">
        <v>0.03</v>
      </c>
      <c r="Q48" s="24" t="s">
        <v>10</v>
      </c>
      <c r="R48" s="6">
        <f>P48</f>
        <v>0.03</v>
      </c>
      <c r="S48" s="54">
        <v>1</v>
      </c>
      <c r="T48" s="33" t="s">
        <v>9</v>
      </c>
    </row>
    <row r="49" spans="1:19" ht="12.75">
      <c r="A49" t="str">
        <f t="shared" si="8"/>
        <v>Consolidated Edison</v>
      </c>
      <c r="C49">
        <f t="shared" si="9"/>
        <v>45.18</v>
      </c>
      <c r="D49">
        <f t="shared" si="9"/>
        <v>2.3</v>
      </c>
      <c r="E49" s="6">
        <f t="shared" si="4"/>
        <v>0.05090748118636564</v>
      </c>
      <c r="F49" s="6">
        <f t="shared" si="10"/>
        <v>0.035</v>
      </c>
      <c r="G49" s="6">
        <v>0.01</v>
      </c>
      <c r="H49" s="6">
        <f t="shared" si="5"/>
        <v>0.02875</v>
      </c>
      <c r="I49" s="6">
        <f t="shared" si="6"/>
        <v>0.08112107127047366</v>
      </c>
      <c r="P49" s="6">
        <v>0.03</v>
      </c>
      <c r="Q49" s="6">
        <v>0.04</v>
      </c>
      <c r="R49" s="6">
        <f t="shared" si="7"/>
        <v>0.035</v>
      </c>
      <c r="S49" s="54">
        <v>11</v>
      </c>
    </row>
    <row r="50" spans="1:19" ht="12.75">
      <c r="A50" t="str">
        <f t="shared" si="8"/>
        <v>Empire District</v>
      </c>
      <c r="C50">
        <f t="shared" si="9"/>
        <v>20.92</v>
      </c>
      <c r="D50">
        <f t="shared" si="9"/>
        <v>1.28</v>
      </c>
      <c r="E50" s="6">
        <f t="shared" si="4"/>
        <v>0.06118546845124283</v>
      </c>
      <c r="F50" s="6">
        <f t="shared" si="10"/>
        <v>0.0475</v>
      </c>
      <c r="G50" s="6">
        <v>0</v>
      </c>
      <c r="H50" s="6">
        <f t="shared" si="5"/>
        <v>0.035625000000000004</v>
      </c>
      <c r="I50" s="6">
        <f t="shared" si="6"/>
        <v>0.09899020076481836</v>
      </c>
      <c r="P50" s="6">
        <v>0.065</v>
      </c>
      <c r="Q50" s="6">
        <v>0.03</v>
      </c>
      <c r="R50" s="6">
        <f t="shared" si="7"/>
        <v>0.0475</v>
      </c>
      <c r="S50" s="54">
        <v>4</v>
      </c>
    </row>
    <row r="51" spans="1:19" ht="12.75">
      <c r="A51" t="str">
        <f t="shared" si="8"/>
        <v>Energy East</v>
      </c>
      <c r="C51">
        <f t="shared" si="9"/>
        <v>23.78</v>
      </c>
      <c r="D51">
        <f t="shared" si="9"/>
        <v>1.16</v>
      </c>
      <c r="E51" s="6">
        <f t="shared" si="4"/>
        <v>0.048780487804878044</v>
      </c>
      <c r="F51" s="6">
        <f t="shared" si="10"/>
        <v>0.04</v>
      </c>
      <c r="G51" s="6">
        <v>0.045</v>
      </c>
      <c r="H51" s="6">
        <f t="shared" si="5"/>
        <v>0.041249999999999995</v>
      </c>
      <c r="I51" s="6">
        <f t="shared" si="6"/>
        <v>0.09204268292682927</v>
      </c>
      <c r="P51" s="6">
        <v>0.04</v>
      </c>
      <c r="Q51" s="6">
        <v>0.04</v>
      </c>
      <c r="R51" s="6">
        <f t="shared" si="7"/>
        <v>0.04</v>
      </c>
      <c r="S51" s="54">
        <v>6</v>
      </c>
    </row>
    <row r="52" spans="1:20" ht="12.75">
      <c r="A52" t="str">
        <f t="shared" si="8"/>
        <v>MGE Energy</v>
      </c>
      <c r="C52">
        <f t="shared" si="9"/>
        <v>30.82</v>
      </c>
      <c r="D52">
        <f t="shared" si="9"/>
        <v>1.38</v>
      </c>
      <c r="E52" s="6">
        <f t="shared" si="4"/>
        <v>0.04477611940298507</v>
      </c>
      <c r="F52" s="6">
        <f t="shared" si="10"/>
        <v>0.06</v>
      </c>
      <c r="G52" s="6">
        <v>0.005</v>
      </c>
      <c r="H52" s="6">
        <f t="shared" si="5"/>
        <v>0.04625</v>
      </c>
      <c r="I52" s="6">
        <f t="shared" si="6"/>
        <v>0.09309701492537312</v>
      </c>
      <c r="P52" s="6">
        <v>0.06</v>
      </c>
      <c r="Q52" s="24" t="s">
        <v>10</v>
      </c>
      <c r="R52" s="6">
        <f>P52</f>
        <v>0.06</v>
      </c>
      <c r="S52" s="54">
        <v>0</v>
      </c>
      <c r="T52" t="s">
        <v>9</v>
      </c>
    </row>
    <row r="53" spans="1:19" ht="12.75">
      <c r="A53" t="str">
        <f t="shared" si="8"/>
        <v>NSTAR</v>
      </c>
      <c r="C53">
        <f t="shared" si="9"/>
        <v>28.74</v>
      </c>
      <c r="D53">
        <f t="shared" si="9"/>
        <v>1.212</v>
      </c>
      <c r="E53" s="6">
        <f t="shared" si="4"/>
        <v>0.042171189979123176</v>
      </c>
      <c r="F53" s="6">
        <f t="shared" si="10"/>
        <v>0.055</v>
      </c>
      <c r="G53" s="6">
        <v>0.065</v>
      </c>
      <c r="H53" s="6">
        <f t="shared" si="5"/>
        <v>0.0575</v>
      </c>
      <c r="I53" s="6">
        <f t="shared" si="6"/>
        <v>0.10209603340292277</v>
      </c>
      <c r="P53" s="6">
        <v>0.06</v>
      </c>
      <c r="Q53" s="6">
        <v>0.05</v>
      </c>
      <c r="R53" s="6">
        <f t="shared" si="7"/>
        <v>0.055</v>
      </c>
      <c r="S53" s="54">
        <v>7</v>
      </c>
    </row>
    <row r="54" spans="1:19" ht="12.75">
      <c r="A54" t="str">
        <f t="shared" si="8"/>
        <v>Progress Energy</v>
      </c>
      <c r="C54">
        <f t="shared" si="9"/>
        <v>42.64</v>
      </c>
      <c r="D54">
        <f t="shared" si="9"/>
        <v>2.42</v>
      </c>
      <c r="E54" s="6">
        <f t="shared" si="4"/>
        <v>0.05675422138836773</v>
      </c>
      <c r="F54" s="6">
        <f t="shared" si="10"/>
        <v>0.025</v>
      </c>
      <c r="G54" s="6">
        <v>0.02</v>
      </c>
      <c r="H54" s="6">
        <f t="shared" si="5"/>
        <v>0.023750000000000004</v>
      </c>
      <c r="I54" s="6">
        <f t="shared" si="6"/>
        <v>0.08185213414634146</v>
      </c>
      <c r="P54" s="6">
        <v>0.015</v>
      </c>
      <c r="Q54" s="6">
        <v>0.035</v>
      </c>
      <c r="R54" s="6">
        <f t="shared" si="7"/>
        <v>0.025</v>
      </c>
      <c r="S54" s="54">
        <v>15</v>
      </c>
    </row>
    <row r="55" spans="1:19" ht="12.75">
      <c r="A55" t="str">
        <f t="shared" si="8"/>
        <v>SCANA</v>
      </c>
      <c r="C55">
        <f t="shared" si="9"/>
        <v>38.94</v>
      </c>
      <c r="D55">
        <f t="shared" si="9"/>
        <v>1.68</v>
      </c>
      <c r="E55" s="6">
        <f t="shared" si="4"/>
        <v>0.04314329738058552</v>
      </c>
      <c r="F55" s="6">
        <f t="shared" si="10"/>
        <v>0.0475</v>
      </c>
      <c r="G55" s="6">
        <v>0.06</v>
      </c>
      <c r="H55" s="6">
        <f t="shared" si="5"/>
        <v>0.050625</v>
      </c>
      <c r="I55" s="6">
        <f t="shared" si="6"/>
        <v>0.09595242681047766</v>
      </c>
      <c r="P55" s="6">
        <v>0.045</v>
      </c>
      <c r="Q55" s="6">
        <v>0.05</v>
      </c>
      <c r="R55" s="6">
        <f t="shared" si="7"/>
        <v>0.0475</v>
      </c>
      <c r="S55" s="54">
        <v>6</v>
      </c>
    </row>
    <row r="56" spans="1:19" ht="12.75">
      <c r="A56" t="str">
        <f t="shared" si="8"/>
        <v>Southern Company</v>
      </c>
      <c r="C56">
        <f t="shared" si="9"/>
        <v>32.71</v>
      </c>
      <c r="D56">
        <f t="shared" si="9"/>
        <v>1.552</v>
      </c>
      <c r="E56" s="6">
        <f t="shared" si="4"/>
        <v>0.04744726383369</v>
      </c>
      <c r="F56" s="6">
        <f t="shared" si="10"/>
        <v>0.05</v>
      </c>
      <c r="G56" s="6">
        <v>0.045</v>
      </c>
      <c r="H56" s="6">
        <f t="shared" si="5"/>
        <v>0.04875</v>
      </c>
      <c r="I56" s="6">
        <f t="shared" si="6"/>
        <v>0.0985103179455824</v>
      </c>
      <c r="P56" s="6">
        <v>0.05</v>
      </c>
      <c r="Q56" s="6">
        <v>0.05</v>
      </c>
      <c r="R56" s="6">
        <f t="shared" si="7"/>
        <v>0.05</v>
      </c>
      <c r="S56" s="54">
        <v>18</v>
      </c>
    </row>
    <row r="57" spans="1:19" ht="12.75">
      <c r="A57" t="str">
        <f t="shared" si="8"/>
        <v>Vectren</v>
      </c>
      <c r="C57">
        <f>C28</f>
        <v>27.27</v>
      </c>
      <c r="D57">
        <f>D28</f>
        <v>1.22</v>
      </c>
      <c r="E57" s="6">
        <f>D57/C57</f>
        <v>0.044737807114044736</v>
      </c>
      <c r="F57" s="6">
        <f t="shared" si="10"/>
        <v>0.037500000000000006</v>
      </c>
      <c r="G57" s="6">
        <v>0.03</v>
      </c>
      <c r="H57" s="6">
        <f t="shared" si="5"/>
        <v>0.035625000000000004</v>
      </c>
      <c r="I57" s="6">
        <f t="shared" si="6"/>
        <v>0.08195659149248258</v>
      </c>
      <c r="P57" s="6">
        <v>0.04</v>
      </c>
      <c r="Q57" s="6">
        <v>0.035</v>
      </c>
      <c r="R57" s="6">
        <f t="shared" si="7"/>
        <v>0.037500000000000006</v>
      </c>
      <c r="S57" s="54">
        <v>6</v>
      </c>
    </row>
    <row r="58" spans="1:19" ht="12.75">
      <c r="A58" t="str">
        <f t="shared" si="8"/>
        <v>Xcel Energy</v>
      </c>
      <c r="C58">
        <v>19.36</v>
      </c>
      <c r="D58">
        <f>D29</f>
        <v>0.86</v>
      </c>
      <c r="E58" s="6">
        <f>D58/C58</f>
        <v>0.04442148760330578</v>
      </c>
      <c r="F58" s="6">
        <f t="shared" si="10"/>
        <v>0.06</v>
      </c>
      <c r="G58" s="6">
        <v>0.025</v>
      </c>
      <c r="H58" s="6">
        <f t="shared" si="5"/>
        <v>0.05125</v>
      </c>
      <c r="I58" s="6">
        <f t="shared" si="6"/>
        <v>0.0979480888429752</v>
      </c>
      <c r="P58" s="6">
        <v>0.075</v>
      </c>
      <c r="Q58" s="6">
        <v>0.045</v>
      </c>
      <c r="R58" s="6">
        <f t="shared" si="7"/>
        <v>0.06</v>
      </c>
      <c r="S58" s="54">
        <v>11</v>
      </c>
    </row>
    <row r="59" spans="5:19" ht="7.5" customHeight="1">
      <c r="E59" s="3"/>
      <c r="F59" s="11"/>
      <c r="G59" s="11"/>
      <c r="H59" s="11"/>
      <c r="I59" s="11"/>
      <c r="P59" s="6"/>
      <c r="Q59" s="6"/>
      <c r="R59" s="6"/>
      <c r="S59" s="54"/>
    </row>
    <row r="60" spans="1:19" ht="12.75">
      <c r="A60" s="5" t="s">
        <v>122</v>
      </c>
      <c r="D60" s="6"/>
      <c r="E60" s="6">
        <f>AVERAGE(E46:E59)</f>
        <v>0.04718410076390373</v>
      </c>
      <c r="F60" s="6">
        <f>AVERAGE(F46:F59)</f>
        <v>0.04307692307692308</v>
      </c>
      <c r="G60" s="6">
        <f>AVERAGE(G46:G59)</f>
        <v>0.02923076923076923</v>
      </c>
      <c r="H60" s="6">
        <f>AVERAGE(H46:H59)</f>
        <v>0.039615384615384615</v>
      </c>
      <c r="I60" s="6">
        <f>AVERAGE(I46:I59)</f>
        <v>0.08862243955112405</v>
      </c>
      <c r="P60" s="50">
        <f>AVERAGE(P45:P59)</f>
        <v>0.04384615384615384</v>
      </c>
      <c r="Q60" s="50">
        <f>AVERAGE(Q45:Q59)</f>
        <v>0.04181818181818182</v>
      </c>
      <c r="R60" s="50">
        <f>AVERAGE(R45:R59)</f>
        <v>0.04307692307692308</v>
      </c>
      <c r="S60" s="54"/>
    </row>
    <row r="61" spans="1:19" ht="12.75">
      <c r="A61" s="5" t="s">
        <v>127</v>
      </c>
      <c r="D61" s="6"/>
      <c r="E61" s="6"/>
      <c r="F61" s="6"/>
      <c r="G61" s="6"/>
      <c r="H61" s="6"/>
      <c r="I61" s="6">
        <f>STDEV(I46:I59)</f>
        <v>0.010534964393460146</v>
      </c>
      <c r="P61" s="6"/>
      <c r="Q61" s="6"/>
      <c r="R61" s="6"/>
      <c r="S61" s="54"/>
    </row>
    <row r="62" spans="1:19" ht="12.75">
      <c r="A62" s="5" t="s">
        <v>110</v>
      </c>
      <c r="D62" s="6"/>
      <c r="E62" s="6"/>
      <c r="F62" s="6"/>
      <c r="G62" s="6"/>
      <c r="H62" s="6"/>
      <c r="I62" s="6">
        <f>MEDIAN(I46:I59)</f>
        <v>0.09204268292682927</v>
      </c>
      <c r="P62" s="6"/>
      <c r="Q62" s="6"/>
      <c r="R62" s="6"/>
      <c r="S62" s="54"/>
    </row>
    <row r="63" spans="1:18" ht="12.75">
      <c r="A63" s="17" t="s">
        <v>132</v>
      </c>
      <c r="D63" s="6"/>
      <c r="E63" s="6"/>
      <c r="F63" s="6"/>
      <c r="G63" s="6"/>
      <c r="H63" s="6">
        <f>I60-I61*2</f>
        <v>0.06755251076420375</v>
      </c>
      <c r="I63" s="6">
        <f>I60+I61*2</f>
        <v>0.10969236833804434</v>
      </c>
      <c r="P63" s="6"/>
      <c r="Q63" s="6"/>
      <c r="R63" s="6"/>
    </row>
    <row r="64" spans="1:8" ht="12.75">
      <c r="A64" s="5"/>
      <c r="D64" s="6"/>
      <c r="F64" s="6"/>
      <c r="G64" s="6"/>
      <c r="H64" s="6"/>
    </row>
    <row r="65" spans="1:8" ht="15.75">
      <c r="A65" s="8" t="s">
        <v>126</v>
      </c>
      <c r="B65" s="9">
        <f>I60</f>
        <v>0.08862243955112405</v>
      </c>
      <c r="C65" s="9"/>
      <c r="D65" s="4"/>
      <c r="E65" s="9"/>
      <c r="F65" s="6"/>
      <c r="G65" s="6"/>
      <c r="H65" s="6"/>
    </row>
    <row r="66" ht="12.75">
      <c r="H66" s="6"/>
    </row>
    <row r="67" spans="1:2" ht="12.75">
      <c r="A67" s="17" t="s">
        <v>135</v>
      </c>
      <c r="B67" s="33" t="s">
        <v>53</v>
      </c>
    </row>
  </sheetData>
  <printOptions horizontalCentered="1"/>
  <pageMargins left="0.75" right="0.75" top="0.41" bottom="0.58" header="0.31" footer="0.5"/>
  <pageSetup fitToHeight="1" fitToWidth="1" horizontalDpi="600" verticalDpi="600" orientation="portrait" scale="48" r:id="rId1"/>
  <rowBreaks count="1" manualBreakCount="1">
    <brk id="4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workbookViewId="0" topLeftCell="A1">
      <selection activeCell="A6" sqref="A6"/>
    </sheetView>
  </sheetViews>
  <sheetFormatPr defaultColWidth="9.33203125" defaultRowHeight="12.75"/>
  <cols>
    <col min="1" max="1" width="23.5" style="0" customWidth="1"/>
    <col min="2" max="3" width="12.83203125" style="0" customWidth="1"/>
    <col min="4" max="4" width="13.5" style="0" customWidth="1"/>
    <col min="5" max="5" width="12.5" style="0" customWidth="1"/>
    <col min="6" max="6" width="13.33203125" style="0" customWidth="1"/>
    <col min="7" max="7" width="12" style="0" customWidth="1"/>
    <col min="8" max="8" width="13" style="0" customWidth="1"/>
    <col min="9" max="9" width="12.16015625" style="0" customWidth="1"/>
    <col min="10" max="10" width="11.66015625" style="0" customWidth="1"/>
    <col min="11" max="11" width="11.83203125" style="0" customWidth="1"/>
    <col min="12" max="12" width="11.16015625" style="0" customWidth="1"/>
    <col min="13" max="13" width="10.66015625" style="0" customWidth="1"/>
    <col min="14" max="14" width="10.66015625" style="6" customWidth="1"/>
    <col min="15" max="15" width="11.83203125" style="0" customWidth="1"/>
    <col min="16" max="16" width="11" style="0" customWidth="1"/>
    <col min="17" max="17" width="11.66015625" style="0" customWidth="1"/>
    <col min="18" max="18" width="10.83203125" style="0" customWidth="1"/>
    <col min="19" max="20" width="11.5" style="0" customWidth="1"/>
    <col min="21" max="21" width="11" style="0" customWidth="1"/>
    <col min="22" max="22" width="11.5" style="0" customWidth="1"/>
    <col min="23" max="23" width="12.16015625" style="0" customWidth="1"/>
    <col min="24" max="25" width="10.33203125" style="0" customWidth="1"/>
  </cols>
  <sheetData>
    <row r="2" spans="1:8" ht="12.75">
      <c r="A2" t="str">
        <f>Companies!A2</f>
        <v>CEP/06-035-21/August 17, 2006</v>
      </c>
      <c r="H2" s="56" t="s">
        <v>16</v>
      </c>
    </row>
    <row r="3" spans="1:11" ht="18.75">
      <c r="A3" s="28" t="str">
        <f>'DCF '!A3</f>
        <v>PacifiCorp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5" ht="18.75">
      <c r="A4" s="28" t="s">
        <v>171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6"/>
      <c r="M4" s="46"/>
      <c r="N4" s="58"/>
      <c r="O4" s="46"/>
    </row>
    <row r="5" spans="1:15" ht="15.75">
      <c r="A5" s="30" t="s">
        <v>160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46"/>
      <c r="M5" s="46"/>
      <c r="N5" s="58"/>
      <c r="O5" s="46"/>
    </row>
    <row r="6" spans="1:15" ht="15.75">
      <c r="A6" s="47" t="str">
        <f>'DCF '!A6</f>
        <v>As of July 31, 2006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46"/>
      <c r="M6" s="46"/>
      <c r="N6" s="58"/>
      <c r="O6" s="46"/>
    </row>
    <row r="7" spans="1:15" ht="15.75">
      <c r="A7" s="30" t="str">
        <f>Companies!A6</f>
        <v>Hadaway Guideline Company List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46"/>
      <c r="M7" s="46"/>
      <c r="N7" s="58"/>
      <c r="O7" s="46"/>
    </row>
    <row r="8" ht="12.75">
      <c r="A8" s="5"/>
    </row>
    <row r="9" ht="12.75">
      <c r="A9" s="5"/>
    </row>
    <row r="10" ht="15.75">
      <c r="A10" s="10" t="s">
        <v>131</v>
      </c>
    </row>
    <row r="11" spans="2:9" ht="12.75">
      <c r="B11" s="16"/>
      <c r="C11" s="16"/>
      <c r="D11" s="14" t="s">
        <v>48</v>
      </c>
      <c r="E11" s="14" t="s">
        <v>124</v>
      </c>
      <c r="F11" s="14" t="s">
        <v>115</v>
      </c>
      <c r="G11" s="14" t="s">
        <v>115</v>
      </c>
      <c r="H11" s="14"/>
      <c r="I11" s="14" t="s">
        <v>128</v>
      </c>
    </row>
    <row r="12" spans="3:19" ht="12.75">
      <c r="C12" s="14" t="s">
        <v>207</v>
      </c>
      <c r="D12" s="49" t="s">
        <v>49</v>
      </c>
      <c r="E12" s="14" t="s">
        <v>125</v>
      </c>
      <c r="F12" s="14" t="s">
        <v>114</v>
      </c>
      <c r="G12" s="14" t="s">
        <v>114</v>
      </c>
      <c r="H12" s="15" t="s">
        <v>123</v>
      </c>
      <c r="I12" s="14" t="s">
        <v>133</v>
      </c>
      <c r="S12" t="s">
        <v>162</v>
      </c>
    </row>
    <row r="13" spans="1:20" ht="12.75">
      <c r="A13" s="2" t="s">
        <v>101</v>
      </c>
      <c r="C13" s="14" t="s">
        <v>102</v>
      </c>
      <c r="D13" s="14" t="s">
        <v>111</v>
      </c>
      <c r="E13" s="14" t="s">
        <v>121</v>
      </c>
      <c r="F13" s="14" t="s">
        <v>108</v>
      </c>
      <c r="G13" s="14" t="s">
        <v>111</v>
      </c>
      <c r="H13" s="14" t="s">
        <v>113</v>
      </c>
      <c r="I13" s="14" t="s">
        <v>134</v>
      </c>
      <c r="M13" s="2"/>
      <c r="N13" s="7"/>
      <c r="P13" t="s">
        <v>146</v>
      </c>
      <c r="S13" s="2" t="s">
        <v>142</v>
      </c>
      <c r="T13" s="2" t="s">
        <v>138</v>
      </c>
    </row>
    <row r="14" spans="1:12" ht="7.5" customHeight="1">
      <c r="A14" s="3"/>
      <c r="B14" s="3"/>
      <c r="C14" s="3"/>
      <c r="D14" s="3"/>
      <c r="E14" s="3"/>
      <c r="F14" s="3"/>
      <c r="G14" s="3"/>
      <c r="H14" s="11"/>
      <c r="I14" s="11"/>
      <c r="L14" s="6"/>
    </row>
    <row r="15" spans="1:20" ht="12.75">
      <c r="A15" t="str">
        <f>Companies!A13</f>
        <v>Alliant Energy</v>
      </c>
      <c r="C15">
        <f>'DCF '!C17</f>
        <v>34.34</v>
      </c>
      <c r="D15">
        <f>'DCF '!D17</f>
        <v>1.152</v>
      </c>
      <c r="E15" s="6">
        <f aca="true" t="shared" si="0" ref="E15:E27">$D15/C15</f>
        <v>0.033546884100174715</v>
      </c>
      <c r="F15" s="50">
        <f>'DCF '!F17</f>
        <v>0.013</v>
      </c>
      <c r="G15" s="24" t="str">
        <f>'DCF '!G17</f>
        <v>def.</v>
      </c>
      <c r="H15" s="24" t="str">
        <f>G15</f>
        <v>def.</v>
      </c>
      <c r="I15" s="6"/>
      <c r="L15" s="6"/>
      <c r="S15">
        <v>5</v>
      </c>
      <c r="T15">
        <v>16</v>
      </c>
    </row>
    <row r="16" spans="1:20" ht="12.75">
      <c r="A16" t="str">
        <f>Companies!A14</f>
        <v>Ameren</v>
      </c>
      <c r="C16">
        <f>'DCF '!C18</f>
        <v>50.8</v>
      </c>
      <c r="D16">
        <f>'DCF '!D18</f>
        <v>2.54</v>
      </c>
      <c r="E16" s="6">
        <f t="shared" si="0"/>
        <v>0.05</v>
      </c>
      <c r="F16" s="50">
        <f>'DCF '!F18</f>
        <v>0.005</v>
      </c>
      <c r="G16" s="50">
        <f>'DCF '!G18</f>
        <v>0</v>
      </c>
      <c r="H16" s="6">
        <f>F16</f>
        <v>0.005</v>
      </c>
      <c r="I16" s="6"/>
      <c r="L16" s="6"/>
      <c r="S16">
        <v>6</v>
      </c>
      <c r="T16">
        <v>18</v>
      </c>
    </row>
    <row r="17" spans="1:12" ht="12.75">
      <c r="A17" t="str">
        <f>Companies!A15</f>
        <v>CH Energy Group</v>
      </c>
      <c r="C17">
        <f>'DCF '!C19</f>
        <v>47.45</v>
      </c>
      <c r="D17">
        <f>'DCF '!D19</f>
        <v>2.16</v>
      </c>
      <c r="E17" s="6">
        <f t="shared" si="0"/>
        <v>0.04552160168598525</v>
      </c>
      <c r="F17" s="24" t="str">
        <f>'DCF '!F19</f>
        <v>def.</v>
      </c>
      <c r="G17" s="50">
        <f>'DCF '!G19</f>
        <v>0</v>
      </c>
      <c r="H17" s="50">
        <f>G17</f>
        <v>0</v>
      </c>
      <c r="I17" s="6"/>
      <c r="L17" s="6"/>
    </row>
    <row r="18" spans="1:12" ht="12.75">
      <c r="A18" t="str">
        <f>Companies!A16</f>
        <v>Consolidated Edison</v>
      </c>
      <c r="C18">
        <f>'DCF '!C20</f>
        <v>45.18</v>
      </c>
      <c r="D18">
        <f>'DCF '!D20</f>
        <v>2.3</v>
      </c>
      <c r="E18" s="6">
        <f t="shared" si="0"/>
        <v>0.05090748118636564</v>
      </c>
      <c r="F18" s="24" t="str">
        <f>'DCF '!F20</f>
        <v>def.</v>
      </c>
      <c r="G18" s="50">
        <f>'DCF '!G20</f>
        <v>0.01</v>
      </c>
      <c r="H18" s="50">
        <f>G18</f>
        <v>0.01</v>
      </c>
      <c r="I18" s="6"/>
      <c r="L18" s="6"/>
    </row>
    <row r="19" spans="1:20" ht="12.75">
      <c r="A19" t="str">
        <f>Companies!A17</f>
        <v>Empire District</v>
      </c>
      <c r="C19">
        <f>'DCF '!C21</f>
        <v>20.92</v>
      </c>
      <c r="D19">
        <f>'DCF '!D21</f>
        <v>1.28</v>
      </c>
      <c r="E19" s="6">
        <f t="shared" si="0"/>
        <v>0.06118546845124283</v>
      </c>
      <c r="F19" s="50">
        <f>'DCF '!F21</f>
        <v>0.026</v>
      </c>
      <c r="G19" s="50">
        <v>0</v>
      </c>
      <c r="H19" s="6">
        <f aca="true" t="shared" si="1" ref="H19:H26">F19*0.75+G19*0.25</f>
        <v>0.0195</v>
      </c>
      <c r="I19" s="6">
        <f>E19*(1+H19)+H19</f>
        <v>0.08187858508604207</v>
      </c>
      <c r="L19" s="6"/>
      <c r="N19" s="6">
        <f>I19</f>
        <v>0.08187858508604207</v>
      </c>
      <c r="S19">
        <v>7</v>
      </c>
      <c r="T19">
        <v>17</v>
      </c>
    </row>
    <row r="20" spans="1:20" ht="12.75">
      <c r="A20" t="str">
        <f>Companies!A18</f>
        <v>Energy East</v>
      </c>
      <c r="C20">
        <f>'DCF '!C22</f>
        <v>23.78</v>
      </c>
      <c r="D20">
        <f>'DCF '!D22</f>
        <v>1.16</v>
      </c>
      <c r="E20" s="6">
        <f t="shared" si="0"/>
        <v>0.048780487804878044</v>
      </c>
      <c r="F20" s="24" t="str">
        <f>'DCF '!F22</f>
        <v>def.</v>
      </c>
      <c r="G20" s="50">
        <f>'DCF '!G22</f>
        <v>0.05</v>
      </c>
      <c r="H20" s="6">
        <f>G20</f>
        <v>0.05</v>
      </c>
      <c r="I20" s="6">
        <f>E20*(1+H20)+H20</f>
        <v>0.10121951219512196</v>
      </c>
      <c r="L20" s="6"/>
      <c r="N20" s="6">
        <f>I20</f>
        <v>0.10121951219512196</v>
      </c>
      <c r="S20">
        <v>7</v>
      </c>
      <c r="T20">
        <v>17</v>
      </c>
    </row>
    <row r="21" spans="1:14" ht="12.75">
      <c r="A21" t="str">
        <f>Companies!A19</f>
        <v>MGE Energy</v>
      </c>
      <c r="C21">
        <f>'DCF '!C23</f>
        <v>30.82</v>
      </c>
      <c r="D21">
        <f>'DCF '!D23</f>
        <v>1.38</v>
      </c>
      <c r="E21" s="6">
        <f t="shared" si="0"/>
        <v>0.04477611940298507</v>
      </c>
      <c r="F21" s="50">
        <f>'DCF '!F23</f>
        <v>0.04</v>
      </c>
      <c r="G21" s="50">
        <f>'DCF '!G23</f>
        <v>0.01</v>
      </c>
      <c r="H21" s="6">
        <f t="shared" si="1"/>
        <v>0.0325</v>
      </c>
      <c r="I21" s="6">
        <f aca="true" t="shared" si="2" ref="I21:I26">E21*(1+H21)+H21</f>
        <v>0.07873134328358208</v>
      </c>
      <c r="L21" s="6"/>
      <c r="N21" s="6">
        <f>I21</f>
        <v>0.07873134328358208</v>
      </c>
    </row>
    <row r="22" spans="1:20" ht="12.75">
      <c r="A22" t="str">
        <f>Companies!A20</f>
        <v>NSTAR</v>
      </c>
      <c r="C22">
        <f>'DCF '!C24</f>
        <v>28.74</v>
      </c>
      <c r="D22">
        <f>'DCF '!D24</f>
        <v>1.212</v>
      </c>
      <c r="E22" s="6">
        <f t="shared" si="0"/>
        <v>0.042171189979123176</v>
      </c>
      <c r="F22" s="50">
        <f>'DCF '!F24</f>
        <v>0.0315</v>
      </c>
      <c r="G22" s="50">
        <f>'DCF '!G24</f>
        <v>0.01</v>
      </c>
      <c r="H22" s="6">
        <f t="shared" si="1"/>
        <v>0.026125</v>
      </c>
      <c r="I22" s="6"/>
      <c r="L22" s="6"/>
      <c r="S22">
        <v>2</v>
      </c>
      <c r="T22">
        <v>9</v>
      </c>
    </row>
    <row r="23" spans="1:20" ht="12.75">
      <c r="A23" t="str">
        <f>Companies!A21</f>
        <v>Progress Energy</v>
      </c>
      <c r="C23">
        <f>'DCF '!C25</f>
        <v>42.64</v>
      </c>
      <c r="D23">
        <f>'DCF '!D25</f>
        <v>2.42</v>
      </c>
      <c r="E23" s="6">
        <f t="shared" si="0"/>
        <v>0.05675422138836773</v>
      </c>
      <c r="F23" s="50">
        <f>'DCF '!F25</f>
        <v>0.007999999999999998</v>
      </c>
      <c r="G23" s="50">
        <f>'DCF '!G25</f>
        <v>0.03</v>
      </c>
      <c r="H23" s="6">
        <f t="shared" si="1"/>
        <v>0.013499999999999998</v>
      </c>
      <c r="I23" s="6"/>
      <c r="L23" s="6"/>
      <c r="S23">
        <v>6</v>
      </c>
      <c r="T23">
        <v>16</v>
      </c>
    </row>
    <row r="24" spans="1:20" ht="12.75">
      <c r="A24" t="str">
        <f>Companies!A22</f>
        <v>SCANA</v>
      </c>
      <c r="C24">
        <f>'DCF '!C26</f>
        <v>38.94</v>
      </c>
      <c r="D24">
        <f>'DCF '!D26</f>
        <v>1.68</v>
      </c>
      <c r="E24" s="6">
        <f t="shared" si="0"/>
        <v>0.04314329738058552</v>
      </c>
      <c r="F24" s="50">
        <f>'DCF '!F26</f>
        <v>0.066</v>
      </c>
      <c r="G24" s="50">
        <f>'DCF '!G26</f>
        <v>0.02</v>
      </c>
      <c r="H24" s="6">
        <f t="shared" si="1"/>
        <v>0.0545</v>
      </c>
      <c r="I24" s="6">
        <f t="shared" si="2"/>
        <v>0.09999460708782743</v>
      </c>
      <c r="L24" s="6"/>
      <c r="N24" s="6">
        <f>I24</f>
        <v>0.09999460708782743</v>
      </c>
      <c r="S24">
        <v>4</v>
      </c>
      <c r="T24">
        <v>10</v>
      </c>
    </row>
    <row r="25" spans="1:14" ht="12.75">
      <c r="A25" t="str">
        <f>Companies!A23</f>
        <v>Southern Company</v>
      </c>
      <c r="C25">
        <f>'DCF '!C27</f>
        <v>32.71</v>
      </c>
      <c r="D25">
        <f>'DCF '!D27</f>
        <v>1.552</v>
      </c>
      <c r="E25" s="6">
        <f t="shared" si="0"/>
        <v>0.04744726383369</v>
      </c>
      <c r="F25" s="50">
        <f>'DCF '!F27</f>
        <v>0.042</v>
      </c>
      <c r="G25" s="50">
        <f>'DCF '!G27</f>
        <v>0.01</v>
      </c>
      <c r="H25" s="6">
        <f t="shared" si="1"/>
        <v>0.034</v>
      </c>
      <c r="I25" s="6">
        <f t="shared" si="2"/>
        <v>0.08306047080403547</v>
      </c>
      <c r="L25" s="6"/>
      <c r="N25" s="6">
        <f>I25</f>
        <v>0.08306047080403547</v>
      </c>
    </row>
    <row r="26" spans="1:14" ht="12.75">
      <c r="A26" t="str">
        <f>Companies!A24</f>
        <v>Vectren</v>
      </c>
      <c r="C26">
        <f>'DCF '!C28</f>
        <v>27.27</v>
      </c>
      <c r="D26">
        <f>'DCF '!D28</f>
        <v>1.22</v>
      </c>
      <c r="E26" s="6">
        <f t="shared" si="0"/>
        <v>0.044737807114044736</v>
      </c>
      <c r="F26" s="50">
        <f>'DCF '!F28</f>
        <v>0.041499999999999995</v>
      </c>
      <c r="G26" s="50">
        <f>'DCF '!G28</f>
        <v>0.035</v>
      </c>
      <c r="H26" s="6">
        <f t="shared" si="1"/>
        <v>0.039874999999999994</v>
      </c>
      <c r="I26" s="6">
        <f t="shared" si="2"/>
        <v>0.08639672717271726</v>
      </c>
      <c r="L26" s="6"/>
      <c r="N26" s="6">
        <f>I26</f>
        <v>0.08639672717271726</v>
      </c>
    </row>
    <row r="27" spans="1:20" ht="12.75">
      <c r="A27" t="str">
        <f>Companies!A25</f>
        <v>Xcel Energy</v>
      </c>
      <c r="C27">
        <f>'DCF '!C29</f>
        <v>19.39</v>
      </c>
      <c r="D27">
        <f>'DCF '!D29</f>
        <v>0.86</v>
      </c>
      <c r="E27" s="6">
        <f t="shared" si="0"/>
        <v>0.0443527591542032</v>
      </c>
      <c r="F27" s="24" t="str">
        <f>'DCF '!F29</f>
        <v>def.</v>
      </c>
      <c r="G27" s="24" t="str">
        <f>'DCF '!G29</f>
        <v>def.</v>
      </c>
      <c r="H27" s="24" t="str">
        <f>G27</f>
        <v>def.</v>
      </c>
      <c r="I27" s="6"/>
      <c r="L27" s="6"/>
      <c r="S27">
        <v>7</v>
      </c>
      <c r="T27">
        <v>18</v>
      </c>
    </row>
    <row r="28" spans="5:12" ht="7.5" customHeight="1">
      <c r="E28" s="3"/>
      <c r="F28" s="11"/>
      <c r="G28" s="3"/>
      <c r="H28" s="11"/>
      <c r="I28" s="11"/>
      <c r="L28" s="6"/>
    </row>
    <row r="29" spans="1:20" ht="12.75">
      <c r="A29" s="5" t="s">
        <v>122</v>
      </c>
      <c r="E29" s="6">
        <f>AVERAGE(E15:E28)</f>
        <v>0.04717881396012661</v>
      </c>
      <c r="F29" s="6">
        <f>AVERAGE(F15:F28)</f>
        <v>0.030333333333333337</v>
      </c>
      <c r="G29" s="6">
        <f>AVERAGE(G15:G28)</f>
        <v>0.01590909090909091</v>
      </c>
      <c r="H29" s="6">
        <f>AVERAGE(H15:H28)</f>
        <v>0.025909090909090913</v>
      </c>
      <c r="I29" s="6">
        <f>AVERAGE(I15:I28)</f>
        <v>0.08854687427155439</v>
      </c>
      <c r="L29" s="6"/>
      <c r="S29">
        <f>AVERAGE(S14:S28)</f>
        <v>5.5</v>
      </c>
      <c r="T29">
        <f>AVERAGE(T14:T28)</f>
        <v>15.125</v>
      </c>
    </row>
    <row r="30" spans="1:20" ht="12.75">
      <c r="A30" s="5" t="s">
        <v>127</v>
      </c>
      <c r="E30" s="6"/>
      <c r="F30" s="6"/>
      <c r="G30" s="6"/>
      <c r="H30" s="6"/>
      <c r="I30" s="6">
        <f>STDEV(I15:I28)</f>
        <v>0.00966623839316117</v>
      </c>
      <c r="S30">
        <f>MEDIAN(S14:S28)</f>
        <v>6</v>
      </c>
      <c r="T30">
        <f>MEDIAN(T14:T28)</f>
        <v>16.5</v>
      </c>
    </row>
    <row r="31" spans="1:9" ht="12.75">
      <c r="A31" s="5" t="s">
        <v>110</v>
      </c>
      <c r="E31" s="6"/>
      <c r="F31" s="6"/>
      <c r="G31" s="6"/>
      <c r="H31" s="6"/>
      <c r="I31" s="6">
        <f>MEDIAN(I15:I28)</f>
        <v>0.08472859898837637</v>
      </c>
    </row>
    <row r="32" spans="1:9" ht="12.75">
      <c r="A32" s="17" t="s">
        <v>132</v>
      </c>
      <c r="E32" s="6"/>
      <c r="F32" s="6"/>
      <c r="G32" s="6"/>
      <c r="H32" s="6">
        <f>I29-I30*2</f>
        <v>0.06921439748523205</v>
      </c>
      <c r="I32" s="6">
        <f>I29+I30*2</f>
        <v>0.10787935105787673</v>
      </c>
    </row>
    <row r="33" spans="1:8" ht="7.5" customHeight="1">
      <c r="A33" s="5"/>
      <c r="E33" s="6"/>
      <c r="H33" s="6"/>
    </row>
    <row r="34" spans="1:8" ht="15.75">
      <c r="A34" s="8" t="s">
        <v>126</v>
      </c>
      <c r="B34" s="9">
        <f>I29</f>
        <v>0.08854687427155439</v>
      </c>
      <c r="C34" s="9"/>
      <c r="D34" s="4"/>
      <c r="E34" s="9"/>
      <c r="H34" s="6"/>
    </row>
    <row r="35" ht="7.5" customHeight="1">
      <c r="H35" s="6"/>
    </row>
    <row r="36" spans="1:2" ht="12.75">
      <c r="A36" s="17" t="s">
        <v>135</v>
      </c>
      <c r="B36" s="33" t="s">
        <v>53</v>
      </c>
    </row>
    <row r="37" ht="12.75">
      <c r="A37" s="17"/>
    </row>
    <row r="39" ht="15.75">
      <c r="A39" s="10" t="s">
        <v>130</v>
      </c>
    </row>
    <row r="40" spans="2:9" ht="12.75">
      <c r="B40" s="16"/>
      <c r="C40" s="16"/>
      <c r="D40" s="16"/>
      <c r="E40" s="14" t="s">
        <v>124</v>
      </c>
      <c r="F40" s="14" t="s">
        <v>117</v>
      </c>
      <c r="G40" s="14" t="s">
        <v>117</v>
      </c>
      <c r="H40" s="14"/>
      <c r="I40" s="14" t="s">
        <v>128</v>
      </c>
    </row>
    <row r="41" spans="3:9" ht="12.75">
      <c r="C41" s="14" t="str">
        <f>C12</f>
        <v>1-Month</v>
      </c>
      <c r="D41" s="14" t="str">
        <f>D12</f>
        <v>Annualized</v>
      </c>
      <c r="E41" s="14" t="s">
        <v>125</v>
      </c>
      <c r="F41" s="14" t="s">
        <v>118</v>
      </c>
      <c r="G41" s="14" t="s">
        <v>118</v>
      </c>
      <c r="H41" s="15" t="s">
        <v>123</v>
      </c>
      <c r="I41" s="14" t="s">
        <v>133</v>
      </c>
    </row>
    <row r="42" spans="1:9" ht="12.75">
      <c r="A42" s="2" t="s">
        <v>101</v>
      </c>
      <c r="C42" s="14" t="s">
        <v>102</v>
      </c>
      <c r="D42" s="14" t="s">
        <v>111</v>
      </c>
      <c r="E42" s="14" t="s">
        <v>121</v>
      </c>
      <c r="F42" s="14" t="s">
        <v>147</v>
      </c>
      <c r="G42" s="14" t="s">
        <v>148</v>
      </c>
      <c r="H42" s="14" t="s">
        <v>113</v>
      </c>
      <c r="I42" s="14" t="s">
        <v>134</v>
      </c>
    </row>
    <row r="43" spans="1:9" ht="7.5" customHeight="1">
      <c r="A43" s="3"/>
      <c r="B43" s="3"/>
      <c r="C43" s="3"/>
      <c r="D43" s="3"/>
      <c r="E43" s="3"/>
      <c r="F43" s="11"/>
      <c r="G43" s="11"/>
      <c r="H43" s="11"/>
      <c r="I43" s="11"/>
    </row>
    <row r="44" spans="1:14" ht="12.75">
      <c r="A44" t="str">
        <f aca="true" t="shared" si="3" ref="A44:A56">A15</f>
        <v>Alliant Energy</v>
      </c>
      <c r="C44">
        <f aca="true" t="shared" si="4" ref="C44:D56">C15</f>
        <v>34.34</v>
      </c>
      <c r="D44">
        <f t="shared" si="4"/>
        <v>1.152</v>
      </c>
      <c r="E44" s="6">
        <f aca="true" t="shared" si="5" ref="E44:E56">D44/C44</f>
        <v>0.033546884100174715</v>
      </c>
      <c r="F44" s="6">
        <f>'DCF '!F46</f>
        <v>0.045</v>
      </c>
      <c r="G44" s="6">
        <f>'DCF '!G46</f>
        <v>0.07</v>
      </c>
      <c r="H44" s="6">
        <f aca="true" t="shared" si="6" ref="H44:H56">F44*0.75+G44*0.25</f>
        <v>0.051250000000000004</v>
      </c>
      <c r="I44" s="6">
        <f aca="true" t="shared" si="7" ref="I44:I56">E44*(1+H44)+H44</f>
        <v>0.08651616191030867</v>
      </c>
      <c r="N44" s="6">
        <f>I44</f>
        <v>0.08651616191030867</v>
      </c>
    </row>
    <row r="45" spans="1:9" ht="12.75">
      <c r="A45" t="str">
        <f t="shared" si="3"/>
        <v>Ameren</v>
      </c>
      <c r="C45">
        <f t="shared" si="4"/>
        <v>50.8</v>
      </c>
      <c r="D45">
        <f t="shared" si="4"/>
        <v>2.54</v>
      </c>
      <c r="E45" s="6">
        <f t="shared" si="5"/>
        <v>0.05</v>
      </c>
      <c r="F45" s="6">
        <f>'DCF '!F47</f>
        <v>0.0275</v>
      </c>
      <c r="G45" s="6">
        <f>'DCF '!G47</f>
        <v>0</v>
      </c>
      <c r="H45" s="6">
        <f t="shared" si="6"/>
        <v>0.020625</v>
      </c>
      <c r="I45" s="6"/>
    </row>
    <row r="46" spans="1:9" ht="12.75">
      <c r="A46" t="str">
        <f t="shared" si="3"/>
        <v>CH Energy Group</v>
      </c>
      <c r="C46">
        <f t="shared" si="4"/>
        <v>47.45</v>
      </c>
      <c r="D46">
        <f t="shared" si="4"/>
        <v>2.16</v>
      </c>
      <c r="E46" s="6">
        <f t="shared" si="5"/>
        <v>0.04552160168598525</v>
      </c>
      <c r="F46" s="6">
        <f>'DCF '!F48</f>
        <v>0.03</v>
      </c>
      <c r="G46" s="6">
        <f>'DCF '!G48</f>
        <v>0.005</v>
      </c>
      <c r="H46" s="6">
        <f t="shared" si="6"/>
        <v>0.02375</v>
      </c>
      <c r="I46" s="6"/>
    </row>
    <row r="47" spans="1:14" ht="12.75">
      <c r="A47" t="str">
        <f t="shared" si="3"/>
        <v>Consolidated Edison</v>
      </c>
      <c r="C47">
        <f t="shared" si="4"/>
        <v>45.18</v>
      </c>
      <c r="D47">
        <f t="shared" si="4"/>
        <v>2.3</v>
      </c>
      <c r="E47" s="6">
        <f t="shared" si="5"/>
        <v>0.05090748118636564</v>
      </c>
      <c r="F47" s="6">
        <f>'DCF '!F49</f>
        <v>0.035</v>
      </c>
      <c r="G47" s="6">
        <f>'DCF '!G49</f>
        <v>0.01</v>
      </c>
      <c r="H47" s="6">
        <f t="shared" si="6"/>
        <v>0.02875</v>
      </c>
      <c r="I47" s="6">
        <f t="shared" si="7"/>
        <v>0.08112107127047366</v>
      </c>
      <c r="N47" s="6">
        <f aca="true" t="shared" si="8" ref="N47:N56">I47</f>
        <v>0.08112107127047366</v>
      </c>
    </row>
    <row r="48" spans="1:14" ht="12.75">
      <c r="A48" t="str">
        <f t="shared" si="3"/>
        <v>Empire District</v>
      </c>
      <c r="C48">
        <f t="shared" si="4"/>
        <v>20.92</v>
      </c>
      <c r="D48">
        <f t="shared" si="4"/>
        <v>1.28</v>
      </c>
      <c r="E48" s="6">
        <f t="shared" si="5"/>
        <v>0.06118546845124283</v>
      </c>
      <c r="F48" s="6">
        <f>'DCF '!F50</f>
        <v>0.0475</v>
      </c>
      <c r="G48" s="6">
        <f>'DCF '!G50</f>
        <v>0</v>
      </c>
      <c r="H48" s="6">
        <f t="shared" si="6"/>
        <v>0.035625000000000004</v>
      </c>
      <c r="I48" s="6">
        <f t="shared" si="7"/>
        <v>0.09899020076481836</v>
      </c>
      <c r="N48" s="6">
        <f t="shared" si="8"/>
        <v>0.09899020076481836</v>
      </c>
    </row>
    <row r="49" spans="1:14" ht="12.75">
      <c r="A49" t="str">
        <f t="shared" si="3"/>
        <v>Energy East</v>
      </c>
      <c r="C49">
        <f t="shared" si="4"/>
        <v>23.78</v>
      </c>
      <c r="D49">
        <f t="shared" si="4"/>
        <v>1.16</v>
      </c>
      <c r="E49" s="6">
        <f t="shared" si="5"/>
        <v>0.048780487804878044</v>
      </c>
      <c r="F49" s="6">
        <f>'DCF '!F51</f>
        <v>0.04</v>
      </c>
      <c r="G49" s="6">
        <f>'DCF '!G51</f>
        <v>0.045</v>
      </c>
      <c r="H49" s="6">
        <f t="shared" si="6"/>
        <v>0.041249999999999995</v>
      </c>
      <c r="I49" s="6">
        <f t="shared" si="7"/>
        <v>0.09204268292682927</v>
      </c>
      <c r="N49" s="6">
        <f t="shared" si="8"/>
        <v>0.09204268292682927</v>
      </c>
    </row>
    <row r="50" spans="1:14" ht="12.75">
      <c r="A50" t="str">
        <f t="shared" si="3"/>
        <v>MGE Energy</v>
      </c>
      <c r="C50">
        <f t="shared" si="4"/>
        <v>30.82</v>
      </c>
      <c r="D50">
        <f t="shared" si="4"/>
        <v>1.38</v>
      </c>
      <c r="E50" s="6">
        <f t="shared" si="5"/>
        <v>0.04477611940298507</v>
      </c>
      <c r="F50" s="6">
        <f>'DCF '!F52</f>
        <v>0.06</v>
      </c>
      <c r="G50" s="6">
        <f>'DCF '!G52</f>
        <v>0.005</v>
      </c>
      <c r="H50" s="6">
        <f t="shared" si="6"/>
        <v>0.04625</v>
      </c>
      <c r="I50" s="6">
        <f t="shared" si="7"/>
        <v>0.09309701492537312</v>
      </c>
      <c r="N50" s="6">
        <f t="shared" si="8"/>
        <v>0.09309701492537312</v>
      </c>
    </row>
    <row r="51" spans="1:14" ht="12.75">
      <c r="A51" t="str">
        <f t="shared" si="3"/>
        <v>NSTAR</v>
      </c>
      <c r="C51">
        <f t="shared" si="4"/>
        <v>28.74</v>
      </c>
      <c r="D51">
        <f t="shared" si="4"/>
        <v>1.212</v>
      </c>
      <c r="E51" s="6">
        <f t="shared" si="5"/>
        <v>0.042171189979123176</v>
      </c>
      <c r="F51" s="6">
        <f>'DCF '!F53</f>
        <v>0.055</v>
      </c>
      <c r="G51" s="6">
        <f>'DCF '!G53</f>
        <v>0.065</v>
      </c>
      <c r="H51" s="6">
        <f t="shared" si="6"/>
        <v>0.0575</v>
      </c>
      <c r="I51" s="6">
        <f t="shared" si="7"/>
        <v>0.10209603340292277</v>
      </c>
      <c r="N51" s="6">
        <f t="shared" si="8"/>
        <v>0.10209603340292277</v>
      </c>
    </row>
    <row r="52" spans="1:14" ht="12.75">
      <c r="A52" t="str">
        <f t="shared" si="3"/>
        <v>Progress Energy</v>
      </c>
      <c r="C52">
        <f t="shared" si="4"/>
        <v>42.64</v>
      </c>
      <c r="D52">
        <f t="shared" si="4"/>
        <v>2.42</v>
      </c>
      <c r="E52" s="6">
        <f t="shared" si="5"/>
        <v>0.05675422138836773</v>
      </c>
      <c r="F52" s="6">
        <f>'DCF '!F54</f>
        <v>0.025</v>
      </c>
      <c r="G52" s="6">
        <f>'DCF '!G54</f>
        <v>0.02</v>
      </c>
      <c r="H52" s="6">
        <f t="shared" si="6"/>
        <v>0.023750000000000004</v>
      </c>
      <c r="I52" s="6">
        <f t="shared" si="7"/>
        <v>0.08185213414634146</v>
      </c>
      <c r="N52" s="6">
        <f t="shared" si="8"/>
        <v>0.08185213414634146</v>
      </c>
    </row>
    <row r="53" spans="1:14" ht="12.75">
      <c r="A53" t="str">
        <f t="shared" si="3"/>
        <v>SCANA</v>
      </c>
      <c r="C53">
        <f t="shared" si="4"/>
        <v>38.94</v>
      </c>
      <c r="D53">
        <f t="shared" si="4"/>
        <v>1.68</v>
      </c>
      <c r="E53" s="6">
        <f t="shared" si="5"/>
        <v>0.04314329738058552</v>
      </c>
      <c r="F53" s="6">
        <f>'DCF '!F55</f>
        <v>0.0475</v>
      </c>
      <c r="G53" s="6">
        <f>'DCF '!G55</f>
        <v>0.06</v>
      </c>
      <c r="H53" s="6">
        <f t="shared" si="6"/>
        <v>0.050625</v>
      </c>
      <c r="I53" s="6">
        <f t="shared" si="7"/>
        <v>0.09595242681047766</v>
      </c>
      <c r="N53" s="6">
        <f t="shared" si="8"/>
        <v>0.09595242681047766</v>
      </c>
    </row>
    <row r="54" spans="1:14" ht="12.75">
      <c r="A54" t="str">
        <f t="shared" si="3"/>
        <v>Southern Company</v>
      </c>
      <c r="C54">
        <f t="shared" si="4"/>
        <v>32.71</v>
      </c>
      <c r="D54">
        <f t="shared" si="4"/>
        <v>1.552</v>
      </c>
      <c r="E54" s="6">
        <f t="shared" si="5"/>
        <v>0.04744726383369</v>
      </c>
      <c r="F54" s="6">
        <f>'DCF '!F56</f>
        <v>0.05</v>
      </c>
      <c r="G54" s="6">
        <f>'DCF '!G56</f>
        <v>0.045</v>
      </c>
      <c r="H54" s="6">
        <f t="shared" si="6"/>
        <v>0.04875</v>
      </c>
      <c r="I54" s="6">
        <f t="shared" si="7"/>
        <v>0.0985103179455824</v>
      </c>
      <c r="N54" s="6">
        <f t="shared" si="8"/>
        <v>0.0985103179455824</v>
      </c>
    </row>
    <row r="55" spans="1:14" ht="12.75">
      <c r="A55" t="str">
        <f t="shared" si="3"/>
        <v>Vectren</v>
      </c>
      <c r="C55">
        <f t="shared" si="4"/>
        <v>27.27</v>
      </c>
      <c r="D55">
        <f t="shared" si="4"/>
        <v>1.22</v>
      </c>
      <c r="E55" s="6">
        <f t="shared" si="5"/>
        <v>0.044737807114044736</v>
      </c>
      <c r="F55" s="6">
        <f>'DCF '!F57</f>
        <v>0.037500000000000006</v>
      </c>
      <c r="G55" s="6">
        <f>'DCF '!G57</f>
        <v>0.03</v>
      </c>
      <c r="H55" s="6">
        <f t="shared" si="6"/>
        <v>0.035625000000000004</v>
      </c>
      <c r="I55" s="6">
        <f t="shared" si="7"/>
        <v>0.08195659149248258</v>
      </c>
      <c r="N55" s="6">
        <f t="shared" si="8"/>
        <v>0.08195659149248258</v>
      </c>
    </row>
    <row r="56" spans="1:14" ht="12.75">
      <c r="A56" t="str">
        <f t="shared" si="3"/>
        <v>Xcel Energy</v>
      </c>
      <c r="C56">
        <f t="shared" si="4"/>
        <v>19.39</v>
      </c>
      <c r="D56">
        <f t="shared" si="4"/>
        <v>0.86</v>
      </c>
      <c r="E56" s="6">
        <f t="shared" si="5"/>
        <v>0.0443527591542032</v>
      </c>
      <c r="F56" s="6">
        <f>'DCF '!F58</f>
        <v>0.06</v>
      </c>
      <c r="G56" s="6">
        <f>'DCF '!G58</f>
        <v>0.025</v>
      </c>
      <c r="H56" s="6">
        <f t="shared" si="6"/>
        <v>0.05125</v>
      </c>
      <c r="I56" s="6">
        <f t="shared" si="7"/>
        <v>0.09787583806085612</v>
      </c>
      <c r="N56" s="6">
        <f t="shared" si="8"/>
        <v>0.09787583806085612</v>
      </c>
    </row>
    <row r="57" spans="5:9" ht="7.5" customHeight="1">
      <c r="E57" s="3"/>
      <c r="F57" s="11"/>
      <c r="G57" s="11"/>
      <c r="H57" s="11"/>
      <c r="I57" s="11"/>
    </row>
    <row r="58" spans="1:9" ht="12.75">
      <c r="A58" s="5" t="s">
        <v>122</v>
      </c>
      <c r="D58" s="6"/>
      <c r="E58" s="6">
        <f>AVERAGE(E44:E57)</f>
        <v>0.04717881396012661</v>
      </c>
      <c r="F58" s="6">
        <f>AVERAGE(F44:F57)</f>
        <v>0.04307692307692308</v>
      </c>
      <c r="G58" s="6">
        <f>AVERAGE(G44:G57)</f>
        <v>0.02923076923076923</v>
      </c>
      <c r="H58" s="6">
        <f>AVERAGE(H44:H57)</f>
        <v>0.039615384615384615</v>
      </c>
      <c r="I58" s="6">
        <f>AVERAGE(I44:I57)</f>
        <v>0.09181913396876963</v>
      </c>
    </row>
    <row r="59" spans="1:9" ht="12.75">
      <c r="A59" s="5" t="s">
        <v>127</v>
      </c>
      <c r="D59" s="6"/>
      <c r="E59" s="6"/>
      <c r="F59" s="6"/>
      <c r="G59" s="6"/>
      <c r="H59" s="6"/>
      <c r="I59" s="6">
        <f>STDEV(I44:I57)</f>
        <v>0.007722968469062447</v>
      </c>
    </row>
    <row r="60" spans="1:14" ht="12.75">
      <c r="A60" s="5" t="s">
        <v>110</v>
      </c>
      <c r="D60" s="6"/>
      <c r="E60" s="6"/>
      <c r="F60" s="6"/>
      <c r="G60" s="6"/>
      <c r="H60" s="6"/>
      <c r="I60" s="6">
        <f>MEDIAN(I44:I57)</f>
        <v>0.09309701492537312</v>
      </c>
      <c r="N60" s="6">
        <f>MEDIAN(N14:N57)</f>
        <v>0.09204268292682927</v>
      </c>
    </row>
    <row r="61" spans="1:9" ht="12.75">
      <c r="A61" s="17" t="s">
        <v>132</v>
      </c>
      <c r="D61" s="6"/>
      <c r="E61" s="6"/>
      <c r="F61" s="6"/>
      <c r="G61" s="6"/>
      <c r="H61" s="6">
        <f>I58-I59*2</f>
        <v>0.07637319703064474</v>
      </c>
      <c r="I61" s="6">
        <f>I58+I59*2</f>
        <v>0.10726507090689452</v>
      </c>
    </row>
    <row r="62" spans="1:8" ht="12.75">
      <c r="A62" s="5"/>
      <c r="D62" s="6"/>
      <c r="F62" s="6"/>
      <c r="G62" s="6"/>
      <c r="H62" s="6"/>
    </row>
    <row r="63" spans="1:8" ht="15.75">
      <c r="A63" s="8" t="s">
        <v>126</v>
      </c>
      <c r="B63" s="9">
        <f>I58</f>
        <v>0.09181913396876963</v>
      </c>
      <c r="C63" s="9"/>
      <c r="D63" s="4"/>
      <c r="E63" s="9"/>
      <c r="F63" s="6"/>
      <c r="G63" s="6"/>
      <c r="H63" s="6"/>
    </row>
    <row r="64" ht="12.75">
      <c r="H64" s="6"/>
    </row>
    <row r="65" spans="1:2" ht="12.75">
      <c r="A65" s="17" t="s">
        <v>135</v>
      </c>
      <c r="B65" s="33" t="s">
        <v>53</v>
      </c>
    </row>
    <row r="66" spans="1:2" ht="12.75">
      <c r="A66" s="17"/>
      <c r="B66" s="33"/>
    </row>
    <row r="67" spans="1:2" ht="12.75">
      <c r="A67" s="17"/>
      <c r="B67" s="33" t="s">
        <v>23</v>
      </c>
    </row>
    <row r="68" spans="1:2" ht="12.75">
      <c r="A68" s="17"/>
      <c r="B68" s="33" t="s">
        <v>19</v>
      </c>
    </row>
    <row r="69" spans="1:2" ht="12.75">
      <c r="A69" s="17"/>
      <c r="B69" s="33" t="s">
        <v>18</v>
      </c>
    </row>
    <row r="70" spans="1:2" ht="12.75">
      <c r="A70" s="17"/>
      <c r="B70" s="33"/>
    </row>
    <row r="71" spans="1:2" ht="12.75">
      <c r="A71" s="5" t="s">
        <v>12</v>
      </c>
      <c r="B71" t="s">
        <v>29</v>
      </c>
    </row>
    <row r="72" spans="1:2" ht="12.75">
      <c r="A72" s="17"/>
      <c r="B72" s="25" t="s">
        <v>31</v>
      </c>
    </row>
    <row r="73" spans="1:2" ht="12.75">
      <c r="A73" s="17"/>
      <c r="B73" s="33"/>
    </row>
  </sheetData>
  <printOptions horizontalCentered="1"/>
  <pageMargins left="0.75" right="0.75" top="0.34" bottom="0.22" header="0.29" footer="0.21"/>
  <pageSetup fitToHeight="1" fitToWidth="1" horizontalDpi="600" verticalDpi="600" orientation="portrait" scale="7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workbookViewId="0" topLeftCell="A1">
      <selection activeCell="A3" sqref="A3"/>
    </sheetView>
  </sheetViews>
  <sheetFormatPr defaultColWidth="9.33203125" defaultRowHeight="12.75"/>
  <cols>
    <col min="1" max="1" width="23.5" style="0" customWidth="1"/>
    <col min="2" max="2" width="11.66015625" style="0" customWidth="1"/>
    <col min="3" max="3" width="12.5" style="0" customWidth="1"/>
    <col min="4" max="5" width="12" style="0" customWidth="1"/>
    <col min="6" max="8" width="11.33203125" style="0" customWidth="1"/>
    <col min="9" max="10" width="10.83203125" style="0" customWidth="1"/>
    <col min="11" max="11" width="9.66015625" style="0" bestFit="1" customWidth="1"/>
  </cols>
  <sheetData>
    <row r="2" spans="1:10" ht="12.75">
      <c r="A2" t="str">
        <f>Companies!A2</f>
        <v>CEP/06-035-21/August 17, 2006</v>
      </c>
      <c r="J2" s="33" t="s">
        <v>17</v>
      </c>
    </row>
    <row r="3" spans="1:11" ht="18.75">
      <c r="A3" s="28" t="str">
        <f>'DCF '!A3</f>
        <v>PacifiCorp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26" customFormat="1" ht="15.75" customHeight="1">
      <c r="A4" s="28" t="str">
        <f>'DCF '!A4</f>
        <v>Estimated of Current Cost of Equity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6" customFormat="1" ht="15.75" customHeight="1">
      <c r="A5" s="30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26" customFormat="1" ht="15.75" customHeight="1">
      <c r="A6" s="47" t="str">
        <f>'DCF '!A6</f>
        <v>As of July 31, 2006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26" customFormat="1" ht="15.75" customHeight="1">
      <c r="A7" s="30" t="str">
        <f>'DCF '!A7</f>
        <v>Hadaway Guideline Company List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9.5" customHeight="1">
      <c r="A8" s="53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12.75" customHeight="1">
      <c r="A9" s="1"/>
    </row>
    <row r="10" ht="15.75">
      <c r="A10" s="4" t="s">
        <v>149</v>
      </c>
    </row>
    <row r="11" spans="6:8" ht="12.75">
      <c r="F11" s="2"/>
      <c r="G11" s="2"/>
      <c r="H11" s="2"/>
    </row>
    <row r="12" spans="3:11" s="2" customFormat="1" ht="12.75">
      <c r="C12" s="2" t="s">
        <v>151</v>
      </c>
      <c r="D12" s="2" t="s">
        <v>153</v>
      </c>
      <c r="E12" s="48" t="s">
        <v>203</v>
      </c>
      <c r="F12" s="2" t="s">
        <v>157</v>
      </c>
      <c r="G12" s="2" t="s">
        <v>157</v>
      </c>
      <c r="H12" s="2" t="s">
        <v>157</v>
      </c>
      <c r="I12" s="2" t="s">
        <v>152</v>
      </c>
      <c r="J12" s="2" t="s">
        <v>116</v>
      </c>
      <c r="K12" s="48" t="s">
        <v>204</v>
      </c>
    </row>
    <row r="13" spans="1:11" ht="12.75">
      <c r="A13" s="2" t="s">
        <v>101</v>
      </c>
      <c r="B13" s="2" t="s">
        <v>150</v>
      </c>
      <c r="C13" s="2" t="s">
        <v>152</v>
      </c>
      <c r="D13" s="2" t="s">
        <v>154</v>
      </c>
      <c r="E13" s="2" t="s">
        <v>156</v>
      </c>
      <c r="F13" s="2" t="s">
        <v>152</v>
      </c>
      <c r="G13" s="2" t="s">
        <v>158</v>
      </c>
      <c r="H13" s="2" t="s">
        <v>156</v>
      </c>
      <c r="I13" s="2" t="s">
        <v>155</v>
      </c>
      <c r="J13" s="2" t="s">
        <v>155</v>
      </c>
      <c r="K13" s="2" t="s">
        <v>155</v>
      </c>
    </row>
    <row r="14" spans="1:11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t="str">
        <f>'DCF '!A17</f>
        <v>Alliant Energy</v>
      </c>
      <c r="B15">
        <v>0.9</v>
      </c>
      <c r="C15" s="6">
        <v>0.0497</v>
      </c>
      <c r="D15" s="6">
        <v>0.0505</v>
      </c>
      <c r="E15" s="6">
        <v>0.0521</v>
      </c>
      <c r="F15" s="6">
        <f>0.1382-0.061</f>
        <v>0.07719999999999999</v>
      </c>
      <c r="G15" s="6">
        <f>AVERAGE(H15*E15/D15,F15*C15/D15)</f>
        <v>0.05691990099009901</v>
      </c>
      <c r="H15" s="6">
        <v>0.0367</v>
      </c>
      <c r="I15" s="6">
        <f>C15+B15*F15</f>
        <v>0.11918000000000001</v>
      </c>
      <c r="J15" s="6">
        <f>D15+$B15*G15</f>
        <v>0.10172791089108912</v>
      </c>
      <c r="K15" s="6">
        <f>E15+$B15*H15</f>
        <v>0.08513000000000001</v>
      </c>
    </row>
    <row r="16" spans="1:11" ht="12.75">
      <c r="A16" t="str">
        <f>'DCF '!A18</f>
        <v>Ameren</v>
      </c>
      <c r="B16">
        <v>0.75</v>
      </c>
      <c r="C16" s="6">
        <f>C15</f>
        <v>0.0497</v>
      </c>
      <c r="D16" s="6">
        <f>D15</f>
        <v>0.0505</v>
      </c>
      <c r="E16" s="6">
        <f>E15</f>
        <v>0.0521</v>
      </c>
      <c r="F16" s="6">
        <f>F15</f>
        <v>0.07719999999999999</v>
      </c>
      <c r="G16" s="6">
        <f>AVERAGE(H16*E16/D16,F16*C16/D16)</f>
        <v>0.05691990099009901</v>
      </c>
      <c r="H16" s="6">
        <f>H15</f>
        <v>0.0367</v>
      </c>
      <c r="I16" s="6">
        <f aca="true" t="shared" si="0" ref="I16:I27">C16+B16*F16</f>
        <v>0.1076</v>
      </c>
      <c r="J16" s="6">
        <f aca="true" t="shared" si="1" ref="J16:J27">D16+$B16*G16</f>
        <v>0.09318992574257426</v>
      </c>
      <c r="K16" s="6">
        <f aca="true" t="shared" si="2" ref="K16:K27">E16+$B16*H16</f>
        <v>0.079625</v>
      </c>
    </row>
    <row r="17" spans="1:11" ht="12.75">
      <c r="A17" t="str">
        <f>'DCF '!A19</f>
        <v>CH Energy Group</v>
      </c>
      <c r="B17">
        <v>0.8</v>
      </c>
      <c r="C17" s="6">
        <f aca="true" t="shared" si="3" ref="C17:C27">C16</f>
        <v>0.0497</v>
      </c>
      <c r="D17" s="6">
        <f aca="true" t="shared" si="4" ref="D17:D27">D16</f>
        <v>0.0505</v>
      </c>
      <c r="E17" s="6">
        <f aca="true" t="shared" si="5" ref="E17:E27">E16</f>
        <v>0.0521</v>
      </c>
      <c r="F17" s="6">
        <f aca="true" t="shared" si="6" ref="F17:F27">F16</f>
        <v>0.07719999999999999</v>
      </c>
      <c r="G17" s="6">
        <f aca="true" t="shared" si="7" ref="G17:G27">AVERAGE(H17*E17/D17,F17*C17/D17)</f>
        <v>0.05691990099009901</v>
      </c>
      <c r="H17" s="6">
        <f aca="true" t="shared" si="8" ref="H17:H27">H16</f>
        <v>0.0367</v>
      </c>
      <c r="I17" s="6">
        <f t="shared" si="0"/>
        <v>0.11146</v>
      </c>
      <c r="J17" s="6">
        <f t="shared" si="1"/>
        <v>0.09603592079207922</v>
      </c>
      <c r="K17" s="6">
        <f t="shared" si="2"/>
        <v>0.08146</v>
      </c>
    </row>
    <row r="18" spans="1:11" ht="12.75">
      <c r="A18" t="str">
        <f>'DCF '!A20</f>
        <v>Consolidated Edison</v>
      </c>
      <c r="B18">
        <v>0.7</v>
      </c>
      <c r="C18" s="6">
        <f t="shared" si="3"/>
        <v>0.0497</v>
      </c>
      <c r="D18" s="6">
        <f t="shared" si="4"/>
        <v>0.0505</v>
      </c>
      <c r="E18" s="6">
        <f t="shared" si="5"/>
        <v>0.0521</v>
      </c>
      <c r="F18" s="6">
        <f t="shared" si="6"/>
        <v>0.07719999999999999</v>
      </c>
      <c r="G18" s="6">
        <f t="shared" si="7"/>
        <v>0.05691990099009901</v>
      </c>
      <c r="H18" s="6">
        <f t="shared" si="8"/>
        <v>0.0367</v>
      </c>
      <c r="I18" s="6">
        <f t="shared" si="0"/>
        <v>0.10374</v>
      </c>
      <c r="J18" s="6">
        <f t="shared" si="1"/>
        <v>0.09034393069306931</v>
      </c>
      <c r="K18" s="6">
        <f t="shared" si="2"/>
        <v>0.07779</v>
      </c>
    </row>
    <row r="19" spans="1:11" ht="12.75">
      <c r="A19" t="str">
        <f>'DCF '!A21</f>
        <v>Empire District</v>
      </c>
      <c r="B19">
        <v>0.8</v>
      </c>
      <c r="C19" s="6">
        <f t="shared" si="3"/>
        <v>0.0497</v>
      </c>
      <c r="D19" s="6">
        <f t="shared" si="4"/>
        <v>0.0505</v>
      </c>
      <c r="E19" s="6">
        <f t="shared" si="5"/>
        <v>0.0521</v>
      </c>
      <c r="F19" s="6">
        <f t="shared" si="6"/>
        <v>0.07719999999999999</v>
      </c>
      <c r="G19" s="6">
        <f t="shared" si="7"/>
        <v>0.05691990099009901</v>
      </c>
      <c r="H19" s="6">
        <f t="shared" si="8"/>
        <v>0.0367</v>
      </c>
      <c r="I19" s="6">
        <f t="shared" si="0"/>
        <v>0.11146</v>
      </c>
      <c r="J19" s="6">
        <f t="shared" si="1"/>
        <v>0.09603592079207922</v>
      </c>
      <c r="K19" s="6">
        <f t="shared" si="2"/>
        <v>0.08146</v>
      </c>
    </row>
    <row r="20" spans="1:11" ht="12.75">
      <c r="A20" t="str">
        <f>'DCF '!A22</f>
        <v>Energy East</v>
      </c>
      <c r="B20">
        <v>0.9</v>
      </c>
      <c r="C20" s="6">
        <f t="shared" si="3"/>
        <v>0.0497</v>
      </c>
      <c r="D20" s="6">
        <f t="shared" si="4"/>
        <v>0.0505</v>
      </c>
      <c r="E20" s="6">
        <f t="shared" si="5"/>
        <v>0.0521</v>
      </c>
      <c r="F20" s="6">
        <f t="shared" si="6"/>
        <v>0.07719999999999999</v>
      </c>
      <c r="G20" s="6">
        <f t="shared" si="7"/>
        <v>0.05691990099009901</v>
      </c>
      <c r="H20" s="6">
        <f t="shared" si="8"/>
        <v>0.0367</v>
      </c>
      <c r="I20" s="6">
        <f t="shared" si="0"/>
        <v>0.11918000000000001</v>
      </c>
      <c r="J20" s="6">
        <f t="shared" si="1"/>
        <v>0.10172791089108912</v>
      </c>
      <c r="K20" s="6">
        <f t="shared" si="2"/>
        <v>0.08513000000000001</v>
      </c>
    </row>
    <row r="21" spans="1:11" ht="12.75">
      <c r="A21" t="str">
        <f>'DCF '!A23</f>
        <v>MGE Energy</v>
      </c>
      <c r="B21">
        <v>0.7</v>
      </c>
      <c r="C21" s="6">
        <f t="shared" si="3"/>
        <v>0.0497</v>
      </c>
      <c r="D21" s="6">
        <f t="shared" si="4"/>
        <v>0.0505</v>
      </c>
      <c r="E21" s="6">
        <f t="shared" si="5"/>
        <v>0.0521</v>
      </c>
      <c r="F21" s="6">
        <f t="shared" si="6"/>
        <v>0.07719999999999999</v>
      </c>
      <c r="G21" s="6">
        <f t="shared" si="7"/>
        <v>0.05691990099009901</v>
      </c>
      <c r="H21" s="6">
        <f t="shared" si="8"/>
        <v>0.0367</v>
      </c>
      <c r="I21" s="6">
        <f t="shared" si="0"/>
        <v>0.10374</v>
      </c>
      <c r="J21" s="6">
        <f t="shared" si="1"/>
        <v>0.09034393069306931</v>
      </c>
      <c r="K21" s="6">
        <f t="shared" si="2"/>
        <v>0.07779</v>
      </c>
    </row>
    <row r="22" spans="1:11" ht="12.75">
      <c r="A22" t="str">
        <f>'DCF '!A24</f>
        <v>NSTAR</v>
      </c>
      <c r="B22">
        <v>0.8</v>
      </c>
      <c r="C22" s="6">
        <f t="shared" si="3"/>
        <v>0.0497</v>
      </c>
      <c r="D22" s="6">
        <f t="shared" si="4"/>
        <v>0.0505</v>
      </c>
      <c r="E22" s="6">
        <f t="shared" si="5"/>
        <v>0.0521</v>
      </c>
      <c r="F22" s="6">
        <f t="shared" si="6"/>
        <v>0.07719999999999999</v>
      </c>
      <c r="G22" s="6">
        <f t="shared" si="7"/>
        <v>0.05691990099009901</v>
      </c>
      <c r="H22" s="6">
        <f t="shared" si="8"/>
        <v>0.0367</v>
      </c>
      <c r="I22" s="6">
        <f t="shared" si="0"/>
        <v>0.11146</v>
      </c>
      <c r="J22" s="6">
        <f t="shared" si="1"/>
        <v>0.09603592079207922</v>
      </c>
      <c r="K22" s="6">
        <f t="shared" si="2"/>
        <v>0.08146</v>
      </c>
    </row>
    <row r="23" spans="1:11" ht="12.75">
      <c r="A23" t="str">
        <f>'DCF '!A25</f>
        <v>Progress Energy</v>
      </c>
      <c r="B23">
        <v>0.85</v>
      </c>
      <c r="C23" s="6">
        <f t="shared" si="3"/>
        <v>0.0497</v>
      </c>
      <c r="D23" s="6">
        <f t="shared" si="4"/>
        <v>0.0505</v>
      </c>
      <c r="E23" s="6">
        <f t="shared" si="5"/>
        <v>0.0521</v>
      </c>
      <c r="F23" s="6">
        <f t="shared" si="6"/>
        <v>0.07719999999999999</v>
      </c>
      <c r="G23" s="6">
        <f t="shared" si="7"/>
        <v>0.05691990099009901</v>
      </c>
      <c r="H23" s="6">
        <f t="shared" si="8"/>
        <v>0.0367</v>
      </c>
      <c r="I23" s="6">
        <f t="shared" si="0"/>
        <v>0.11531999999999998</v>
      </c>
      <c r="J23" s="6">
        <f t="shared" si="1"/>
        <v>0.09888191584158416</v>
      </c>
      <c r="K23" s="6">
        <f t="shared" si="2"/>
        <v>0.08329500000000001</v>
      </c>
    </row>
    <row r="24" spans="1:11" ht="12.75">
      <c r="A24" t="str">
        <f>'DCF '!A26</f>
        <v>SCANA</v>
      </c>
      <c r="B24">
        <v>0.8</v>
      </c>
      <c r="C24" s="6">
        <f t="shared" si="3"/>
        <v>0.0497</v>
      </c>
      <c r="D24" s="6">
        <f t="shared" si="4"/>
        <v>0.0505</v>
      </c>
      <c r="E24" s="6">
        <f t="shared" si="5"/>
        <v>0.0521</v>
      </c>
      <c r="F24" s="6">
        <f t="shared" si="6"/>
        <v>0.07719999999999999</v>
      </c>
      <c r="G24" s="6">
        <f t="shared" si="7"/>
        <v>0.05691990099009901</v>
      </c>
      <c r="H24" s="6">
        <f t="shared" si="8"/>
        <v>0.0367</v>
      </c>
      <c r="I24" s="6">
        <f t="shared" si="0"/>
        <v>0.11146</v>
      </c>
      <c r="J24" s="6">
        <f t="shared" si="1"/>
        <v>0.09603592079207922</v>
      </c>
      <c r="K24" s="6">
        <f t="shared" si="2"/>
        <v>0.08146</v>
      </c>
    </row>
    <row r="25" spans="1:11" ht="12.75">
      <c r="A25" t="str">
        <f>'DCF '!A27</f>
        <v>Southern Company</v>
      </c>
      <c r="B25">
        <v>0.65</v>
      </c>
      <c r="C25" s="6">
        <f t="shared" si="3"/>
        <v>0.0497</v>
      </c>
      <c r="D25" s="6">
        <f t="shared" si="4"/>
        <v>0.0505</v>
      </c>
      <c r="E25" s="6">
        <f t="shared" si="5"/>
        <v>0.0521</v>
      </c>
      <c r="F25" s="6">
        <f t="shared" si="6"/>
        <v>0.07719999999999999</v>
      </c>
      <c r="G25" s="6">
        <f t="shared" si="7"/>
        <v>0.05691990099009901</v>
      </c>
      <c r="H25" s="6">
        <f t="shared" si="8"/>
        <v>0.0367</v>
      </c>
      <c r="I25" s="6">
        <f t="shared" si="0"/>
        <v>0.09988</v>
      </c>
      <c r="J25" s="6">
        <f t="shared" si="1"/>
        <v>0.08749793564356437</v>
      </c>
      <c r="K25" s="6">
        <f t="shared" si="2"/>
        <v>0.07595500000000001</v>
      </c>
    </row>
    <row r="26" spans="1:11" ht="12.75">
      <c r="A26" t="str">
        <f>'DCF '!A28</f>
        <v>Vectren</v>
      </c>
      <c r="B26">
        <v>0.85</v>
      </c>
      <c r="C26" s="6">
        <f t="shared" si="3"/>
        <v>0.0497</v>
      </c>
      <c r="D26" s="6">
        <f t="shared" si="4"/>
        <v>0.0505</v>
      </c>
      <c r="E26" s="6">
        <f t="shared" si="5"/>
        <v>0.0521</v>
      </c>
      <c r="F26" s="6">
        <f t="shared" si="6"/>
        <v>0.07719999999999999</v>
      </c>
      <c r="G26" s="6">
        <f t="shared" si="7"/>
        <v>0.05691990099009901</v>
      </c>
      <c r="H26" s="6">
        <f t="shared" si="8"/>
        <v>0.0367</v>
      </c>
      <c r="I26" s="6">
        <f t="shared" si="0"/>
        <v>0.11531999999999998</v>
      </c>
      <c r="J26" s="6">
        <f t="shared" si="1"/>
        <v>0.09888191584158416</v>
      </c>
      <c r="K26" s="6">
        <f t="shared" si="2"/>
        <v>0.08329500000000001</v>
      </c>
    </row>
    <row r="27" spans="1:11" ht="12.75">
      <c r="A27" t="str">
        <f>'DCF '!A29</f>
        <v>Xcel Energy</v>
      </c>
      <c r="B27">
        <v>0.85</v>
      </c>
      <c r="C27" s="6">
        <f t="shared" si="3"/>
        <v>0.0497</v>
      </c>
      <c r="D27" s="6">
        <f t="shared" si="4"/>
        <v>0.0505</v>
      </c>
      <c r="E27" s="6">
        <f t="shared" si="5"/>
        <v>0.0521</v>
      </c>
      <c r="F27" s="6">
        <f t="shared" si="6"/>
        <v>0.07719999999999999</v>
      </c>
      <c r="G27" s="6">
        <f t="shared" si="7"/>
        <v>0.05691990099009901</v>
      </c>
      <c r="H27" s="6">
        <f t="shared" si="8"/>
        <v>0.0367</v>
      </c>
      <c r="I27" s="6">
        <f t="shared" si="0"/>
        <v>0.11531999999999998</v>
      </c>
      <c r="J27" s="6">
        <f t="shared" si="1"/>
        <v>0.09888191584158416</v>
      </c>
      <c r="K27" s="6">
        <f t="shared" si="2"/>
        <v>0.08329500000000001</v>
      </c>
    </row>
    <row r="28" spans="2:11" ht="7.5" customHeight="1">
      <c r="B28" s="3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5" t="s">
        <v>122</v>
      </c>
      <c r="B29">
        <f>AVERAGE(B15:B28)</f>
        <v>0.7961538461538461</v>
      </c>
      <c r="C29" s="6"/>
      <c r="D29" s="6"/>
      <c r="E29" s="6"/>
      <c r="F29" s="6"/>
      <c r="G29" s="6"/>
      <c r="H29" s="6"/>
      <c r="I29" s="6">
        <f>AVERAGE(I15:I28)</f>
        <v>0.1111630769230769</v>
      </c>
      <c r="J29" s="6">
        <f>AVERAGE(J15:J28)</f>
        <v>0.09581699809596346</v>
      </c>
      <c r="K29" s="6">
        <f>AVERAGE(K15:K28)</f>
        <v>0.08131884615384616</v>
      </c>
    </row>
    <row r="30" spans="1:11" ht="12.75">
      <c r="A30" s="5" t="s">
        <v>127</v>
      </c>
      <c r="B30">
        <f>STDEV(B15:B28)</f>
        <v>0.07762500258061852</v>
      </c>
      <c r="C30" s="6"/>
      <c r="D30" s="6"/>
      <c r="E30" s="6"/>
      <c r="F30" s="6"/>
      <c r="G30" s="6"/>
      <c r="H30" s="6"/>
      <c r="I30" s="6">
        <f>STDEV(I15:I28)</f>
        <v>0.0059926501992237455</v>
      </c>
      <c r="J30" s="6">
        <f>STDEV(J15:J28)</f>
        <v>0.004418407461244985</v>
      </c>
      <c r="K30" s="6">
        <f>STDEV(K15:K28)</f>
        <v>0.0028488375947087015</v>
      </c>
    </row>
    <row r="31" spans="1:11" ht="12.75">
      <c r="A31" s="5" t="s">
        <v>110</v>
      </c>
      <c r="B31">
        <f>MEDIAN(B15:B28)</f>
        <v>0.8</v>
      </c>
      <c r="C31" s="6"/>
      <c r="D31" s="6"/>
      <c r="E31" s="6"/>
      <c r="F31" s="6"/>
      <c r="G31" s="6"/>
      <c r="H31" s="6"/>
      <c r="I31" s="6">
        <f>MEDIAN(I15:I28)</f>
        <v>0.11146</v>
      </c>
      <c r="J31" s="6">
        <f>MEDIAN(J15:J28)</f>
        <v>0.09603592079207922</v>
      </c>
      <c r="K31" s="6">
        <f>MEDIAN(K15:K28)</f>
        <v>0.08146</v>
      </c>
    </row>
    <row r="32" spans="1:11" ht="12.75">
      <c r="A32" s="5"/>
      <c r="C32" s="6"/>
      <c r="D32" s="6"/>
      <c r="E32" s="6"/>
      <c r="F32" s="6"/>
      <c r="G32" s="6"/>
      <c r="H32" s="6"/>
      <c r="I32" s="6"/>
      <c r="J32" s="6"/>
      <c r="K32" s="6"/>
    </row>
    <row r="33" spans="1:11" ht="15.75">
      <c r="A33" s="8" t="s">
        <v>159</v>
      </c>
      <c r="C33" s="6"/>
      <c r="D33" s="6"/>
      <c r="E33" s="6"/>
      <c r="F33" s="6"/>
      <c r="G33" s="6"/>
      <c r="H33" s="6"/>
      <c r="I33" s="7">
        <f>I29</f>
        <v>0.1111630769230769</v>
      </c>
      <c r="J33" s="7">
        <f>J29</f>
        <v>0.09581699809596346</v>
      </c>
      <c r="K33" s="7">
        <f>K29</f>
        <v>0.08131884615384616</v>
      </c>
    </row>
    <row r="35" spans="1:2" ht="12.75">
      <c r="A35" s="5" t="s">
        <v>12</v>
      </c>
      <c r="B35" t="s">
        <v>26</v>
      </c>
    </row>
    <row r="36" ht="12.75">
      <c r="B36" s="33" t="s">
        <v>27</v>
      </c>
    </row>
    <row r="37" ht="12.75">
      <c r="B37" t="s">
        <v>29</v>
      </c>
    </row>
  </sheetData>
  <printOptions/>
  <pageMargins left="0.75" right="0.75" top="0.75" bottom="0.53" header="0.28" footer="0.5"/>
  <pageSetup fitToHeight="1" fitToWidth="1" horizontalDpi="600" verticalDpi="600" orientation="portrait" scale="72" r:id="rId1"/>
  <rowBreaks count="1" manualBreakCount="1">
    <brk id="3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workbookViewId="0" topLeftCell="A1">
      <selection activeCell="A6" sqref="A6"/>
    </sheetView>
  </sheetViews>
  <sheetFormatPr defaultColWidth="9.33203125" defaultRowHeight="12.75"/>
  <cols>
    <col min="1" max="1" width="23.5" style="0" customWidth="1"/>
    <col min="2" max="2" width="11.66015625" style="0" customWidth="1"/>
    <col min="3" max="3" width="12.5" style="0" customWidth="1"/>
    <col min="4" max="5" width="12" style="0" customWidth="1"/>
    <col min="6" max="8" width="11.33203125" style="0" customWidth="1"/>
    <col min="9" max="10" width="10.83203125" style="0" customWidth="1"/>
    <col min="11" max="11" width="9.66015625" style="0" bestFit="1" customWidth="1"/>
  </cols>
  <sheetData>
    <row r="2" spans="1:10" ht="12.75">
      <c r="A2" t="str">
        <f>Companies!A2</f>
        <v>CEP/06-035-21/August 17, 2006</v>
      </c>
      <c r="J2" s="33" t="s">
        <v>25</v>
      </c>
    </row>
    <row r="3" spans="1:11" ht="18.75">
      <c r="A3" s="28" t="str">
        <f>'DCF '!A3</f>
        <v>PacifiCorp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26" customFormat="1" ht="15.75" customHeight="1">
      <c r="A4" s="28" t="str">
        <f>'DCF '!A4</f>
        <v>Estimated of Current Cost of Equity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6" customFormat="1" ht="15.75" customHeight="1">
      <c r="A5" s="30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26" customFormat="1" ht="15.75" customHeight="1">
      <c r="A6" s="47" t="str">
        <f>'DCF '!A6</f>
        <v>As of July 31, 2006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26" customFormat="1" ht="15.75" customHeight="1">
      <c r="A7" s="30" t="str">
        <f>'DCF '!A7</f>
        <v>Hadaway Guideline Company List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9.5" customHeight="1">
      <c r="A8" s="53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12.75" customHeight="1">
      <c r="A9" s="1"/>
    </row>
    <row r="10" ht="15.75">
      <c r="A10" s="4" t="s">
        <v>149</v>
      </c>
    </row>
    <row r="11" spans="6:8" ht="12.75">
      <c r="F11" s="2"/>
      <c r="G11" s="2"/>
      <c r="H11" s="2"/>
    </row>
    <row r="12" spans="3:11" s="2" customFormat="1" ht="12.75">
      <c r="C12" s="2" t="s">
        <v>151</v>
      </c>
      <c r="D12" s="2" t="s">
        <v>153</v>
      </c>
      <c r="E12" s="48" t="s">
        <v>203</v>
      </c>
      <c r="F12" s="2" t="s">
        <v>157</v>
      </c>
      <c r="G12" s="2" t="s">
        <v>157</v>
      </c>
      <c r="H12" s="2" t="s">
        <v>157</v>
      </c>
      <c r="I12" s="2" t="s">
        <v>152</v>
      </c>
      <c r="J12" s="2" t="s">
        <v>116</v>
      </c>
      <c r="K12" s="48" t="s">
        <v>204</v>
      </c>
    </row>
    <row r="13" spans="1:11" ht="12.75">
      <c r="A13" s="2" t="s">
        <v>101</v>
      </c>
      <c r="B13" s="48" t="s">
        <v>206</v>
      </c>
      <c r="C13" s="2" t="s">
        <v>152</v>
      </c>
      <c r="D13" s="2" t="s">
        <v>154</v>
      </c>
      <c r="E13" s="2" t="s">
        <v>156</v>
      </c>
      <c r="F13" s="2" t="s">
        <v>152</v>
      </c>
      <c r="G13" s="2" t="s">
        <v>158</v>
      </c>
      <c r="H13" s="2" t="s">
        <v>156</v>
      </c>
      <c r="I13" s="2" t="s">
        <v>155</v>
      </c>
      <c r="J13" s="2" t="s">
        <v>155</v>
      </c>
      <c r="K13" s="2" t="s">
        <v>155</v>
      </c>
    </row>
    <row r="14" spans="1:11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t="str">
        <f>'DCF '!A17</f>
        <v>Alliant Energy</v>
      </c>
      <c r="B15">
        <v>0.59</v>
      </c>
      <c r="C15" s="6">
        <f>'CAPM VL'!C15</f>
        <v>0.0497</v>
      </c>
      <c r="D15" s="6">
        <f>'CAPM VL'!D15</f>
        <v>0.0505</v>
      </c>
      <c r="E15" s="6">
        <f>'CAPM VL'!E15</f>
        <v>0.0521</v>
      </c>
      <c r="F15" s="6">
        <f>'CAPM VL'!F15</f>
        <v>0.07719999999999999</v>
      </c>
      <c r="G15" s="6">
        <f>'CAPM VL'!G15</f>
        <v>0.05691990099009901</v>
      </c>
      <c r="H15" s="6">
        <f>'CAPM VL'!H15</f>
        <v>0.0367</v>
      </c>
      <c r="I15" s="6">
        <f aca="true" t="shared" si="0" ref="I15:I21">C15+B15*F15</f>
        <v>0.095248</v>
      </c>
      <c r="J15" s="6">
        <f>D15+$B15*G15</f>
        <v>0.08408274158415842</v>
      </c>
      <c r="K15" s="6"/>
    </row>
    <row r="16" spans="1:11" ht="12.75">
      <c r="A16" t="str">
        <f>'DCF '!A18</f>
        <v>Ameren</v>
      </c>
      <c r="B16">
        <v>0.37</v>
      </c>
      <c r="C16" s="6">
        <f aca="true" t="shared" si="1" ref="C16:H16">C15</f>
        <v>0.0497</v>
      </c>
      <c r="D16" s="6">
        <f t="shared" si="1"/>
        <v>0.0505</v>
      </c>
      <c r="E16" s="6">
        <f t="shared" si="1"/>
        <v>0.0521</v>
      </c>
      <c r="F16" s="6">
        <f t="shared" si="1"/>
        <v>0.07719999999999999</v>
      </c>
      <c r="G16" s="6">
        <f t="shared" si="1"/>
        <v>0.05691990099009901</v>
      </c>
      <c r="H16" s="6">
        <f t="shared" si="1"/>
        <v>0.0367</v>
      </c>
      <c r="I16" s="6">
        <f t="shared" si="0"/>
        <v>0.078264</v>
      </c>
      <c r="J16" s="6"/>
      <c r="K16" s="6"/>
    </row>
    <row r="17" spans="1:11" ht="12.75">
      <c r="A17" t="str">
        <f>'DCF '!A19</f>
        <v>CH Energy Group</v>
      </c>
      <c r="B17">
        <v>0.34</v>
      </c>
      <c r="C17" s="6">
        <f aca="true" t="shared" si="2" ref="C17:H21">C16</f>
        <v>0.0497</v>
      </c>
      <c r="D17" s="6">
        <f t="shared" si="2"/>
        <v>0.0505</v>
      </c>
      <c r="E17" s="6">
        <f t="shared" si="2"/>
        <v>0.0521</v>
      </c>
      <c r="F17" s="6">
        <f t="shared" si="2"/>
        <v>0.07719999999999999</v>
      </c>
      <c r="G17" s="6">
        <f t="shared" si="2"/>
        <v>0.05691990099009901</v>
      </c>
      <c r="H17" s="6">
        <f t="shared" si="2"/>
        <v>0.0367</v>
      </c>
      <c r="I17" s="6">
        <f t="shared" si="0"/>
        <v>0.075948</v>
      </c>
      <c r="J17" s="6"/>
      <c r="K17" s="6"/>
    </row>
    <row r="18" spans="1:11" ht="12.75">
      <c r="A18" t="str">
        <f>'DCF '!A20</f>
        <v>Consolidated Edison</v>
      </c>
      <c r="B18">
        <v>0.08</v>
      </c>
      <c r="C18" s="6">
        <f t="shared" si="2"/>
        <v>0.0497</v>
      </c>
      <c r="D18" s="6">
        <f t="shared" si="2"/>
        <v>0.0505</v>
      </c>
      <c r="E18" s="6">
        <f t="shared" si="2"/>
        <v>0.0521</v>
      </c>
      <c r="F18" s="6">
        <f t="shared" si="2"/>
        <v>0.07719999999999999</v>
      </c>
      <c r="G18" s="6">
        <f t="shared" si="2"/>
        <v>0.05691990099009901</v>
      </c>
      <c r="H18" s="6">
        <f t="shared" si="2"/>
        <v>0.0367</v>
      </c>
      <c r="I18" s="6"/>
      <c r="J18" s="6"/>
      <c r="K18" s="6"/>
    </row>
    <row r="19" spans="1:11" ht="12.75">
      <c r="A19" t="str">
        <f>'DCF '!A21</f>
        <v>Empire District</v>
      </c>
      <c r="B19">
        <v>0.43</v>
      </c>
      <c r="C19" s="6">
        <f t="shared" si="2"/>
        <v>0.0497</v>
      </c>
      <c r="D19" s="6">
        <f t="shared" si="2"/>
        <v>0.0505</v>
      </c>
      <c r="E19" s="6">
        <f t="shared" si="2"/>
        <v>0.0521</v>
      </c>
      <c r="F19" s="6">
        <f t="shared" si="2"/>
        <v>0.07719999999999999</v>
      </c>
      <c r="G19" s="6">
        <f t="shared" si="2"/>
        <v>0.05691990099009901</v>
      </c>
      <c r="H19" s="6">
        <f t="shared" si="2"/>
        <v>0.0367</v>
      </c>
      <c r="I19" s="6">
        <f t="shared" si="0"/>
        <v>0.082896</v>
      </c>
      <c r="J19" s="6">
        <f>D19+$B19*G19</f>
        <v>0.07497555742574258</v>
      </c>
      <c r="K19" s="6"/>
    </row>
    <row r="20" spans="1:11" ht="12.75">
      <c r="A20" t="str">
        <f>'DCF '!A22</f>
        <v>Energy East</v>
      </c>
      <c r="B20">
        <v>0.49</v>
      </c>
      <c r="C20" s="6">
        <f t="shared" si="2"/>
        <v>0.0497</v>
      </c>
      <c r="D20" s="6">
        <f t="shared" si="2"/>
        <v>0.0505</v>
      </c>
      <c r="E20" s="6">
        <f t="shared" si="2"/>
        <v>0.0521</v>
      </c>
      <c r="F20" s="6">
        <f t="shared" si="2"/>
        <v>0.07719999999999999</v>
      </c>
      <c r="G20" s="6">
        <f t="shared" si="2"/>
        <v>0.05691990099009901</v>
      </c>
      <c r="H20" s="6">
        <f t="shared" si="2"/>
        <v>0.0367</v>
      </c>
      <c r="I20" s="6">
        <f t="shared" si="0"/>
        <v>0.087528</v>
      </c>
      <c r="J20" s="6">
        <f>D20+$B20*G20</f>
        <v>0.07839075148514851</v>
      </c>
      <c r="K20" s="6"/>
    </row>
    <row r="21" spans="1:11" ht="12.75">
      <c r="A21" t="str">
        <f>'DCF '!A23</f>
        <v>MGE Energy</v>
      </c>
      <c r="B21">
        <v>0.4</v>
      </c>
      <c r="C21" s="6">
        <f t="shared" si="2"/>
        <v>0.0497</v>
      </c>
      <c r="D21" s="6">
        <f t="shared" si="2"/>
        <v>0.0505</v>
      </c>
      <c r="E21" s="6">
        <f t="shared" si="2"/>
        <v>0.0521</v>
      </c>
      <c r="F21" s="6">
        <f t="shared" si="2"/>
        <v>0.07719999999999999</v>
      </c>
      <c r="G21" s="6">
        <f t="shared" si="2"/>
        <v>0.05691990099009901</v>
      </c>
      <c r="H21" s="6">
        <f t="shared" si="2"/>
        <v>0.0367</v>
      </c>
      <c r="I21" s="6">
        <f t="shared" si="0"/>
        <v>0.08058</v>
      </c>
      <c r="J21" s="6"/>
      <c r="K21" s="6"/>
    </row>
    <row r="22" spans="1:11" ht="12.75">
      <c r="A22" t="str">
        <f>'DCF '!A24</f>
        <v>NSTAR</v>
      </c>
      <c r="B22">
        <v>0.45</v>
      </c>
      <c r="C22" s="6">
        <f aca="true" t="shared" si="3" ref="C22:C27">C21</f>
        <v>0.0497</v>
      </c>
      <c r="D22" s="6">
        <f aca="true" t="shared" si="4" ref="D22:D27">D21</f>
        <v>0.0505</v>
      </c>
      <c r="E22" s="6">
        <f aca="true" t="shared" si="5" ref="E22:E27">E21</f>
        <v>0.0521</v>
      </c>
      <c r="F22" s="6">
        <f aca="true" t="shared" si="6" ref="F22:F27">F21</f>
        <v>0.07719999999999999</v>
      </c>
      <c r="G22" s="6">
        <f aca="true" t="shared" si="7" ref="G22:G27">G21</f>
        <v>0.05691990099009901</v>
      </c>
      <c r="H22" s="6">
        <f aca="true" t="shared" si="8" ref="H22:H27">H21</f>
        <v>0.0367</v>
      </c>
      <c r="I22" s="6">
        <f aca="true" t="shared" si="9" ref="I22:I27">C22+B22*F22</f>
        <v>0.08444</v>
      </c>
      <c r="J22" s="6">
        <f>D22+$B22*G22</f>
        <v>0.07611395544554456</v>
      </c>
      <c r="K22" s="6"/>
    </row>
    <row r="23" spans="1:11" ht="12.75">
      <c r="A23" t="str">
        <f>'DCF '!A25</f>
        <v>Progress Energy</v>
      </c>
      <c r="B23">
        <v>0.46</v>
      </c>
      <c r="C23" s="6">
        <f t="shared" si="3"/>
        <v>0.0497</v>
      </c>
      <c r="D23" s="6">
        <f t="shared" si="4"/>
        <v>0.0505</v>
      </c>
      <c r="E23" s="6">
        <f t="shared" si="5"/>
        <v>0.0521</v>
      </c>
      <c r="F23" s="6">
        <f t="shared" si="6"/>
        <v>0.07719999999999999</v>
      </c>
      <c r="G23" s="6">
        <f t="shared" si="7"/>
        <v>0.05691990099009901</v>
      </c>
      <c r="H23" s="6">
        <f t="shared" si="8"/>
        <v>0.0367</v>
      </c>
      <c r="I23" s="6">
        <f t="shared" si="9"/>
        <v>0.085212</v>
      </c>
      <c r="J23" s="6">
        <f>D23+$B23*G23</f>
        <v>0.07668315445544555</v>
      </c>
      <c r="K23" s="6"/>
    </row>
    <row r="24" spans="1:11" ht="12.75">
      <c r="A24" t="str">
        <f>'DCF '!A26</f>
        <v>SCANA</v>
      </c>
      <c r="B24">
        <v>0.53</v>
      </c>
      <c r="C24" s="6">
        <f t="shared" si="3"/>
        <v>0.0497</v>
      </c>
      <c r="D24" s="6">
        <f t="shared" si="4"/>
        <v>0.0505</v>
      </c>
      <c r="E24" s="6">
        <f t="shared" si="5"/>
        <v>0.0521</v>
      </c>
      <c r="F24" s="6">
        <f t="shared" si="6"/>
        <v>0.07719999999999999</v>
      </c>
      <c r="G24" s="6">
        <f t="shared" si="7"/>
        <v>0.05691990099009901</v>
      </c>
      <c r="H24" s="6">
        <f t="shared" si="8"/>
        <v>0.0367</v>
      </c>
      <c r="I24" s="6">
        <f t="shared" si="9"/>
        <v>0.090616</v>
      </c>
      <c r="J24" s="6">
        <f>D24+$B24*G24</f>
        <v>0.08066754752475248</v>
      </c>
      <c r="K24" s="6"/>
    </row>
    <row r="25" spans="1:11" ht="12.75">
      <c r="A25" t="str">
        <f>'DCF '!A27</f>
        <v>Southern Company</v>
      </c>
      <c r="B25">
        <v>-0.12</v>
      </c>
      <c r="C25" s="6">
        <f t="shared" si="3"/>
        <v>0.0497</v>
      </c>
      <c r="D25" s="6">
        <f t="shared" si="4"/>
        <v>0.0505</v>
      </c>
      <c r="E25" s="6">
        <f t="shared" si="5"/>
        <v>0.0521</v>
      </c>
      <c r="F25" s="6">
        <f t="shared" si="6"/>
        <v>0.07719999999999999</v>
      </c>
      <c r="G25" s="6">
        <f t="shared" si="7"/>
        <v>0.05691990099009901</v>
      </c>
      <c r="H25" s="6">
        <f t="shared" si="8"/>
        <v>0.0367</v>
      </c>
      <c r="I25" s="6"/>
      <c r="J25" s="6"/>
      <c r="K25" s="6"/>
    </row>
    <row r="26" spans="1:11" ht="12.75">
      <c r="A26" t="str">
        <f>'DCF '!A28</f>
        <v>Vectren</v>
      </c>
      <c r="B26">
        <v>0.33</v>
      </c>
      <c r="C26" s="6">
        <f t="shared" si="3"/>
        <v>0.0497</v>
      </c>
      <c r="D26" s="6">
        <f t="shared" si="4"/>
        <v>0.0505</v>
      </c>
      <c r="E26" s="6">
        <f t="shared" si="5"/>
        <v>0.0521</v>
      </c>
      <c r="F26" s="6">
        <f t="shared" si="6"/>
        <v>0.07719999999999999</v>
      </c>
      <c r="G26" s="6">
        <f t="shared" si="7"/>
        <v>0.05691990099009901</v>
      </c>
      <c r="H26" s="6">
        <f t="shared" si="8"/>
        <v>0.0367</v>
      </c>
      <c r="I26" s="6">
        <f t="shared" si="9"/>
        <v>0.07517599999999999</v>
      </c>
      <c r="J26" s="6"/>
      <c r="K26" s="6"/>
    </row>
    <row r="27" spans="1:11" ht="12.75">
      <c r="A27" t="str">
        <f>'DCF '!A29</f>
        <v>Xcel Energy</v>
      </c>
      <c r="B27">
        <v>1.16</v>
      </c>
      <c r="C27" s="6">
        <f t="shared" si="3"/>
        <v>0.0497</v>
      </c>
      <c r="D27" s="6">
        <f t="shared" si="4"/>
        <v>0.0505</v>
      </c>
      <c r="E27" s="6">
        <f t="shared" si="5"/>
        <v>0.0521</v>
      </c>
      <c r="F27" s="6">
        <f t="shared" si="6"/>
        <v>0.07719999999999999</v>
      </c>
      <c r="G27" s="6">
        <f t="shared" si="7"/>
        <v>0.05691990099009901</v>
      </c>
      <c r="H27" s="6">
        <f t="shared" si="8"/>
        <v>0.0367</v>
      </c>
      <c r="I27" s="6">
        <f t="shared" si="9"/>
        <v>0.139252</v>
      </c>
      <c r="J27" s="6">
        <f>D27+$B27*G27</f>
        <v>0.11652708514851486</v>
      </c>
      <c r="K27" s="6">
        <f>E27+$B27*H27</f>
        <v>0.094672</v>
      </c>
    </row>
    <row r="28" spans="2:11" ht="7.5" customHeight="1">
      <c r="B28" s="3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5" t="s">
        <v>122</v>
      </c>
      <c r="B29">
        <f>AVERAGE(B15:B28)</f>
        <v>0.4238461538461538</v>
      </c>
      <c r="C29" s="6"/>
      <c r="D29" s="6"/>
      <c r="E29" s="6"/>
      <c r="F29" s="6"/>
      <c r="G29" s="6"/>
      <c r="H29" s="6"/>
      <c r="I29" s="6">
        <f>AVERAGE(I15:I28)</f>
        <v>0.0886509090909091</v>
      </c>
      <c r="J29" s="6">
        <f>AVERAGE(J15:J28)</f>
        <v>0.08392011329561529</v>
      </c>
      <c r="K29" s="6"/>
    </row>
    <row r="30" spans="1:11" ht="12.75">
      <c r="A30" s="5" t="s">
        <v>127</v>
      </c>
      <c r="B30">
        <f>STDEV(B15:B28)</f>
        <v>0.2916201428096278</v>
      </c>
      <c r="C30" s="6"/>
      <c r="D30" s="6"/>
      <c r="E30" s="6"/>
      <c r="F30" s="6"/>
      <c r="G30" s="6"/>
      <c r="H30" s="6"/>
      <c r="I30" s="6">
        <f>STDEV(I15:I28)</f>
        <v>0.01785428765005507</v>
      </c>
      <c r="J30" s="6">
        <f>STDEV(J15:J28)</f>
        <v>0.014706624589192559</v>
      </c>
      <c r="K30" s="6"/>
    </row>
    <row r="31" spans="1:11" ht="12.75">
      <c r="A31" s="5" t="s">
        <v>110</v>
      </c>
      <c r="B31">
        <f>MEDIAN(B15:B28)</f>
        <v>0.43</v>
      </c>
      <c r="C31" s="6"/>
      <c r="D31" s="6"/>
      <c r="E31" s="6"/>
      <c r="F31" s="6"/>
      <c r="G31" s="6"/>
      <c r="H31" s="6"/>
      <c r="I31" s="6">
        <f>MEDIAN(I15:I28)</f>
        <v>0.08444</v>
      </c>
      <c r="J31" s="6">
        <f>MEDIAN(J15:J28)</f>
        <v>0.07839075148514851</v>
      </c>
      <c r="K31" s="6"/>
    </row>
    <row r="32" spans="1:11" ht="12.75">
      <c r="A32" s="5"/>
      <c r="C32" s="6"/>
      <c r="D32" s="6"/>
      <c r="E32" s="6"/>
      <c r="F32" s="6"/>
      <c r="G32" s="6"/>
      <c r="H32" s="6"/>
      <c r="I32" s="6"/>
      <c r="J32" s="6"/>
      <c r="K32" s="6"/>
    </row>
    <row r="33" spans="1:11" ht="15.75">
      <c r="A33" s="8" t="s">
        <v>159</v>
      </c>
      <c r="C33" s="6"/>
      <c r="D33" s="6"/>
      <c r="E33" s="6"/>
      <c r="F33" s="6"/>
      <c r="G33" s="6"/>
      <c r="H33" s="6"/>
      <c r="I33" s="7">
        <f>I29</f>
        <v>0.0886509090909091</v>
      </c>
      <c r="J33" s="7">
        <f>J29</f>
        <v>0.08392011329561529</v>
      </c>
      <c r="K33" s="7"/>
    </row>
    <row r="35" spans="1:2" ht="12.75">
      <c r="A35" s="5" t="s">
        <v>12</v>
      </c>
      <c r="B35" t="s">
        <v>26</v>
      </c>
    </row>
    <row r="36" ht="12.75">
      <c r="B36" s="33" t="s">
        <v>27</v>
      </c>
    </row>
    <row r="37" ht="12.75">
      <c r="B37" s="33" t="s">
        <v>28</v>
      </c>
    </row>
  </sheetData>
  <printOptions/>
  <pageMargins left="0.75" right="0.75" top="0.54" bottom="0.54" header="0.5" footer="0.5"/>
  <pageSetup fitToHeight="1" fitToWidth="1" horizontalDpi="600" verticalDpi="600" orientation="portrait" scale="72" r:id="rId1"/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4"/>
  <sheetViews>
    <sheetView workbookViewId="0" topLeftCell="A1">
      <selection activeCell="E17" sqref="E17"/>
    </sheetView>
  </sheetViews>
  <sheetFormatPr defaultColWidth="9.33203125" defaultRowHeight="12.75"/>
  <cols>
    <col min="1" max="1" width="15.83203125" style="0" customWidth="1"/>
    <col min="3" max="3" width="9.33203125" style="59" customWidth="1"/>
    <col min="9" max="10" width="10.83203125" style="0" customWidth="1"/>
  </cols>
  <sheetData>
    <row r="2" spans="1:12" ht="12.75">
      <c r="A2" t="str">
        <f>Companies!A2</f>
        <v>CEP/06-035-21/August 17, 2006</v>
      </c>
      <c r="L2" s="33" t="s">
        <v>21</v>
      </c>
    </row>
    <row r="3" spans="1:13" ht="18.75">
      <c r="A3" s="28" t="str">
        <f>'DCF '!A3</f>
        <v>PacifiCorp</v>
      </c>
      <c r="B3" s="28"/>
      <c r="C3" s="60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.75">
      <c r="A4" s="28" t="s">
        <v>56</v>
      </c>
      <c r="B4" s="29"/>
      <c r="C4" s="61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.75">
      <c r="A5" s="28" t="s">
        <v>22</v>
      </c>
      <c r="B5" s="29"/>
      <c r="C5" s="61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57" t="s">
        <v>20</v>
      </c>
      <c r="B6" s="29"/>
      <c r="C6" s="6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55"/>
      <c r="B7" s="29"/>
      <c r="C7" s="61"/>
      <c r="D7" s="29"/>
      <c r="E7" s="29"/>
      <c r="F7" s="29"/>
      <c r="G7" s="29"/>
      <c r="H7" s="29"/>
      <c r="I7" s="29"/>
      <c r="J7" s="29"/>
      <c r="K7" s="29"/>
      <c r="L7" s="29"/>
      <c r="M7" s="29"/>
    </row>
    <row r="9" spans="2:13" ht="12.75">
      <c r="B9" s="34" t="s">
        <v>57</v>
      </c>
      <c r="C9" s="62"/>
      <c r="D9" s="16"/>
      <c r="E9" s="16"/>
      <c r="F9" s="16"/>
      <c r="G9" s="16" t="s">
        <v>69</v>
      </c>
      <c r="H9" s="16" t="s">
        <v>64</v>
      </c>
      <c r="I9" s="16"/>
      <c r="J9" s="16"/>
      <c r="L9" t="s">
        <v>59</v>
      </c>
      <c r="M9" t="s">
        <v>59</v>
      </c>
    </row>
    <row r="10" spans="1:13" ht="12.75">
      <c r="A10" t="s">
        <v>119</v>
      </c>
      <c r="B10" s="16" t="s">
        <v>60</v>
      </c>
      <c r="C10" s="62"/>
      <c r="D10" s="16"/>
      <c r="E10" s="16"/>
      <c r="F10" s="16" t="s">
        <v>8</v>
      </c>
      <c r="G10" s="16" t="s">
        <v>202</v>
      </c>
      <c r="H10" s="16" t="s">
        <v>61</v>
      </c>
      <c r="I10" s="16" t="s">
        <v>58</v>
      </c>
      <c r="J10" s="16" t="s">
        <v>58</v>
      </c>
      <c r="L10" s="16" t="s">
        <v>62</v>
      </c>
      <c r="M10" s="16" t="s">
        <v>62</v>
      </c>
    </row>
    <row r="11" spans="1:13" ht="12.75">
      <c r="A11" t="s">
        <v>120</v>
      </c>
      <c r="B11" s="16" t="s">
        <v>129</v>
      </c>
      <c r="C11" s="62" t="s">
        <v>63</v>
      </c>
      <c r="D11" s="16" t="s">
        <v>8</v>
      </c>
      <c r="E11" s="16" t="s">
        <v>110</v>
      </c>
      <c r="F11" s="16" t="s">
        <v>64</v>
      </c>
      <c r="G11" s="16" t="s">
        <v>8</v>
      </c>
      <c r="H11" s="16" t="s">
        <v>8</v>
      </c>
      <c r="I11" s="16" t="s">
        <v>68</v>
      </c>
      <c r="J11" s="16" t="s">
        <v>64</v>
      </c>
      <c r="K11" s="16" t="s">
        <v>205</v>
      </c>
      <c r="L11" s="16" t="s">
        <v>65</v>
      </c>
      <c r="M11" s="16" t="s">
        <v>64</v>
      </c>
    </row>
    <row r="12" spans="1:25" ht="7.5" customHeight="1">
      <c r="A12" s="3"/>
      <c r="B12" s="3"/>
      <c r="C12" s="63"/>
      <c r="D12" s="3"/>
      <c r="E12" s="3"/>
      <c r="F12" s="13"/>
      <c r="G12" s="3"/>
      <c r="H12" s="3"/>
      <c r="I12" s="3"/>
      <c r="J12" s="3"/>
      <c r="K12" s="3"/>
      <c r="L12" s="3"/>
      <c r="M12" s="3"/>
      <c r="T12" t="s">
        <v>71</v>
      </c>
      <c r="U12" t="s">
        <v>142</v>
      </c>
      <c r="V12" t="s">
        <v>70</v>
      </c>
      <c r="W12" t="s">
        <v>94</v>
      </c>
      <c r="Y12" t="s">
        <v>72</v>
      </c>
    </row>
    <row r="13" spans="1:23" ht="13.5" thickBot="1">
      <c r="A13" t="s">
        <v>198</v>
      </c>
      <c r="B13">
        <v>9</v>
      </c>
      <c r="C13" s="59">
        <v>39</v>
      </c>
      <c r="D13" s="12">
        <v>14.35897435897436</v>
      </c>
      <c r="E13" s="12">
        <v>13</v>
      </c>
      <c r="F13" s="12">
        <f aca="true" t="shared" si="0" ref="F13:F21">D13/$D$24</f>
        <v>1.2248663182408317</v>
      </c>
      <c r="G13" s="12">
        <f>$D$24*(L13/$L$24)</f>
        <v>9.68500050648712</v>
      </c>
      <c r="H13" s="12">
        <f>G13/$D$24</f>
        <v>0.826161438551995</v>
      </c>
      <c r="I13" s="12">
        <f>W13</f>
        <v>5.510533112885513</v>
      </c>
      <c r="J13" s="12">
        <f>I13/$I$24</f>
        <v>0.5059136821164933</v>
      </c>
      <c r="K13" s="12">
        <v>0.915217391304348</v>
      </c>
      <c r="L13" s="12">
        <v>4.970900476971635</v>
      </c>
      <c r="M13">
        <f>L13/$L$24</f>
        <v>0.8261614385519951</v>
      </c>
      <c r="U13">
        <f>B13</f>
        <v>9</v>
      </c>
      <c r="V13">
        <f>U13^0.5</f>
        <v>3</v>
      </c>
      <c r="W13">
        <f>$Z$28+$Z$29*U13+$Z$30*V13</f>
        <v>5.510533112885513</v>
      </c>
    </row>
    <row r="14" spans="1:26" ht="12.75">
      <c r="A14" t="s">
        <v>199</v>
      </c>
      <c r="B14">
        <v>8</v>
      </c>
      <c r="C14" s="59">
        <v>70</v>
      </c>
      <c r="D14" s="12">
        <v>12.314285714285715</v>
      </c>
      <c r="E14" s="12">
        <v>13</v>
      </c>
      <c r="F14" s="12">
        <f t="shared" si="0"/>
        <v>1.0504478542505173</v>
      </c>
      <c r="G14" s="12">
        <f aca="true" t="shared" si="1" ref="G14:G21">$D$24*(L14/$L$24)</f>
        <v>10.601890827816717</v>
      </c>
      <c r="H14" s="12">
        <f aca="true" t="shared" si="2" ref="H14:H21">G14/$D$24</f>
        <v>0.9043751078601877</v>
      </c>
      <c r="I14" s="12">
        <f aca="true" t="shared" si="3" ref="I14:I21">W14</f>
        <v>6.966599604270498</v>
      </c>
      <c r="J14" s="12">
        <f aca="true" t="shared" si="4" ref="J14:J21">I14/$I$24</f>
        <v>0.6395929369131836</v>
      </c>
      <c r="K14" s="12">
        <v>1.0025</v>
      </c>
      <c r="L14" s="12">
        <v>5.441501436938041</v>
      </c>
      <c r="M14">
        <f aca="true" t="shared" si="5" ref="M14:M21">L14/$L$24</f>
        <v>0.9043751078601876</v>
      </c>
      <c r="U14">
        <f aca="true" t="shared" si="6" ref="U14:U21">B14</f>
        <v>8</v>
      </c>
      <c r="V14">
        <f aca="true" t="shared" si="7" ref="V14:V21">U14^0.5</f>
        <v>2.8284271247461903</v>
      </c>
      <c r="W14">
        <f aca="true" t="shared" si="8" ref="W14:W21">$Z$28+$Z$29*U14+$Z$30*V14</f>
        <v>6.966599604270498</v>
      </c>
      <c r="Y14" s="51" t="s">
        <v>73</v>
      </c>
      <c r="Z14" s="51"/>
    </row>
    <row r="15" spans="1:26" ht="12.75">
      <c r="A15" t="s">
        <v>106</v>
      </c>
      <c r="B15">
        <v>7</v>
      </c>
      <c r="C15" s="59">
        <v>214</v>
      </c>
      <c r="D15" s="12">
        <v>11.411214953271028</v>
      </c>
      <c r="E15" s="12">
        <v>11</v>
      </c>
      <c r="F15" s="12">
        <f t="shared" si="0"/>
        <v>0.9734130375218651</v>
      </c>
      <c r="G15" s="12">
        <f t="shared" si="1"/>
        <v>10.306022767305977</v>
      </c>
      <c r="H15" s="12">
        <f t="shared" si="2"/>
        <v>0.8791366184734895</v>
      </c>
      <c r="I15" s="12">
        <f t="shared" si="3"/>
        <v>8.429877892748314</v>
      </c>
      <c r="J15" s="12">
        <f t="shared" si="4"/>
        <v>0.7739342958560915</v>
      </c>
      <c r="K15" s="12">
        <v>1.0230434782608695</v>
      </c>
      <c r="L15" s="12">
        <v>5.289644895255013</v>
      </c>
      <c r="M15">
        <f t="shared" si="5"/>
        <v>0.8791366184734895</v>
      </c>
      <c r="U15">
        <f t="shared" si="6"/>
        <v>7</v>
      </c>
      <c r="V15">
        <f t="shared" si="7"/>
        <v>2.6457513110645907</v>
      </c>
      <c r="W15">
        <f t="shared" si="8"/>
        <v>8.429877892748314</v>
      </c>
      <c r="Y15" s="19" t="s">
        <v>74</v>
      </c>
      <c r="Z15" s="19">
        <v>0.9633200790172425</v>
      </c>
    </row>
    <row r="16" spans="1:26" ht="12.75">
      <c r="A16" t="s">
        <v>103</v>
      </c>
      <c r="B16">
        <v>6</v>
      </c>
      <c r="C16" s="59">
        <v>332</v>
      </c>
      <c r="D16" s="12">
        <v>10.367469879518072</v>
      </c>
      <c r="E16" s="12">
        <v>10</v>
      </c>
      <c r="F16" s="12">
        <f t="shared" si="0"/>
        <v>0.8843782531627192</v>
      </c>
      <c r="G16" s="12">
        <f t="shared" si="1"/>
        <v>10.312516643085695</v>
      </c>
      <c r="H16" s="12">
        <f t="shared" si="2"/>
        <v>0.8796905667930952</v>
      </c>
      <c r="I16" s="12">
        <f t="shared" si="3"/>
        <v>9.901980665497936</v>
      </c>
      <c r="J16" s="12">
        <f t="shared" si="4"/>
        <v>0.9090858173076484</v>
      </c>
      <c r="K16" s="12">
        <v>1.0183823529411766</v>
      </c>
      <c r="L16" s="12">
        <v>5.292977926594472</v>
      </c>
      <c r="M16">
        <f t="shared" si="5"/>
        <v>0.8796905667930952</v>
      </c>
      <c r="T16">
        <f aca="true" t="shared" si="9" ref="T16:T21">D16</f>
        <v>10.367469879518072</v>
      </c>
      <c r="U16">
        <f t="shared" si="6"/>
        <v>6</v>
      </c>
      <c r="V16">
        <f t="shared" si="7"/>
        <v>2.449489742783178</v>
      </c>
      <c r="W16">
        <f t="shared" si="8"/>
        <v>9.901980665497936</v>
      </c>
      <c r="Y16" s="19" t="s">
        <v>75</v>
      </c>
      <c r="Z16" s="19">
        <v>0.9279855746377863</v>
      </c>
    </row>
    <row r="17" spans="1:26" ht="12.75">
      <c r="A17" t="s">
        <v>200</v>
      </c>
      <c r="B17">
        <v>5</v>
      </c>
      <c r="C17" s="59">
        <v>398</v>
      </c>
      <c r="D17" s="12">
        <v>11.374371859296483</v>
      </c>
      <c r="E17" s="12">
        <v>11</v>
      </c>
      <c r="F17" s="12">
        <f t="shared" si="0"/>
        <v>0.9702702040756171</v>
      </c>
      <c r="G17" s="12">
        <f t="shared" si="1"/>
        <v>11.280948205682876</v>
      </c>
      <c r="H17" s="12">
        <f t="shared" si="2"/>
        <v>0.9623008683990208</v>
      </c>
      <c r="I17" s="12">
        <f t="shared" si="3"/>
        <v>11.385229664055807</v>
      </c>
      <c r="J17" s="12">
        <f t="shared" si="4"/>
        <v>1.0452606568347589</v>
      </c>
      <c r="K17" s="12">
        <v>1.0859188544152738</v>
      </c>
      <c r="L17" s="12">
        <v>5.790032822276125</v>
      </c>
      <c r="M17">
        <f t="shared" si="5"/>
        <v>0.9623008683990208</v>
      </c>
      <c r="T17">
        <f t="shared" si="9"/>
        <v>11.374371859296483</v>
      </c>
      <c r="U17">
        <f t="shared" si="6"/>
        <v>5</v>
      </c>
      <c r="V17">
        <f t="shared" si="7"/>
        <v>2.23606797749979</v>
      </c>
      <c r="W17">
        <f t="shared" si="8"/>
        <v>11.385229664055807</v>
      </c>
      <c r="Y17" s="19" t="s">
        <v>76</v>
      </c>
      <c r="Z17" s="19">
        <v>0.8799759577296437</v>
      </c>
    </row>
    <row r="18" spans="1:26" ht="12.75">
      <c r="A18" t="s">
        <v>105</v>
      </c>
      <c r="B18">
        <v>4</v>
      </c>
      <c r="C18" s="59">
        <v>271</v>
      </c>
      <c r="D18" s="12">
        <v>11.546125461254613</v>
      </c>
      <c r="E18" s="12">
        <v>12</v>
      </c>
      <c r="F18" s="12">
        <f t="shared" si="0"/>
        <v>0.98492133422013</v>
      </c>
      <c r="G18" s="12">
        <f t="shared" si="1"/>
        <v>12.59388825446028</v>
      </c>
      <c r="H18" s="12">
        <f t="shared" si="2"/>
        <v>1.074298842865199</v>
      </c>
      <c r="I18" s="12">
        <f t="shared" si="3"/>
        <v>12.88318827201015</v>
      </c>
      <c r="J18" s="12">
        <f t="shared" si="4"/>
        <v>1.1827859632767426</v>
      </c>
      <c r="K18" s="12">
        <v>1.2013559322033904</v>
      </c>
      <c r="L18" s="12">
        <v>6.4639093295959995</v>
      </c>
      <c r="M18">
        <f t="shared" si="5"/>
        <v>1.074298842865199</v>
      </c>
      <c r="T18">
        <f t="shared" si="9"/>
        <v>11.546125461254613</v>
      </c>
      <c r="U18">
        <f t="shared" si="6"/>
        <v>4</v>
      </c>
      <c r="V18">
        <f t="shared" si="7"/>
        <v>2</v>
      </c>
      <c r="W18">
        <f t="shared" si="8"/>
        <v>12.88318827201015</v>
      </c>
      <c r="Y18" s="19" t="s">
        <v>77</v>
      </c>
      <c r="Z18" s="19">
        <v>1.0294294901756713</v>
      </c>
    </row>
    <row r="19" spans="1:26" ht="13.5" thickBot="1">
      <c r="A19" t="s">
        <v>54</v>
      </c>
      <c r="B19">
        <v>3</v>
      </c>
      <c r="C19" s="59">
        <v>75</v>
      </c>
      <c r="D19" s="12">
        <v>14.813333333333333</v>
      </c>
      <c r="E19" s="12">
        <v>14</v>
      </c>
      <c r="F19" s="12">
        <f t="shared" si="0"/>
        <v>1.2636245881680235</v>
      </c>
      <c r="G19" s="12">
        <f t="shared" si="1"/>
        <v>16.61791399627396</v>
      </c>
      <c r="H19" s="12">
        <f t="shared" si="2"/>
        <v>1.4175610753658854</v>
      </c>
      <c r="I19" s="12">
        <f t="shared" si="3"/>
        <v>14.401854988421823</v>
      </c>
      <c r="J19" s="12">
        <f t="shared" si="4"/>
        <v>1.322212449728845</v>
      </c>
      <c r="K19" s="12">
        <v>1.327058823529412</v>
      </c>
      <c r="L19" s="12">
        <v>8.529271274175095</v>
      </c>
      <c r="M19">
        <f t="shared" si="5"/>
        <v>1.4175610753658856</v>
      </c>
      <c r="T19">
        <f t="shared" si="9"/>
        <v>14.813333333333333</v>
      </c>
      <c r="U19">
        <f t="shared" si="6"/>
        <v>3</v>
      </c>
      <c r="V19">
        <f t="shared" si="7"/>
        <v>1.7320508075688772</v>
      </c>
      <c r="W19">
        <f t="shared" si="8"/>
        <v>14.401854988421823</v>
      </c>
      <c r="Y19" s="20" t="s">
        <v>78</v>
      </c>
      <c r="Z19" s="20">
        <v>6</v>
      </c>
    </row>
    <row r="20" spans="1:23" ht="12.75">
      <c r="A20" t="s">
        <v>66</v>
      </c>
      <c r="B20">
        <v>2</v>
      </c>
      <c r="C20" s="59">
        <v>49</v>
      </c>
      <c r="D20" s="12">
        <v>16.857142857142858</v>
      </c>
      <c r="E20" s="12">
        <v>16</v>
      </c>
      <c r="F20" s="12">
        <f t="shared" si="0"/>
        <v>1.4379680603429355</v>
      </c>
      <c r="G20" s="12">
        <f t="shared" si="1"/>
        <v>17.74575939095938</v>
      </c>
      <c r="H20" s="12">
        <f t="shared" si="2"/>
        <v>1.5137698853823052</v>
      </c>
      <c r="I20" s="12">
        <f t="shared" si="3"/>
        <v>15.952925965762713</v>
      </c>
      <c r="J20" s="12">
        <f t="shared" si="4"/>
        <v>1.4646139221990206</v>
      </c>
      <c r="K20" s="12">
        <v>1.5163636363636361</v>
      </c>
      <c r="L20" s="12">
        <v>9.10814653666339</v>
      </c>
      <c r="M20">
        <f t="shared" si="5"/>
        <v>1.5137698853823054</v>
      </c>
      <c r="T20">
        <f t="shared" si="9"/>
        <v>16.857142857142858</v>
      </c>
      <c r="U20">
        <f t="shared" si="6"/>
        <v>2</v>
      </c>
      <c r="V20">
        <f t="shared" si="7"/>
        <v>1.4142135623730951</v>
      </c>
      <c r="W20">
        <f t="shared" si="8"/>
        <v>15.952925965762713</v>
      </c>
    </row>
    <row r="21" spans="1:25" ht="13.5" thickBot="1">
      <c r="A21" t="s">
        <v>2</v>
      </c>
      <c r="B21">
        <v>1</v>
      </c>
      <c r="C21" s="59">
        <v>14</v>
      </c>
      <c r="D21" s="12">
        <v>17.133333333333333</v>
      </c>
      <c r="E21" s="12">
        <v>13</v>
      </c>
      <c r="F21" s="12">
        <f t="shared" si="0"/>
        <v>1.4615279890152209</v>
      </c>
      <c r="G21" s="12">
        <f t="shared" si="1"/>
        <v>26.509144897178004</v>
      </c>
      <c r="H21" s="12">
        <f t="shared" si="2"/>
        <v>2.261314624440798</v>
      </c>
      <c r="I21" s="12">
        <f t="shared" si="3"/>
        <v>17.566597168130286</v>
      </c>
      <c r="J21" s="12">
        <f t="shared" si="4"/>
        <v>1.6127626263246082</v>
      </c>
      <c r="K21" s="12">
        <v>1.6088235294117648</v>
      </c>
      <c r="L21" s="12">
        <v>13.606021076119555</v>
      </c>
      <c r="M21">
        <f t="shared" si="5"/>
        <v>2.261314624440798</v>
      </c>
      <c r="T21">
        <f t="shared" si="9"/>
        <v>17.133333333333333</v>
      </c>
      <c r="U21">
        <f t="shared" si="6"/>
        <v>1</v>
      </c>
      <c r="V21">
        <f t="shared" si="7"/>
        <v>1</v>
      </c>
      <c r="W21">
        <f t="shared" si="8"/>
        <v>17.566597168130286</v>
      </c>
      <c r="Y21" t="s">
        <v>79</v>
      </c>
    </row>
    <row r="22" spans="8:30" ht="12.75">
      <c r="H22" s="12"/>
      <c r="I22" s="12"/>
      <c r="Y22" s="21"/>
      <c r="Z22" s="21" t="s">
        <v>82</v>
      </c>
      <c r="AA22" s="21" t="s">
        <v>83</v>
      </c>
      <c r="AB22" s="21" t="s">
        <v>11</v>
      </c>
      <c r="AC22" s="21" t="s">
        <v>55</v>
      </c>
      <c r="AD22" s="21" t="s">
        <v>84</v>
      </c>
    </row>
    <row r="23" spans="1:30" ht="12.75">
      <c r="A23" t="s">
        <v>112</v>
      </c>
      <c r="C23" s="59">
        <f>SUM(C13:C22)</f>
        <v>1462</v>
      </c>
      <c r="Y23" s="19" t="s">
        <v>58</v>
      </c>
      <c r="Z23" s="19">
        <v>2</v>
      </c>
      <c r="AA23" s="19">
        <v>40.96719141872499</v>
      </c>
      <c r="AB23" s="19">
        <v>20.483595709362493</v>
      </c>
      <c r="AC23" s="19">
        <v>19.329160164167</v>
      </c>
      <c r="AD23" s="19">
        <v>0.019325433712743995</v>
      </c>
    </row>
    <row r="24" spans="1:30" ht="12.75">
      <c r="A24" t="s">
        <v>67</v>
      </c>
      <c r="B24" s="12">
        <f>(B13*$C$13+B14*$C$14+B15*$C$15+B16*$C$16+B17*$C$17+B18*$C$18+B19*$C$19+B20*$C$20+B21*$C$21)/$C$23</f>
        <v>5.343365253077975</v>
      </c>
      <c r="D24" s="12">
        <f>(D13*$C$13+D14*$C$14+D15*$C$15+D16*$C$16+D17*$C$17+D18*$C$18+D19*$C$19+D20*$C$20+D21*$C$21)/$C$23</f>
        <v>11.722891016871865</v>
      </c>
      <c r="E24" s="12">
        <f>(E13*C13+E14*C14+E15*C15+E16*C16+E17*C17+E18*C18+E19*C19+E20*C20+E21*C21)/$C$23</f>
        <v>11.448016415868674</v>
      </c>
      <c r="H24" s="12"/>
      <c r="I24" s="12">
        <f>(I13*$C$13+I14*$C$14+I15*$C$15+I16*$C$16+I17*$C$17+I18*$C$18+I19*$C$19+I20*$C$20+I21*$C$21)/$C$23</f>
        <v>10.892239739064102</v>
      </c>
      <c r="L24" s="12">
        <f>(L13*$C$13+L14*$C$14+L15*$C$15+L16*$C$16+L17*$C$17+L18*$C$18+L19*$C$19+L20*$C$20+L21*$C$21)/$C$23</f>
        <v>6.016863345357879</v>
      </c>
      <c r="Y24" s="19" t="s">
        <v>80</v>
      </c>
      <c r="Z24" s="19">
        <v>3</v>
      </c>
      <c r="AA24" s="19">
        <v>3.1791752257300274</v>
      </c>
      <c r="AB24" s="19">
        <v>1.0597250752433425</v>
      </c>
      <c r="AC24" s="19"/>
      <c r="AD24" s="19"/>
    </row>
    <row r="25" spans="1:30" ht="13.5" thickBot="1">
      <c r="A25" s="5"/>
      <c r="Y25" s="20" t="s">
        <v>112</v>
      </c>
      <c r="Z25" s="20">
        <v>5</v>
      </c>
      <c r="AA25" s="20">
        <v>44.146366644455014</v>
      </c>
      <c r="AB25" s="20"/>
      <c r="AC25" s="20"/>
      <c r="AD25" s="20"/>
    </row>
    <row r="26" ht="13.5" thickBot="1">
      <c r="A26" s="33" t="s">
        <v>95</v>
      </c>
    </row>
    <row r="27" spans="1:33" ht="12.75">
      <c r="A27" s="5"/>
      <c r="Y27" s="21"/>
      <c r="Z27" s="21" t="s">
        <v>85</v>
      </c>
      <c r="AA27" s="21" t="s">
        <v>77</v>
      </c>
      <c r="AB27" s="21" t="s">
        <v>86</v>
      </c>
      <c r="AC27" s="21" t="s">
        <v>87</v>
      </c>
      <c r="AD27" s="21" t="s">
        <v>88</v>
      </c>
      <c r="AE27" s="21" t="s">
        <v>89</v>
      </c>
      <c r="AF27" s="21" t="s">
        <v>90</v>
      </c>
      <c r="AG27" s="21" t="s">
        <v>91</v>
      </c>
    </row>
    <row r="28" spans="1:33" ht="12.75">
      <c r="A28" s="5"/>
      <c r="Y28" s="19" t="s">
        <v>81</v>
      </c>
      <c r="Z28" s="19">
        <v>19.56075980124592</v>
      </c>
      <c r="AA28" s="19">
        <v>5.666894911030767</v>
      </c>
      <c r="AB28" s="19">
        <v>3.4517597570356138</v>
      </c>
      <c r="AC28" s="19">
        <v>0.04088430699046427</v>
      </c>
      <c r="AD28" s="19">
        <v>1.526171031453785</v>
      </c>
      <c r="AE28" s="19">
        <v>37.59534857103805</v>
      </c>
      <c r="AF28" s="19">
        <v>1.526171031453785</v>
      </c>
      <c r="AG28" s="19">
        <v>37.59534857103805</v>
      </c>
    </row>
    <row r="29" spans="25:33" ht="12.75">
      <c r="Y29" s="19" t="s">
        <v>92</v>
      </c>
      <c r="Z29" s="19">
        <v>-1.3446231315022519</v>
      </c>
      <c r="AA29" s="19">
        <v>1.9884509027184873</v>
      </c>
      <c r="AB29" s="19">
        <v>-0.6762164103041046</v>
      </c>
      <c r="AC29" s="19">
        <v>0.5473687049649298</v>
      </c>
      <c r="AD29" s="19">
        <v>-7.672761359307684</v>
      </c>
      <c r="AE29" s="19">
        <v>4.98351509630318</v>
      </c>
      <c r="AF29" s="19">
        <v>-7.672761359307684</v>
      </c>
      <c r="AG29" s="19">
        <v>4.98351509630318</v>
      </c>
    </row>
    <row r="30" spans="1:33" ht="13.5" thickBot="1">
      <c r="A30" s="33" t="s">
        <v>37</v>
      </c>
      <c r="G30">
        <f aca="true" t="shared" si="10" ref="G30:M30">G16-(G16-G15)*(6.69-$B$16)</f>
        <v>10.30803586879769</v>
      </c>
      <c r="H30">
        <f t="shared" si="10"/>
        <v>0.8793083424525673</v>
      </c>
      <c r="I30">
        <f t="shared" si="10"/>
        <v>8.886229752300697</v>
      </c>
      <c r="J30">
        <f t="shared" si="10"/>
        <v>0.8158312675060742</v>
      </c>
      <c r="K30">
        <f t="shared" si="10"/>
        <v>1.0215985294117647</v>
      </c>
      <c r="L30">
        <f t="shared" si="10"/>
        <v>5.290678134970245</v>
      </c>
      <c r="M30">
        <f t="shared" si="10"/>
        <v>0.8793083424525673</v>
      </c>
      <c r="Y30" s="20" t="s">
        <v>93</v>
      </c>
      <c r="Z30" s="20">
        <v>-0.6495395016133798</v>
      </c>
      <c r="AA30" s="20">
        <v>6.919251984757428</v>
      </c>
      <c r="AB30" s="20">
        <v>-0.0938742371349193</v>
      </c>
      <c r="AC30" s="20">
        <v>0.9311273420586018</v>
      </c>
      <c r="AD30" s="20">
        <v>-22.66968741308587</v>
      </c>
      <c r="AE30" s="20">
        <v>21.370608409859113</v>
      </c>
      <c r="AF30" s="20">
        <v>-22.66968741308587</v>
      </c>
      <c r="AG30" s="20">
        <v>21.370608409859113</v>
      </c>
    </row>
    <row r="33" spans="9:10" ht="12.75">
      <c r="I33" s="52" t="s">
        <v>96</v>
      </c>
      <c r="J33" s="16"/>
    </row>
    <row r="34" spans="8:10" ht="12.75">
      <c r="H34" s="16"/>
      <c r="I34" s="16" t="s">
        <v>116</v>
      </c>
      <c r="J34" s="16" t="s">
        <v>204</v>
      </c>
    </row>
    <row r="35" spans="8:10" ht="12.75">
      <c r="H35" s="16" t="s">
        <v>152</v>
      </c>
      <c r="I35" s="16" t="s">
        <v>97</v>
      </c>
      <c r="J35" s="16" t="s">
        <v>138</v>
      </c>
    </row>
    <row r="36" spans="8:10" ht="7.5" customHeight="1">
      <c r="H36" s="3"/>
      <c r="I36" s="3"/>
      <c r="J36" s="3"/>
    </row>
    <row r="37" spans="4:10" ht="12.75">
      <c r="D37" t="s">
        <v>98</v>
      </c>
      <c r="H37" s="6">
        <f>'CAPM VL'!C15+'CAPM VL'!F15</f>
        <v>0.12689999999999999</v>
      </c>
      <c r="I37" s="6">
        <f>'CAPM VL'!D15+'CAPM VL'!G15</f>
        <v>0.10741990099009902</v>
      </c>
      <c r="J37" s="6">
        <f>'CAPM VL'!E15+'CAPM VL'!H15</f>
        <v>0.0888</v>
      </c>
    </row>
    <row r="38" spans="8:10" ht="7.5" customHeight="1">
      <c r="H38" s="6"/>
      <c r="I38" s="6"/>
      <c r="J38" s="6"/>
    </row>
    <row r="39" spans="4:10" ht="12.75">
      <c r="D39" s="33" t="s">
        <v>99</v>
      </c>
      <c r="H39" s="6">
        <f>H37*$H$30</f>
        <v>0.11158422865723078</v>
      </c>
      <c r="I39" s="6">
        <f>I37*$H$30</f>
        <v>0.09445521508602285</v>
      </c>
      <c r="J39" s="6">
        <f>J37*$H$30</f>
        <v>0.07808258080978797</v>
      </c>
    </row>
    <row r="40" spans="4:10" ht="12.75">
      <c r="D40" s="33" t="s">
        <v>100</v>
      </c>
      <c r="H40" s="6">
        <f>H37*$J$30</f>
        <v>0.1035289878465208</v>
      </c>
      <c r="I40" s="6">
        <f>I37*$J$30</f>
        <v>0.08763651398012946</v>
      </c>
      <c r="J40" s="6">
        <f>J37*$J$30</f>
        <v>0.07244581655453938</v>
      </c>
    </row>
    <row r="41" spans="4:10" ht="12.75">
      <c r="D41" s="33" t="s">
        <v>38</v>
      </c>
      <c r="H41" s="6">
        <f>H37*$M$30</f>
        <v>0.11158422865723078</v>
      </c>
      <c r="I41" s="6">
        <f>I37*$M$30</f>
        <v>0.09445521508602285</v>
      </c>
      <c r="J41" s="6">
        <f>J37*$M$30</f>
        <v>0.07808258080978797</v>
      </c>
    </row>
    <row r="42" spans="4:10" ht="7.5" customHeight="1">
      <c r="D42" s="33"/>
      <c r="H42" s="11"/>
      <c r="I42" s="11"/>
      <c r="J42" s="11"/>
    </row>
    <row r="43" spans="4:10" ht="12.75">
      <c r="D43" s="33"/>
      <c r="F43" t="s">
        <v>122</v>
      </c>
      <c r="H43" s="6">
        <f>AVERAGE(H39:H41)</f>
        <v>0.10889914838699412</v>
      </c>
      <c r="I43" s="6">
        <f>AVERAGE(I39:I41)</f>
        <v>0.09218231471739173</v>
      </c>
      <c r="J43" s="6">
        <f>AVERAGE(J39:J41)</f>
        <v>0.07620365939137178</v>
      </c>
    </row>
    <row r="44" spans="1:13" ht="12.75">
      <c r="A44" s="33"/>
      <c r="D44" s="6"/>
      <c r="E44" s="6"/>
      <c r="F44" s="6"/>
      <c r="G44" s="6"/>
      <c r="H44" s="6"/>
      <c r="I44" s="6"/>
      <c r="J44" s="6"/>
      <c r="K44" s="6"/>
      <c r="L44" s="6"/>
      <c r="M44" s="6"/>
    </row>
  </sheetData>
  <printOptions/>
  <pageMargins left="0.44" right="0.34" top="0.75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2006-08-08T16:29:27Z</cp:lastPrinted>
  <dcterms:created xsi:type="dcterms:W3CDTF">2005-04-13T20:46:41Z</dcterms:created>
  <dcterms:modified xsi:type="dcterms:W3CDTF">2006-08-18T17:03:42Z</dcterms:modified>
  <cp:category/>
  <cp:version/>
  <cp:contentType/>
  <cp:contentStatus/>
</cp:coreProperties>
</file>