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0" windowWidth="11970" windowHeight="3210" tabRatio="743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Backup1-DO NOT PRINT" sheetId="6" r:id="rId6"/>
    <sheet name="Backup2-DO NOT PRINT" sheetId="7" r:id="rId7"/>
  </sheets>
  <definedNames>
    <definedName name="cg" localSheetId="2">'Page 3'!$A$1:$G$31</definedName>
    <definedName name="cg">'Page 2'!$A$1:$P$31</definedName>
    <definedName name="COLS">'Page 5'!$A$2:$O$49</definedName>
    <definedName name="DCF2" localSheetId="2">'Page 3'!$A$5:$G$28</definedName>
    <definedName name="DCF2">'Page 2'!$A$4:$P$28</definedName>
    <definedName name="DCF3" localSheetId="3">'Page 4'!$A$6:$M$29</definedName>
    <definedName name="DCF3">#REF!</definedName>
    <definedName name="EXTRACT">'Backup2-DO NOT PRINT'!$B$3:$Q$3</definedName>
    <definedName name="Header">'Backup2-DO NOT PRINT'!$C$25</definedName>
    <definedName name="inputs">#REF!</definedName>
    <definedName name="notes">'Page 5'!$A$1:$N$49</definedName>
    <definedName name="_xlnm.Print_Area" localSheetId="5">'Backup1-DO NOT PRINT'!$A$1:$N$21</definedName>
    <definedName name="_xlnm.Print_Area" localSheetId="0">'Page 1'!$A$1:$F$29</definedName>
    <definedName name="_xlnm.Print_Area" localSheetId="3">'Page 4'!$A$1:$M$31</definedName>
    <definedName name="sum">'Page 1'!$A$1:$E$26</definedName>
    <definedName name="tv" localSheetId="3">'Page 4'!$A$1:$M$27</definedName>
    <definedName name="tv">#REF!</definedName>
  </definedNames>
  <calcPr fullCalcOnLoad="1"/>
</workbook>
</file>

<file path=xl/sharedStrings.xml><?xml version="1.0" encoding="utf-8"?>
<sst xmlns="http://schemas.openxmlformats.org/spreadsheetml/2006/main" count="354" uniqueCount="303">
  <si>
    <t>Company</t>
  </si>
  <si>
    <t>GROUP AVERAGE</t>
  </si>
  <si>
    <t>GROUP MEDIAN</t>
  </si>
  <si>
    <t>Group Average Check</t>
  </si>
  <si>
    <t>Group Median Check</t>
  </si>
  <si>
    <t>Projected Growth Rate Analysis</t>
  </si>
  <si>
    <t>Next</t>
  </si>
  <si>
    <t>Average</t>
  </si>
  <si>
    <t xml:space="preserve">ROE   </t>
  </si>
  <si>
    <t>Recent</t>
  </si>
  <si>
    <t>Year's</t>
  </si>
  <si>
    <t>Dividend</t>
  </si>
  <si>
    <t>Retention</t>
  </si>
  <si>
    <t xml:space="preserve">B*R </t>
  </si>
  <si>
    <t>Value</t>
  </si>
  <si>
    <t>Growth</t>
  </si>
  <si>
    <t xml:space="preserve">K=Div Yld+G </t>
  </si>
  <si>
    <t>Price(P0)</t>
  </si>
  <si>
    <t>Div(D1)</t>
  </si>
  <si>
    <t>Yield</t>
  </si>
  <si>
    <t>DPS</t>
  </si>
  <si>
    <t>EPS</t>
  </si>
  <si>
    <t>Rate (B)</t>
  </si>
  <si>
    <t xml:space="preserve">NBV </t>
  </si>
  <si>
    <t>ROE (R)</t>
  </si>
  <si>
    <t>Line</t>
  </si>
  <si>
    <t>Annual</t>
  </si>
  <si>
    <t>CASH FLOWS</t>
  </si>
  <si>
    <t>ROE=Internal</t>
  </si>
  <si>
    <t>Change</t>
  </si>
  <si>
    <t>Year 1</t>
  </si>
  <si>
    <t>Year 2</t>
  </si>
  <si>
    <t>Year 3</t>
  </si>
  <si>
    <t>Year 4</t>
  </si>
  <si>
    <t>Rate of Return</t>
  </si>
  <si>
    <t>Div</t>
  </si>
  <si>
    <t>Price</t>
  </si>
  <si>
    <t>DCF Analysis Column Descriptions</t>
  </si>
  <si>
    <t>Column 3:  Column 2 Divided by Column 1</t>
  </si>
  <si>
    <t>Column 6:  One Minus (Column 4 Divided by Column 5)</t>
  </si>
  <si>
    <t>Column 8:  Column 5 Divided by Column 7</t>
  </si>
  <si>
    <t>Column 9:  Column 6 Multiplied by Column 8</t>
  </si>
  <si>
    <t xml:space="preserve">                          Reported by Value Line.</t>
  </si>
  <si>
    <t>EXTRACT RANGE</t>
  </si>
  <si>
    <t>Name</t>
  </si>
  <si>
    <t>Ticker</t>
  </si>
  <si>
    <t>S&amp;P_Rating</t>
  </si>
  <si>
    <t>VL_Growth</t>
  </si>
  <si>
    <t>Zacks_Growth</t>
  </si>
  <si>
    <t>Moody_Rating</t>
  </si>
  <si>
    <t>Median</t>
  </si>
  <si>
    <t>Constant Growth</t>
  </si>
  <si>
    <t>DCF Model</t>
  </si>
  <si>
    <t>Summary Of DCF Model Results</t>
  </si>
  <si>
    <t>Zacks</t>
  </si>
  <si>
    <t>IRR</t>
  </si>
  <si>
    <t>P0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</si>
  <si>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</si>
  <si>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</si>
  <si>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</si>
  <si>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</si>
  <si>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</si>
  <si>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</si>
  <si>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</si>
  <si>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</si>
  <si>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</si>
  <si>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</si>
  <si>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</si>
  <si>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</si>
  <si>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</si>
  <si>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</si>
  <si>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</si>
  <si>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</si>
  <si>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</si>
  <si>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</si>
  <si>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</si>
  <si>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</si>
  <si>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</si>
  <si>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</si>
  <si>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</si>
  <si>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</si>
  <si>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</si>
  <si>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</si>
  <si>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</si>
  <si>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</si>
  <si>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</si>
  <si>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</si>
  <si>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</si>
  <si>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</si>
  <si>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</si>
  <si>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</si>
  <si>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</si>
  <si>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</si>
  <si>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</si>
  <si>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</si>
  <si>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</si>
  <si>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</si>
  <si>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</si>
  <si>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</si>
  <si>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</si>
  <si>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</si>
  <si>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</si>
  <si>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</si>
  <si>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</si>
  <si>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</si>
  <si>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</si>
  <si>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</si>
  <si>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</si>
  <si>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</si>
  <si>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</si>
  <si>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</si>
  <si>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</si>
  <si>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</si>
  <si>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</si>
  <si>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</si>
  <si>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</si>
  <si>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</si>
  <si>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</si>
  <si>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</si>
  <si>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</si>
  <si>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</si>
  <si>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</si>
  <si>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</si>
  <si>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</si>
  <si>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</si>
  <si>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</si>
  <si>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</si>
  <si>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</si>
  <si>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</si>
  <si>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</si>
  <si>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</si>
  <si>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</si>
  <si>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</si>
  <si>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</si>
  <si>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</si>
  <si>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</si>
  <si>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</si>
  <si>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</si>
  <si>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</si>
  <si>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</si>
  <si>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</si>
  <si>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</si>
  <si>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</si>
  <si>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</si>
  <si>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</si>
  <si>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</si>
  <si>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</si>
  <si>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</si>
  <si>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</si>
  <si>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</si>
  <si>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</si>
  <si>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</si>
  <si>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</si>
  <si>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</si>
  <si>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</si>
  <si>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</si>
  <si>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</si>
  <si>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</si>
  <si>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</si>
  <si>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</si>
  <si>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</si>
  <si>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</si>
  <si>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</si>
  <si>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</si>
  <si>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</si>
  <si>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</si>
  <si>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</si>
  <si>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</si>
  <si>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</si>
  <si>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</si>
  <si>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</si>
  <si>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</si>
  <si>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</si>
  <si>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</si>
  <si>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</si>
  <si>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</si>
  <si>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</si>
  <si>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</si>
  <si>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</si>
  <si>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</si>
  <si>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</si>
  <si>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</si>
  <si>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</si>
  <si>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</si>
  <si>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</si>
  <si>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</si>
  <si>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</si>
  <si>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</si>
  <si>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</si>
  <si>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</si>
  <si>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</si>
  <si>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</si>
  <si>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</si>
  <si>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</si>
  <si>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</si>
  <si>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</si>
  <si>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</si>
  <si>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</si>
  <si>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</si>
  <si>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</si>
  <si>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</si>
  <si>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</si>
  <si>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</si>
  <si>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</si>
  <si>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</si>
  <si>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</si>
  <si>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</si>
  <si>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Two-Stage Growth</t>
  </si>
  <si>
    <t>Year 5</t>
  </si>
  <si>
    <t>Div  Growth</t>
  </si>
  <si>
    <t xml:space="preserve">(Yrs 0-150) </t>
  </si>
  <si>
    <t>Year 5-150</t>
  </si>
  <si>
    <t xml:space="preserve">                          for the Years 6-150 Implied by the Growth</t>
  </si>
  <si>
    <t>Low Near-Term Growth</t>
  </si>
  <si>
    <t>Near-Term Growth</t>
  </si>
  <si>
    <t>Long-Term Growth</t>
  </si>
  <si>
    <t>Two-Stage Growth DCF Model</t>
  </si>
  <si>
    <t>Con. Edison</t>
  </si>
  <si>
    <t>ED</t>
  </si>
  <si>
    <t>NSTAR</t>
  </si>
  <si>
    <t>NST</t>
  </si>
  <si>
    <t>SCANA Corp.</t>
  </si>
  <si>
    <t>SCG</t>
  </si>
  <si>
    <t>Southern Co.</t>
  </si>
  <si>
    <t>SO</t>
  </si>
  <si>
    <t>Vectren Corp.</t>
  </si>
  <si>
    <t>VVC</t>
  </si>
  <si>
    <t>% Elec Revs</t>
  </si>
  <si>
    <t>Ameren</t>
  </si>
  <si>
    <t>AEE</t>
  </si>
  <si>
    <t>GDP</t>
  </si>
  <si>
    <t>Column 10:  "Next 5 Years" Company Growth Estimate as</t>
  </si>
  <si>
    <t xml:space="preserve">                          Reported by Zacks.com</t>
  </si>
  <si>
    <t>Column 13:  Average of Columns 9-12</t>
  </si>
  <si>
    <t>Column 14:  Column 3 Plus Column 13</t>
  </si>
  <si>
    <t>EPS04</t>
  </si>
  <si>
    <t>DPS05</t>
  </si>
  <si>
    <t>CH Energy Group</t>
  </si>
  <si>
    <t>CHG</t>
  </si>
  <si>
    <t>NA</t>
  </si>
  <si>
    <t>Xcel Energy Inc.</t>
  </si>
  <si>
    <t>XEL</t>
  </si>
  <si>
    <t>(Cols 3+13)</t>
  </si>
  <si>
    <t xml:space="preserve">(Cols 9-12) </t>
  </si>
  <si>
    <t>Column 15:  See Column 1</t>
  </si>
  <si>
    <t>Column 16:  See Column 2</t>
  </si>
  <si>
    <t>Column 17:  Column 16 Divided by Column 15</t>
  </si>
  <si>
    <t>Column 19:  Column 17 Plus Column 18</t>
  </si>
  <si>
    <t>(Cols 17+18)</t>
  </si>
  <si>
    <t>Column 20:  See Column 2</t>
  </si>
  <si>
    <t>Column 23:  See Column 1</t>
  </si>
  <si>
    <t>Column 30:  The Internal Rate of Return of the Cash Flows</t>
  </si>
  <si>
    <t>Column 21:  See Column 4</t>
  </si>
  <si>
    <t>Column 22:  (Column 21 Minus Column 20) Divided by Three</t>
  </si>
  <si>
    <t>Column 24:  See Column 20</t>
  </si>
  <si>
    <t>Column 25:  Column 24 Plus Column 22</t>
  </si>
  <si>
    <t>Column 26:  Column 25 Plus Column 22</t>
  </si>
  <si>
    <t>Column 27:  Column 26 Plus Column 22</t>
  </si>
  <si>
    <t>Column 28:  Column 27 Increased by the Growth</t>
  </si>
  <si>
    <t xml:space="preserve">                          Rate Shown in Column 29</t>
  </si>
  <si>
    <t xml:space="preserve">                          in Columns 23-28 along with the Dividends</t>
  </si>
  <si>
    <t xml:space="preserve">                          Rates shown in Column 29</t>
  </si>
  <si>
    <t>Traditional</t>
  </si>
  <si>
    <t>Long-Term GDP Growth</t>
  </si>
  <si>
    <t>3-Mo Avg Prices</t>
  </si>
  <si>
    <t>Year 2009 "BR" Growth Rate Calculation</t>
  </si>
  <si>
    <t>2009</t>
  </si>
  <si>
    <t>to 2009</t>
  </si>
  <si>
    <t>Column 2:  Estimated 2006 Dividends per Share from Value Line</t>
  </si>
  <si>
    <t>Column 4:  Estimated 2009 Dividends per Share from Value Line</t>
  </si>
  <si>
    <t>Column 5:  Estimated 2009 Earnings per Share from Value Line</t>
  </si>
  <si>
    <t>Column 7:  Estimated 2009 Net Book Value per Share from Value Line</t>
  </si>
  <si>
    <t>Column 11:  "Est'D 02-04 To 08-10" Earnings Growth as</t>
  </si>
  <si>
    <t>Energy East Corp.</t>
  </si>
  <si>
    <t>EAS</t>
  </si>
  <si>
    <t>EPS05</t>
  </si>
  <si>
    <t>EPS09</t>
  </si>
  <si>
    <t>DPS06</t>
  </si>
  <si>
    <t>DPS09</t>
  </si>
  <si>
    <t>NBV09</t>
  </si>
  <si>
    <t>BusPos</t>
  </si>
  <si>
    <t>Column 18:  See Column 12</t>
  </si>
  <si>
    <t>Column 29:  See Column 12</t>
  </si>
  <si>
    <t xml:space="preserve">                          30 year, 40 year, 50 year, and 57 year growth periods.</t>
  </si>
  <si>
    <t>Column 12:  Average of GDP Growth During the Last 10 year, 20 year,</t>
  </si>
  <si>
    <t>Discounted Cash Flow Analysis</t>
  </si>
  <si>
    <t>Alliant Energy Co.</t>
  </si>
  <si>
    <t>LNT</t>
  </si>
  <si>
    <t>Empire District</t>
  </si>
  <si>
    <t>EDE</t>
  </si>
  <si>
    <t>MGE Energy, Inc.</t>
  </si>
  <si>
    <t>MGEE</t>
  </si>
  <si>
    <t>Progress Energy</t>
  </si>
  <si>
    <t>PGN</t>
  </si>
  <si>
    <t>NOTE:  SEE PAGE 5 OF THIS SCHEDULE FOR FURTHER EXPLANATION OF EACH COLUMN.</t>
  </si>
  <si>
    <t>Header:</t>
  </si>
  <si>
    <t>cntl-h</t>
  </si>
  <si>
    <t>Sources:  Value Line Investment Survey, Electric Utility (East), Dec 2, 2005; (Central), Dec 30, 2005; (West), Nov 11, 2005</t>
  </si>
  <si>
    <t>Column 1:  Three-month Average Price per Share (Oct-Dec 2005)</t>
  </si>
  <si>
    <t>A/A-</t>
  </si>
  <si>
    <t>A2</t>
  </si>
  <si>
    <t>PacifiCorp Utah</t>
  </si>
  <si>
    <t>Exhibit UPL__(SCH-5)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</si>
</sst>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  <numFmt numFmtId="167" formatCode="0.0_)"/>
    <numFmt numFmtId="168" formatCode="#,##0.0_);\(#,##0.0\)"/>
    <numFmt numFmtId="169" formatCode="0.00_);\(0.00\)"/>
    <numFmt numFmtId="170" formatCode="0_);\(0\)"/>
    <numFmt numFmtId="171" formatCode="0.000%"/>
    <numFmt numFmtId="172" formatCode="0.0000%"/>
    <numFmt numFmtId="173" formatCode="0.00000"/>
    <numFmt numFmtId="174" formatCode="0.0000"/>
    <numFmt numFmtId="175" formatCode="0.000"/>
    <numFmt numFmtId="176" formatCode="0.000_)"/>
    <numFmt numFmtId="177" formatCode="0.0000_)"/>
    <numFmt numFmtId="178" formatCode="0.0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  <numFmt numFmtId="186" formatCode="[$-409]dddd\,\ mmmm\ dd\,\ yyyy"/>
    <numFmt numFmtId="187" formatCode="mm/dd/yy;@"/>
  </numFmts>
  <fonts count="21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name val="Arial"/>
      <family val="2"/>
    </font>
    <font>
      <i/>
      <sz val="12"/>
      <color indexed="8"/>
      <name val="Arial"/>
      <family val="0"/>
    </font>
    <font>
      <sz val="12"/>
      <color indexed="9"/>
      <name val="Arial"/>
      <family val="2"/>
    </font>
    <font>
      <sz val="18"/>
      <name val="Arial"/>
      <family val="0"/>
    </font>
    <font>
      <sz val="8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8"/>
      <name val="Arial"/>
      <family val="0"/>
    </font>
    <font>
      <b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2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0" applyProtection="0">
      <alignment/>
    </xf>
    <xf numFmtId="2" fontId="4" fillId="0" borderId="0" applyProtection="0">
      <alignment/>
    </xf>
    <xf numFmtId="0" fontId="19" fillId="0" borderId="0" applyProtection="0">
      <alignment/>
    </xf>
    <xf numFmtId="0" fontId="1" fillId="0" borderId="0" applyProtection="0">
      <alignment/>
    </xf>
    <xf numFmtId="0" fontId="4" fillId="0" borderId="0">
      <alignment vertical="top"/>
      <protection/>
    </xf>
    <xf numFmtId="9" fontId="4" fillId="0" borderId="0" applyFont="0" applyFill="0" applyBorder="0" applyAlignment="0" applyProtection="0"/>
    <xf numFmtId="0" fontId="4" fillId="0" borderId="1" applyProtection="0">
      <alignment/>
    </xf>
  </cellStyleXfs>
  <cellXfs count="2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right"/>
      <protection/>
    </xf>
    <xf numFmtId="164" fontId="6" fillId="0" borderId="6" xfId="0" applyNumberFormat="1" applyFont="1" applyBorder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right"/>
      <protection/>
    </xf>
    <xf numFmtId="0" fontId="6" fillId="0" borderId="6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/>
    </xf>
    <xf numFmtId="165" fontId="6" fillId="0" borderId="6" xfId="0" applyNumberFormat="1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0" fontId="6" fillId="0" borderId="6" xfId="0" applyNumberFormat="1" applyFont="1" applyBorder="1" applyAlignment="1" applyProtection="1">
      <alignment/>
      <protection/>
    </xf>
    <xf numFmtId="166" fontId="6" fillId="0" borderId="7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/>
      <protection/>
    </xf>
    <xf numFmtId="165" fontId="6" fillId="0" borderId="6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/>
    </xf>
    <xf numFmtId="10" fontId="6" fillId="0" borderId="4" xfId="0" applyNumberFormat="1" applyFont="1" applyBorder="1" applyAlignment="1" applyProtection="1">
      <alignment/>
      <protection/>
    </xf>
    <xf numFmtId="166" fontId="6" fillId="0" borderId="11" xfId="0" applyNumberFormat="1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10" fontId="6" fillId="0" borderId="9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Continuous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right"/>
    </xf>
    <xf numFmtId="164" fontId="6" fillId="0" borderId="13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/>
      <protection/>
    </xf>
    <xf numFmtId="165" fontId="6" fillId="0" borderId="13" xfId="0" applyNumberFormat="1" applyFont="1" applyBorder="1" applyAlignment="1" applyProtection="1">
      <alignment/>
      <protection/>
    </xf>
    <xf numFmtId="165" fontId="6" fillId="0" borderId="2" xfId="0" applyNumberFormat="1" applyFont="1" applyBorder="1" applyAlignment="1" applyProtection="1">
      <alignment/>
      <protection/>
    </xf>
    <xf numFmtId="0" fontId="6" fillId="0" borderId="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 horizontal="left"/>
    </xf>
    <xf numFmtId="164" fontId="6" fillId="0" borderId="0" xfId="0" applyNumberFormat="1" applyFont="1" applyAlignment="1" applyProtection="1">
      <alignment horizontal="right"/>
      <protection/>
    </xf>
    <xf numFmtId="10" fontId="6" fillId="0" borderId="0" xfId="0" applyNumberFormat="1" applyFont="1" applyAlignment="1" applyProtection="1">
      <alignment horizontal="centerContinuous"/>
      <protection/>
    </xf>
    <xf numFmtId="0" fontId="6" fillId="0" borderId="2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166" fontId="6" fillId="0" borderId="7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166" fontId="6" fillId="0" borderId="15" xfId="0" applyNumberFormat="1" applyFont="1" applyBorder="1" applyAlignment="1" applyProtection="1">
      <alignment horizontal="center"/>
      <protection/>
    </xf>
    <xf numFmtId="166" fontId="6" fillId="0" borderId="16" xfId="0" applyNumberFormat="1" applyFont="1" applyBorder="1" applyAlignment="1" applyProtection="1">
      <alignment horizontal="center"/>
      <protection/>
    </xf>
    <xf numFmtId="166" fontId="6" fillId="0" borderId="17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9" xfId="0" applyFont="1" applyBorder="1" applyAlignment="1" quotePrefix="1">
      <alignment horizontal="right"/>
    </xf>
    <xf numFmtId="166" fontId="6" fillId="0" borderId="7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 quotePrefix="1">
      <alignment horizontal="centerContinuous"/>
      <protection/>
    </xf>
    <xf numFmtId="164" fontId="6" fillId="0" borderId="6" xfId="0" applyNumberFormat="1" applyFont="1" applyBorder="1" applyAlignment="1" applyProtection="1" quotePrefix="1">
      <alignment horizontal="right"/>
      <protection/>
    </xf>
    <xf numFmtId="0" fontId="6" fillId="0" borderId="8" xfId="0" applyFont="1" applyBorder="1" applyAlignment="1" applyProtection="1" quotePrefix="1">
      <alignment horizontal="right"/>
      <protection/>
    </xf>
    <xf numFmtId="0" fontId="6" fillId="0" borderId="0" xfId="0" applyFont="1" applyAlignment="1" applyProtection="1" quotePrefix="1">
      <alignment horizontal="right"/>
      <protection/>
    </xf>
    <xf numFmtId="0" fontId="6" fillId="0" borderId="9" xfId="0" applyFont="1" applyBorder="1" applyAlignment="1" applyProtection="1" quotePrefix="1">
      <alignment horizontal="right"/>
      <protection/>
    </xf>
    <xf numFmtId="0" fontId="8" fillId="0" borderId="13" xfId="0" applyFont="1" applyBorder="1" applyAlignment="1" applyProtection="1">
      <alignment horizontal="centerContinuous"/>
      <protection/>
    </xf>
    <xf numFmtId="0" fontId="11" fillId="0" borderId="14" xfId="0" applyFont="1" applyBorder="1" applyAlignment="1" applyProtection="1" quotePrefix="1">
      <alignment horizontal="right"/>
      <protection/>
    </xf>
    <xf numFmtId="0" fontId="11" fillId="0" borderId="8" xfId="0" applyFont="1" applyBorder="1" applyAlignment="1" applyProtection="1" quotePrefix="1">
      <alignment horizontal="right"/>
      <protection/>
    </xf>
    <xf numFmtId="0" fontId="8" fillId="0" borderId="7" xfId="0" applyFont="1" applyBorder="1" applyAlignment="1" applyProtection="1" quotePrefix="1">
      <alignment horizontal="right"/>
      <protection/>
    </xf>
    <xf numFmtId="0" fontId="6" fillId="0" borderId="7" xfId="0" applyFont="1" applyBorder="1" applyAlignment="1" quotePrefix="1">
      <alignment horizontal="right"/>
    </xf>
    <xf numFmtId="0" fontId="4" fillId="0" borderId="7" xfId="0" applyFont="1" applyBorder="1" applyAlignment="1" quotePrefix="1">
      <alignment horizontal="right"/>
    </xf>
    <xf numFmtId="0" fontId="11" fillId="0" borderId="14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left"/>
      <protection/>
    </xf>
    <xf numFmtId="10" fontId="6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166" fontId="6" fillId="2" borderId="0" xfId="0" applyNumberFormat="1" applyFont="1" applyFill="1" applyAlignment="1">
      <alignment horizontal="center"/>
    </xf>
    <xf numFmtId="0" fontId="12" fillId="2" borderId="0" xfId="0" applyFont="1" applyFill="1" applyAlignment="1" applyProtection="1">
      <alignment/>
      <protection/>
    </xf>
    <xf numFmtId="37" fontId="6" fillId="0" borderId="18" xfId="0" applyNumberFormat="1" applyFon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>
      <alignment/>
    </xf>
    <xf numFmtId="37" fontId="8" fillId="0" borderId="18" xfId="0" applyNumberFormat="1" applyFont="1" applyBorder="1" applyAlignment="1">
      <alignment/>
    </xf>
    <xf numFmtId="37" fontId="6" fillId="0" borderId="19" xfId="0" applyNumberFormat="1" applyFont="1" applyBorder="1" applyAlignment="1">
      <alignment/>
    </xf>
    <xf numFmtId="37" fontId="8" fillId="0" borderId="19" xfId="0" applyNumberFormat="1" applyFont="1" applyBorder="1" applyAlignment="1">
      <alignment horizontal="right"/>
    </xf>
    <xf numFmtId="37" fontId="8" fillId="0" borderId="20" xfId="0" applyNumberFormat="1" applyFont="1" applyBorder="1" applyAlignment="1">
      <alignment horizontal="right"/>
    </xf>
    <xf numFmtId="39" fontId="4" fillId="0" borderId="0" xfId="0" applyNumberFormat="1" applyFont="1" applyFill="1" applyAlignment="1">
      <alignment/>
    </xf>
    <xf numFmtId="0" fontId="6" fillId="0" borderId="4" xfId="0" applyFont="1" applyBorder="1" applyAlignment="1" applyProtection="1">
      <alignment horizontal="left"/>
      <protection/>
    </xf>
    <xf numFmtId="166" fontId="6" fillId="0" borderId="21" xfId="0" applyNumberFormat="1" applyFont="1" applyBorder="1" applyAlignment="1" applyProtection="1">
      <alignment horizontal="left"/>
      <protection/>
    </xf>
    <xf numFmtId="0" fontId="4" fillId="0" borderId="2" xfId="0" applyFont="1" applyFill="1" applyBorder="1" applyAlignment="1">
      <alignment horizontal="center"/>
    </xf>
    <xf numFmtId="39" fontId="4" fillId="0" borderId="0" xfId="0" applyNumberFormat="1" applyFont="1" applyFill="1" applyAlignment="1" applyProtection="1">
      <alignment/>
      <protection/>
    </xf>
    <xf numFmtId="171" fontId="0" fillId="0" borderId="0" xfId="0" applyNumberFormat="1" applyAlignment="1">
      <alignment/>
    </xf>
    <xf numFmtId="7" fontId="4" fillId="0" borderId="0" xfId="0" applyNumberFormat="1" applyFont="1" applyFill="1" applyAlignment="1" applyProtection="1">
      <alignment/>
      <protection/>
    </xf>
    <xf numFmtId="10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0" fontId="4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39" fontId="4" fillId="0" borderId="2" xfId="0" applyNumberFormat="1" applyFont="1" applyFill="1" applyBorder="1" applyAlignment="1">
      <alignment horizontal="right"/>
    </xf>
    <xf numFmtId="39" fontId="4" fillId="0" borderId="2" xfId="0" applyNumberFormat="1" applyFont="1" applyFill="1" applyBorder="1" applyAlignment="1" quotePrefix="1">
      <alignment horizontal="right"/>
    </xf>
    <xf numFmtId="0" fontId="4" fillId="0" borderId="2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right"/>
    </xf>
    <xf numFmtId="164" fontId="6" fillId="0" borderId="0" xfId="0" applyNumberFormat="1" applyFont="1" applyAlignment="1" applyProtection="1" quotePrefix="1">
      <alignment horizontal="right"/>
      <protection/>
    </xf>
    <xf numFmtId="0" fontId="4" fillId="0" borderId="0" xfId="30">
      <alignment/>
      <protection/>
    </xf>
    <xf numFmtId="10" fontId="4" fillId="0" borderId="0" xfId="31" applyNumberFormat="1" applyAlignment="1">
      <alignment/>
    </xf>
    <xf numFmtId="2" fontId="4" fillId="0" borderId="0" xfId="30" applyNumberFormat="1">
      <alignment/>
      <protection/>
    </xf>
    <xf numFmtId="0" fontId="4" fillId="0" borderId="22" xfId="30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 quotePrefix="1">
      <alignment horizontal="right"/>
      <protection/>
    </xf>
    <xf numFmtId="164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4" fillId="0" borderId="0" xfId="30" applyBorder="1">
      <alignment/>
      <protection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4" fillId="0" borderId="0" xfId="30" applyFont="1" applyBorder="1">
      <alignment/>
      <protection/>
    </xf>
    <xf numFmtId="10" fontId="4" fillId="0" borderId="23" xfId="30" applyNumberFormat="1" applyBorder="1">
      <alignment/>
      <protection/>
    </xf>
    <xf numFmtId="10" fontId="4" fillId="0" borderId="0" xfId="30" applyNumberFormat="1" applyBorder="1">
      <alignment/>
      <protection/>
    </xf>
    <xf numFmtId="10" fontId="4" fillId="0" borderId="0" xfId="31" applyNumberFormat="1" applyFont="1" applyAlignment="1">
      <alignment/>
    </xf>
    <xf numFmtId="2" fontId="0" fillId="0" borderId="0" xfId="0" applyNumberFormat="1" applyFill="1" applyAlignment="1" applyProtection="1">
      <alignment/>
      <protection/>
    </xf>
    <xf numFmtId="0" fontId="4" fillId="0" borderId="0" xfId="30" applyFont="1">
      <alignment/>
      <protection/>
    </xf>
    <xf numFmtId="10" fontId="4" fillId="0" borderId="24" xfId="30" applyNumberFormat="1" applyBorder="1">
      <alignment/>
      <protection/>
    </xf>
    <xf numFmtId="0" fontId="20" fillId="0" borderId="0" xfId="0" applyFont="1" applyAlignment="1">
      <alignment/>
    </xf>
    <xf numFmtId="10" fontId="1" fillId="0" borderId="0" xfId="30" applyNumberFormat="1" applyFont="1">
      <alignment/>
      <protection/>
    </xf>
    <xf numFmtId="0" fontId="1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/>
      <protection/>
    </xf>
    <xf numFmtId="0" fontId="6" fillId="0" borderId="13" xfId="0" applyFont="1" applyBorder="1" applyAlignment="1">
      <alignment horizontal="centerContinuous"/>
    </xf>
    <xf numFmtId="164" fontId="4" fillId="0" borderId="0" xfId="0" applyNumberFormat="1" applyFont="1" applyFill="1" applyAlignment="1">
      <alignment horizontal="center"/>
    </xf>
    <xf numFmtId="7" fontId="4" fillId="0" borderId="0" xfId="0" applyNumberFormat="1" applyFont="1" applyFill="1" applyAlignment="1">
      <alignment/>
    </xf>
    <xf numFmtId="166" fontId="12" fillId="2" borderId="0" xfId="0" applyNumberFormat="1" applyFont="1" applyFill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2" xfId="0" applyFill="1" applyBorder="1" applyAlignment="1">
      <alignment horizontal="right"/>
    </xf>
    <xf numFmtId="166" fontId="4" fillId="0" borderId="0" xfId="31" applyNumberFormat="1" applyFont="1" applyFill="1" applyAlignment="1">
      <alignment/>
    </xf>
    <xf numFmtId="0" fontId="6" fillId="0" borderId="0" xfId="0" applyFont="1" applyAlignment="1" applyProtection="1" quotePrefix="1">
      <alignment horizontal="centerContinuous"/>
      <protection/>
    </xf>
    <xf numFmtId="39" fontId="4" fillId="0" borderId="22" xfId="0" applyNumberFormat="1" applyFont="1" applyFill="1" applyBorder="1" applyAlignment="1">
      <alignment horizontal="right"/>
    </xf>
    <xf numFmtId="166" fontId="4" fillId="0" borderId="0" xfId="31" applyNumberFormat="1" applyFont="1" applyFill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 quotePrefix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 quotePrefix="1">
      <alignment horizontal="right"/>
      <protection/>
    </xf>
    <xf numFmtId="166" fontId="6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 horizontal="centerContinuous"/>
      <protection/>
    </xf>
    <xf numFmtId="0" fontId="6" fillId="0" borderId="0" xfId="0" applyFont="1" applyBorder="1" applyAlignment="1" applyProtection="1">
      <alignment horizontal="right"/>
      <protection/>
    </xf>
    <xf numFmtId="10" fontId="6" fillId="0" borderId="0" xfId="0" applyNumberFormat="1" applyFont="1" applyBorder="1" applyAlignment="1" applyProtection="1">
      <alignment/>
      <protection/>
    </xf>
    <xf numFmtId="10" fontId="6" fillId="0" borderId="2" xfId="0" applyNumberFormat="1" applyFont="1" applyBorder="1" applyAlignment="1" applyProtection="1">
      <alignment/>
      <protection/>
    </xf>
    <xf numFmtId="37" fontId="8" fillId="0" borderId="20" xfId="0" applyNumberFormat="1" applyFont="1" applyBorder="1" applyAlignment="1" applyProtection="1">
      <alignment horizontal="right"/>
      <protection/>
    </xf>
    <xf numFmtId="10" fontId="6" fillId="0" borderId="6" xfId="0" applyNumberFormat="1" applyFont="1" applyBorder="1" applyAlignment="1" applyProtection="1">
      <alignment horizontal="right"/>
      <protection/>
    </xf>
    <xf numFmtId="0" fontId="6" fillId="0" borderId="14" xfId="0" applyFont="1" applyBorder="1" applyAlignment="1" applyProtection="1" quotePrefix="1">
      <alignment horizontal="center"/>
      <protection/>
    </xf>
    <xf numFmtId="1" fontId="6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/>
    </xf>
    <xf numFmtId="164" fontId="6" fillId="0" borderId="6" xfId="0" applyNumberFormat="1" applyFont="1" applyFill="1" applyBorder="1" applyAlignment="1" applyProtection="1" quotePrefix="1">
      <alignment horizontal="right"/>
      <protection/>
    </xf>
    <xf numFmtId="0" fontId="6" fillId="0" borderId="8" xfId="0" applyFont="1" applyFill="1" applyBorder="1" applyAlignment="1" applyProtection="1" quotePrefix="1">
      <alignment horizontal="right"/>
      <protection/>
    </xf>
    <xf numFmtId="10" fontId="6" fillId="0" borderId="0" xfId="31" applyNumberFormat="1" applyFont="1" applyFill="1" applyAlignment="1" applyProtection="1" quotePrefix="1">
      <alignment/>
      <protection/>
    </xf>
    <xf numFmtId="0" fontId="0" fillId="0" borderId="22" xfId="0" applyFill="1" applyBorder="1" applyAlignment="1">
      <alignment/>
    </xf>
    <xf numFmtId="166" fontId="0" fillId="0" borderId="0" xfId="31" applyNumberFormat="1" applyFill="1" applyAlignment="1">
      <alignment/>
    </xf>
    <xf numFmtId="169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8" fontId="0" fillId="0" borderId="0" xfId="0" applyNumberFormat="1" applyFill="1" applyAlignment="1">
      <alignment horizontal="center"/>
    </xf>
    <xf numFmtId="37" fontId="8" fillId="0" borderId="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 horizontal="right"/>
    </xf>
    <xf numFmtId="37" fontId="8" fillId="0" borderId="3" xfId="0" applyNumberFormat="1" applyFont="1" applyBorder="1" applyAlignment="1">
      <alignment horizontal="right"/>
    </xf>
    <xf numFmtId="37" fontId="8" fillId="0" borderId="5" xfId="0" applyNumberFormat="1" applyFont="1" applyBorder="1" applyAlignment="1">
      <alignment horizontal="right"/>
    </xf>
    <xf numFmtId="10" fontId="6" fillId="0" borderId="0" xfId="0" applyNumberFormat="1" applyFont="1" applyBorder="1" applyAlignment="1" applyProtection="1">
      <alignment horizontal="right"/>
      <protection/>
    </xf>
    <xf numFmtId="166" fontId="6" fillId="0" borderId="12" xfId="0" applyNumberFormat="1" applyFont="1" applyBorder="1" applyAlignment="1" applyProtection="1">
      <alignment/>
      <protection/>
    </xf>
    <xf numFmtId="0" fontId="6" fillId="0" borderId="15" xfId="0" applyFont="1" applyBorder="1" applyAlignment="1">
      <alignment horizontal="right"/>
    </xf>
    <xf numFmtId="0" fontId="0" fillId="0" borderId="0" xfId="0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0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4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 applyProtection="1" quotePrefix="1">
      <alignment horizontal="right"/>
      <protection/>
    </xf>
    <xf numFmtId="10" fontId="0" fillId="0" borderId="0" xfId="0" applyNumberFormat="1" applyFill="1" applyAlignment="1" applyProtection="1">
      <alignment horizontal="right"/>
      <protection/>
    </xf>
    <xf numFmtId="166" fontId="6" fillId="0" borderId="11" xfId="0" applyNumberFormat="1" applyFont="1" applyBorder="1" applyAlignment="1" applyProtection="1">
      <alignment horizontal="right"/>
      <protection/>
    </xf>
    <xf numFmtId="2" fontId="0" fillId="0" borderId="18" xfId="0" applyNumberFormat="1" applyFill="1" applyBorder="1" applyAlignment="1" applyProtection="1">
      <alignment/>
      <protection/>
    </xf>
    <xf numFmtId="10" fontId="6" fillId="0" borderId="20" xfId="0" applyNumberFormat="1" applyFont="1" applyBorder="1" applyAlignment="1" applyProtection="1">
      <alignment/>
      <protection/>
    </xf>
    <xf numFmtId="165" fontId="6" fillId="0" borderId="19" xfId="0" applyNumberFormat="1" applyFont="1" applyBorder="1" applyAlignment="1" applyProtection="1">
      <alignment/>
      <protection/>
    </xf>
    <xf numFmtId="10" fontId="6" fillId="0" borderId="19" xfId="0" applyNumberFormat="1" applyFont="1" applyBorder="1" applyAlignment="1" applyProtection="1">
      <alignment/>
      <protection/>
    </xf>
    <xf numFmtId="10" fontId="6" fillId="0" borderId="18" xfId="0" applyNumberFormat="1" applyFont="1" applyBorder="1" applyAlignment="1" applyProtection="1">
      <alignment horizontal="right"/>
      <protection/>
    </xf>
    <xf numFmtId="10" fontId="6" fillId="0" borderId="19" xfId="0" applyNumberFormat="1" applyFont="1" applyBorder="1" applyAlignment="1" applyProtection="1">
      <alignment horizontal="right"/>
      <protection/>
    </xf>
    <xf numFmtId="10" fontId="6" fillId="0" borderId="16" xfId="0" applyNumberFormat="1" applyFont="1" applyBorder="1" applyAlignment="1" applyProtection="1">
      <alignment/>
      <protection/>
    </xf>
    <xf numFmtId="10" fontId="6" fillId="0" borderId="8" xfId="0" applyNumberFormat="1" applyFont="1" applyBorder="1" applyAlignment="1" applyProtection="1">
      <alignment/>
      <protection/>
    </xf>
    <xf numFmtId="10" fontId="6" fillId="0" borderId="12" xfId="0" applyNumberFormat="1" applyFont="1" applyBorder="1" applyAlignment="1" applyProtection="1">
      <alignment/>
      <protection/>
    </xf>
    <xf numFmtId="2" fontId="6" fillId="0" borderId="19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10" fontId="6" fillId="0" borderId="25" xfId="0" applyNumberFormat="1" applyFont="1" applyBorder="1" applyAlignment="1" applyProtection="1">
      <alignment/>
      <protection/>
    </xf>
    <xf numFmtId="166" fontId="6" fillId="0" borderId="21" xfId="0" applyNumberFormat="1" applyFont="1" applyBorder="1" applyAlignment="1" applyProtection="1">
      <alignment/>
      <protection/>
    </xf>
    <xf numFmtId="0" fontId="6" fillId="0" borderId="25" xfId="0" applyFont="1" applyBorder="1" applyAlignment="1">
      <alignment/>
    </xf>
    <xf numFmtId="166" fontId="6" fillId="0" borderId="21" xfId="0" applyNumberFormat="1" applyFont="1" applyBorder="1" applyAlignment="1" applyProtection="1">
      <alignment horizontal="right"/>
      <protection/>
    </xf>
    <xf numFmtId="166" fontId="6" fillId="0" borderId="16" xfId="0" applyNumberFormat="1" applyFont="1" applyBorder="1" applyAlignment="1" applyProtection="1">
      <alignment/>
      <protection/>
    </xf>
    <xf numFmtId="2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2" xfId="0" applyFont="1" applyBorder="1" applyAlignment="1" applyProtection="1">
      <alignment horizontal="center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Date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xed" xfId="27"/>
    <cellStyle name="HEADING1" xfId="28"/>
    <cellStyle name="HEADING2" xfId="29"/>
    <cellStyle name="Normal_Zepp DCF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F42"/>
  <sheetViews>
    <sheetView showGridLines="0" tabSelected="1" defaultGridColor="0" zoomScale="80" zoomScaleNormal="80" colorId="22" workbookViewId="0" topLeftCell="A1">
      <selection activeCell="A1" sqref="A1:E1"/>
    </sheetView>
  </sheetViews>
  <sheetFormatPr defaultColWidth="9.77734375" defaultRowHeight="15"/>
  <cols>
    <col min="1" max="1" width="3.77734375" style="1" customWidth="1"/>
    <col min="2" max="5" width="21.77734375" style="1" customWidth="1"/>
    <col min="6" max="16384" width="9.77734375" style="1" customWidth="1"/>
  </cols>
  <sheetData>
    <row r="1" spans="1:5" ht="20.25">
      <c r="A1" s="213" t="s">
        <v>301</v>
      </c>
      <c r="B1" s="213"/>
      <c r="C1" s="213"/>
      <c r="D1" s="213"/>
      <c r="E1" s="213"/>
    </row>
    <row r="2" spans="1:5" ht="18">
      <c r="A2" s="214" t="s">
        <v>285</v>
      </c>
      <c r="B2" s="214"/>
      <c r="C2" s="214"/>
      <c r="D2" s="214"/>
      <c r="E2" s="214"/>
    </row>
    <row r="3" spans="1:5" ht="18">
      <c r="A3" s="215" t="s">
        <v>53</v>
      </c>
      <c r="B3" s="215"/>
      <c r="C3" s="215"/>
      <c r="D3" s="215"/>
      <c r="E3" s="215"/>
    </row>
    <row r="4" spans="1:5" ht="15">
      <c r="A4"/>
      <c r="B4" s="16"/>
      <c r="C4" s="16"/>
      <c r="D4" s="16"/>
      <c r="E4" s="16"/>
    </row>
    <row r="5" spans="1:5" ht="15">
      <c r="A5" s="8"/>
      <c r="B5" s="9"/>
      <c r="C5" s="62"/>
      <c r="D5" s="62"/>
      <c r="E5" s="62"/>
    </row>
    <row r="6" spans="1:5" ht="15">
      <c r="A6" s="13"/>
      <c r="B6" s="6"/>
      <c r="C6" s="145" t="s">
        <v>262</v>
      </c>
      <c r="D6" s="63" t="s">
        <v>51</v>
      </c>
      <c r="E6" s="145" t="s">
        <v>213</v>
      </c>
    </row>
    <row r="7" spans="1:5" ht="15">
      <c r="A7" s="13"/>
      <c r="B7" s="6"/>
      <c r="C7" s="63" t="s">
        <v>51</v>
      </c>
      <c r="D7" s="63" t="s">
        <v>52</v>
      </c>
      <c r="E7" s="63" t="s">
        <v>207</v>
      </c>
    </row>
    <row r="8" spans="1:5" ht="15.75" thickBot="1">
      <c r="A8" s="22"/>
      <c r="B8" s="23" t="s">
        <v>0</v>
      </c>
      <c r="C8" s="64" t="s">
        <v>52</v>
      </c>
      <c r="D8" s="163" t="s">
        <v>263</v>
      </c>
      <c r="E8" s="64" t="s">
        <v>52</v>
      </c>
    </row>
    <row r="9" spans="1:5" ht="15.75" thickTop="1">
      <c r="A9" s="17"/>
      <c r="B9" s="74"/>
      <c r="C9" s="63"/>
      <c r="D9" s="63"/>
      <c r="E9" s="63"/>
    </row>
    <row r="10" spans="1:5" ht="15">
      <c r="A10" s="13">
        <f>'Page 2'!A12</f>
        <v>1</v>
      </c>
      <c r="B10" s="6" t="str">
        <f>'Page 2'!B12</f>
        <v>Alliant Energy Co.</v>
      </c>
      <c r="C10" s="65">
        <f>'Page 2'!P12</f>
        <v>0.09051263980048715</v>
      </c>
      <c r="D10" s="65">
        <f>'Page 3'!G12</f>
        <v>0.10453078862081383</v>
      </c>
      <c r="E10" s="65">
        <f>'Backup1-DO NOT PRINT'!G6</f>
        <v>0.100146240817006</v>
      </c>
    </row>
    <row r="11" spans="1:5" ht="15">
      <c r="A11" s="13">
        <f>'Page 2'!A13</f>
        <v>2</v>
      </c>
      <c r="B11" s="6" t="str">
        <f>'Page 2'!B13</f>
        <v>Ameren</v>
      </c>
      <c r="C11" s="65">
        <f>'Page 2'!P13</f>
        <v>0.0923051977683198</v>
      </c>
      <c r="D11" s="65">
        <f>'Page 3'!G13</f>
        <v>0.1148023568592289</v>
      </c>
      <c r="E11" s="65">
        <f>'Backup1-DO NOT PRINT'!G7</f>
        <v>0.10674127858073004</v>
      </c>
    </row>
    <row r="12" spans="1:5" ht="15">
      <c r="A12" s="13">
        <f>'Page 2'!A14</f>
        <v>3</v>
      </c>
      <c r="B12" s="6" t="str">
        <f>'Page 2'!B14</f>
        <v>CH Energy Group</v>
      </c>
      <c r="C12" s="65">
        <f>'Page 2'!P14</f>
        <v>0.09358488883626413</v>
      </c>
      <c r="D12" s="65">
        <f>'Page 3'!G14</f>
        <v>0.11243996130003225</v>
      </c>
      <c r="E12" s="65">
        <f>'Backup1-DO NOT PRINT'!G8</f>
        <v>0.10538287344584513</v>
      </c>
    </row>
    <row r="13" spans="1:5" ht="15">
      <c r="A13" s="13">
        <f>'Page 2'!A15</f>
        <v>4</v>
      </c>
      <c r="B13" s="6" t="str">
        <f>'Page 2'!B15</f>
        <v>Con. Edison</v>
      </c>
      <c r="C13" s="65">
        <f>'Page 2'!P15</f>
        <v>0.08526508849160304</v>
      </c>
      <c r="D13" s="65">
        <f>'Page 3'!G15</f>
        <v>0.11610711303148034</v>
      </c>
      <c r="E13" s="65">
        <f>'Backup1-DO NOT PRINT'!G9</f>
        <v>0.10889708118937119</v>
      </c>
    </row>
    <row r="14" spans="1:5" ht="15">
      <c r="A14" s="13">
        <f>'Page 2'!A16</f>
        <v>5</v>
      </c>
      <c r="B14" s="6" t="str">
        <f>'Page 2'!B16</f>
        <v>Empire District</v>
      </c>
      <c r="C14" s="65">
        <f>'Page 2'!P16</f>
        <v>0.1062940550850843</v>
      </c>
      <c r="D14" s="65">
        <f>'Page 3'!G16</f>
        <v>0.1273565550850843</v>
      </c>
      <c r="E14" s="65">
        <f>'Backup1-DO NOT PRINT'!G10</f>
        <v>0.11754661508514196</v>
      </c>
    </row>
    <row r="15" spans="1:5" ht="15">
      <c r="A15" s="13">
        <f>'Page 2'!A17</f>
        <v>6</v>
      </c>
      <c r="B15" s="6" t="str">
        <f>'Page 2'!B17</f>
        <v>Energy East Corp.</v>
      </c>
      <c r="C15" s="65">
        <f>'Page 2'!P17</f>
        <v>0.09662184074644442</v>
      </c>
      <c r="D15" s="65">
        <f>'Page 3'!G17</f>
        <v>0.11588374550834918</v>
      </c>
      <c r="E15" s="65">
        <f>'Backup1-DO NOT PRINT'!G11</f>
        <v>0.11327778456306777</v>
      </c>
    </row>
    <row r="16" spans="1:5" ht="15">
      <c r="A16" s="13">
        <f>'Page 2'!A18</f>
        <v>7</v>
      </c>
      <c r="B16" s="6" t="str">
        <f>'Page 2'!B18</f>
        <v>MGE Energy, Inc.</v>
      </c>
      <c r="C16" s="65">
        <f>'Page 2'!P18</f>
        <v>0.09962458142759101</v>
      </c>
      <c r="D16" s="65">
        <f>'Page 3'!G18</f>
        <v>0.10562101636520241</v>
      </c>
      <c r="E16" s="65">
        <f>'Backup1-DO NOT PRINT'!G12</f>
        <v>0.10015818534192907</v>
      </c>
    </row>
    <row r="17" spans="1:5" ht="15">
      <c r="A17" s="13">
        <f>'Page 2'!A19</f>
        <v>8</v>
      </c>
      <c r="B17" s="6" t="str">
        <f>'Page 2'!B19</f>
        <v>NSTAR</v>
      </c>
      <c r="C17" s="65">
        <f>'Page 2'!P19</f>
        <v>0.08762199116294603</v>
      </c>
      <c r="D17" s="65">
        <f>'Page 3'!G19</f>
        <v>0.10915770544866032</v>
      </c>
      <c r="E17" s="65">
        <f>'Backup1-DO NOT PRINT'!G13</f>
        <v>0.10529394011533819</v>
      </c>
    </row>
    <row r="18" spans="1:5" ht="15">
      <c r="A18" s="13">
        <f>'Page 2'!A20</f>
        <v>9</v>
      </c>
      <c r="B18" s="6" t="str">
        <f>'Page 2'!B20</f>
        <v>Progress Energy</v>
      </c>
      <c r="C18" s="65">
        <f>'Page 2'!P20</f>
        <v>0.10044159688490231</v>
      </c>
      <c r="D18" s="65">
        <f>'Page 3'!G20</f>
        <v>0.12174594471098926</v>
      </c>
      <c r="E18" s="65">
        <f>'Backup1-DO NOT PRINT'!G14</f>
        <v>0.11378966199442989</v>
      </c>
    </row>
    <row r="19" spans="1:5" ht="15">
      <c r="A19" s="13">
        <f>'Page 2'!A21</f>
        <v>10</v>
      </c>
      <c r="B19" s="6" t="str">
        <f>'Page 2'!B21</f>
        <v>SCANA Corp.</v>
      </c>
      <c r="C19" s="65">
        <f>'Page 2'!P21</f>
        <v>0.09276426731842324</v>
      </c>
      <c r="D19" s="65">
        <f>'Page 3'!G21</f>
        <v>0.10747580577996169</v>
      </c>
      <c r="E19" s="65">
        <f>'Backup1-DO NOT PRINT'!G15</f>
        <v>0.10517768559465078</v>
      </c>
    </row>
    <row r="20" spans="1:5" ht="15">
      <c r="A20" s="13">
        <f>'Page 2'!A22</f>
        <v>11</v>
      </c>
      <c r="B20" s="6" t="str">
        <f>'Page 2'!B22</f>
        <v>Southern Co.</v>
      </c>
      <c r="C20" s="65">
        <f>'Page 2'!P22</f>
        <v>0.09320259406794343</v>
      </c>
      <c r="D20" s="65">
        <f>'Page 3'!G22</f>
        <v>0.11007105136821892</v>
      </c>
      <c r="E20" s="65">
        <f>'Backup1-DO NOT PRINT'!G16</f>
        <v>0.10676266128582722</v>
      </c>
    </row>
    <row r="21" spans="1:5" ht="15">
      <c r="A21" s="13">
        <f>'Page 2'!A23</f>
        <v>12</v>
      </c>
      <c r="B21" s="6" t="str">
        <f>'Page 2'!B23</f>
        <v>Vectren Corp.</v>
      </c>
      <c r="C21" s="65">
        <f>'Page 2'!P23</f>
        <v>0.09184707689480433</v>
      </c>
      <c r="D21" s="65">
        <f>'Page 3'!G23</f>
        <v>0.11125108835612238</v>
      </c>
      <c r="E21" s="65">
        <f>'Backup1-DO NOT PRINT'!G17</f>
        <v>0.10716880822582729</v>
      </c>
    </row>
    <row r="22" spans="1:5" ht="15">
      <c r="A22" s="13">
        <f>'Page 2'!A24</f>
        <v>13</v>
      </c>
      <c r="B22" s="6" t="str">
        <f>'Page 2'!B24</f>
        <v>Xcel Energy Inc.</v>
      </c>
      <c r="C22" s="65">
        <f>'Page 2'!P24</f>
        <v>0.10068498659517428</v>
      </c>
      <c r="D22" s="65">
        <f>'Page 3'!G24</f>
        <v>0.11318498659517427</v>
      </c>
      <c r="E22" s="65">
        <f>'Backup1-DO NOT PRINT'!G18</f>
        <v>0.11247004882748413</v>
      </c>
    </row>
    <row r="23" spans="1:5" ht="15">
      <c r="A23" s="66"/>
      <c r="B23" s="61"/>
      <c r="C23" s="68"/>
      <c r="D23" s="67"/>
      <c r="E23" s="67"/>
    </row>
    <row r="24" spans="1:5" ht="15">
      <c r="A24" s="66"/>
      <c r="B24" s="101" t="s">
        <v>1</v>
      </c>
      <c r="C24" s="68">
        <f>'Page 2'!P26</f>
        <v>0.09467467731384517</v>
      </c>
      <c r="D24" s="69">
        <f>'Page 3'!G26</f>
        <v>0.11304831684840908</v>
      </c>
      <c r="E24" s="69">
        <f>'Backup1-DO NOT PRINT'!G20</f>
        <v>0.10790868192820374</v>
      </c>
    </row>
    <row r="25" spans="1:6" ht="15.75" thickBot="1">
      <c r="A25" s="38"/>
      <c r="B25" s="102" t="s">
        <v>2</v>
      </c>
      <c r="C25" s="70">
        <f>'Page 2'!P27</f>
        <v>0.09320259406794343</v>
      </c>
      <c r="D25" s="70">
        <f>'Page 3'!G27</f>
        <v>0.11243996130003225</v>
      </c>
      <c r="E25" s="70">
        <f>'Backup1-DO NOT PRINT'!G21</f>
        <v>0.10676266128582722</v>
      </c>
      <c r="F25"/>
    </row>
    <row r="26" spans="1:5" ht="15" customHeight="1" thickTop="1">
      <c r="A26"/>
      <c r="B26"/>
      <c r="C26"/>
      <c r="D26"/>
      <c r="E26"/>
    </row>
    <row r="27" spans="1:5" ht="15" customHeight="1">
      <c r="A27" s="71" t="s">
        <v>297</v>
      </c>
      <c r="B27"/>
      <c r="C27" s="105"/>
      <c r="D27" s="105"/>
      <c r="E27"/>
    </row>
    <row r="28" spans="1:5" ht="15" customHeight="1">
      <c r="A28" s="71"/>
      <c r="B28"/>
      <c r="C28"/>
      <c r="D28"/>
      <c r="E28"/>
    </row>
    <row r="29" spans="1:5" ht="15" customHeight="1">
      <c r="A29" s="6" t="s">
        <v>294</v>
      </c>
      <c r="B29"/>
      <c r="C29"/>
      <c r="D29"/>
      <c r="E29"/>
    </row>
    <row r="30" spans="1:5" ht="15" customHeight="1">
      <c r="A30"/>
      <c r="B30"/>
      <c r="C30"/>
      <c r="D30"/>
      <c r="E30"/>
    </row>
    <row r="31" spans="1:5" ht="15" customHeight="1">
      <c r="A31"/>
      <c r="B31"/>
      <c r="C31"/>
      <c r="D31"/>
      <c r="E31"/>
    </row>
    <row r="32" spans="1:5" ht="15" customHeight="1">
      <c r="A32"/>
      <c r="B32"/>
      <c r="D32"/>
      <c r="E32"/>
    </row>
    <row r="33" spans="1:5" ht="15">
      <c r="A33"/>
      <c r="B33"/>
      <c r="C33"/>
      <c r="D33"/>
      <c r="E33"/>
    </row>
    <row r="34" spans="1:5" ht="15">
      <c r="A34"/>
      <c r="B34"/>
      <c r="C34"/>
      <c r="D34"/>
      <c r="E34"/>
    </row>
    <row r="35" spans="1:5" ht="15">
      <c r="A35" s="43"/>
      <c r="B35" s="91" t="s">
        <v>3</v>
      </c>
      <c r="C35" s="144">
        <f>AVERAGEA(C10:C23)</f>
        <v>0.09467467731384517</v>
      </c>
      <c r="D35" s="144">
        <f>AVERAGEA(D10:D23)</f>
        <v>0.11304831684840908</v>
      </c>
      <c r="E35" s="144">
        <f>AVERAGEA(E10:E23)</f>
        <v>0.10790868192820374</v>
      </c>
    </row>
    <row r="36" spans="1:5" ht="15">
      <c r="A36" s="43"/>
      <c r="B36" s="91" t="s">
        <v>4</v>
      </c>
      <c r="C36" s="144">
        <f>MEDIAN(C10:C23)</f>
        <v>0.09320259406794343</v>
      </c>
      <c r="D36" s="144">
        <f>MEDIAN(D10:D23)</f>
        <v>0.11243996130003225</v>
      </c>
      <c r="E36" s="144">
        <f>MEDIAN(E10:E23)</f>
        <v>0.10676266128582722</v>
      </c>
    </row>
    <row r="37" spans="1:5" ht="15">
      <c r="A37" s="43"/>
      <c r="B37" s="6"/>
      <c r="C37" s="43"/>
      <c r="D37"/>
      <c r="E37" s="90"/>
    </row>
    <row r="38" spans="1:5" ht="15">
      <c r="A38" s="43"/>
      <c r="B38" s="43"/>
      <c r="C38" s="43"/>
      <c r="D38" s="43"/>
      <c r="E38" s="43"/>
    </row>
    <row r="39" spans="1:5" ht="15">
      <c r="A39" s="43"/>
      <c r="B39" s="43"/>
      <c r="C39" s="43"/>
      <c r="D39" s="43"/>
      <c r="E39" s="43"/>
    </row>
    <row r="40" spans="1:5" ht="15">
      <c r="A40" s="43"/>
      <c r="B40" s="43"/>
      <c r="C40" s="43"/>
      <c r="D40" s="43"/>
      <c r="E40" s="43"/>
    </row>
    <row r="41" spans="1:5" ht="15">
      <c r="A41" s="43"/>
      <c r="B41" s="43"/>
      <c r="C41" s="43"/>
      <c r="D41" s="43"/>
      <c r="E41" s="43"/>
    </row>
    <row r="42" spans="1:5" ht="15">
      <c r="A42" s="43"/>
      <c r="B42" s="43"/>
      <c r="C42" s="43"/>
      <c r="D42" s="43"/>
      <c r="E42" s="43"/>
    </row>
  </sheetData>
  <mergeCells count="3">
    <mergeCell ref="A1:E1"/>
    <mergeCell ref="A2:E2"/>
    <mergeCell ref="A3:E3"/>
  </mergeCells>
  <printOptions horizontalCentered="1"/>
  <pageMargins left="0.5" right="0.5" top="1" bottom="0.5" header="0.5" footer="0.5"/>
  <pageSetup horizontalDpi="600" verticalDpi="600" orientation="landscape" scale="73" r:id="rId1"/>
  <headerFooter alignWithMargins="0">
    <oddHeader>&amp;RExhibit UPL__(SCH-5)
Page 1 of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P33"/>
  <sheetViews>
    <sheetView showGridLines="0" defaultGridColor="0" zoomScale="75" zoomScaleNormal="75" colorId="22" workbookViewId="0" topLeftCell="A1">
      <selection activeCell="A1" sqref="A1:E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8.10546875" style="1" bestFit="1" customWidth="1"/>
    <col min="6" max="7" width="7.77734375" style="1" customWidth="1"/>
    <col min="8" max="8" width="8.88671875" style="1" bestFit="1" customWidth="1"/>
    <col min="9" max="14" width="7.77734375" style="1" customWidth="1"/>
    <col min="15" max="15" width="10.6640625" style="1" customWidth="1"/>
    <col min="16" max="16" width="11.6640625" style="1" customWidth="1"/>
    <col min="17" max="16384" width="9.77734375" style="1" customWidth="1"/>
  </cols>
  <sheetData>
    <row r="1" spans="1:16" ht="20.25">
      <c r="A1" s="213" t="str">
        <f>'Page 1'!A1</f>
        <v>PacifiCorp Utah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 ht="18">
      <c r="A2" s="214" t="str">
        <f>'Page 1'!A2</f>
        <v>Discounted Cash Flow Analysis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8">
      <c r="A3" s="214" t="str">
        <f>'Page 1'!C6&amp;" "&amp;'Page 1'!C7&amp;" "&amp;'Page 1'!C8</f>
        <v>Traditional Constant Growth DCF Model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ht="15">
      <c r="A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95" customFormat="1" ht="15.75">
      <c r="A5" s="92"/>
      <c r="B5" s="93"/>
      <c r="C5" s="94">
        <v>-1</v>
      </c>
      <c r="D5" s="94">
        <f>C5-1</f>
        <v>-2</v>
      </c>
      <c r="E5" s="94">
        <f aca="true" t="shared" si="0" ref="E5:P5">D5-1</f>
        <v>-3</v>
      </c>
      <c r="F5" s="94">
        <f t="shared" si="0"/>
        <v>-4</v>
      </c>
      <c r="G5" s="94">
        <f t="shared" si="0"/>
        <v>-5</v>
      </c>
      <c r="H5" s="94">
        <f t="shared" si="0"/>
        <v>-6</v>
      </c>
      <c r="I5" s="94">
        <f t="shared" si="0"/>
        <v>-7</v>
      </c>
      <c r="J5" s="94">
        <f t="shared" si="0"/>
        <v>-8</v>
      </c>
      <c r="K5" s="94">
        <f t="shared" si="0"/>
        <v>-9</v>
      </c>
      <c r="L5" s="94">
        <f t="shared" si="0"/>
        <v>-10</v>
      </c>
      <c r="M5" s="94">
        <f t="shared" si="0"/>
        <v>-11</v>
      </c>
      <c r="N5" s="94">
        <f t="shared" si="0"/>
        <v>-12</v>
      </c>
      <c r="O5" s="94">
        <f t="shared" si="0"/>
        <v>-13</v>
      </c>
      <c r="P5" s="161">
        <f t="shared" si="0"/>
        <v>-14</v>
      </c>
    </row>
    <row r="6" spans="1:16" ht="15.75">
      <c r="A6" s="8"/>
      <c r="B6" s="9"/>
      <c r="C6" s="10"/>
      <c r="D6" s="11"/>
      <c r="E6" s="11"/>
      <c r="F6" s="10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15.75">
      <c r="A7" s="13"/>
      <c r="B7" s="6"/>
      <c r="C7" s="13"/>
      <c r="D7" s="6"/>
      <c r="E7" s="6"/>
      <c r="F7" s="80" t="s">
        <v>5</v>
      </c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ht="15.75">
      <c r="A8" s="13"/>
      <c r="B8" s="6"/>
      <c r="C8" s="13"/>
      <c r="D8" s="21" t="s">
        <v>6</v>
      </c>
      <c r="E8" s="6"/>
      <c r="F8" s="216" t="s">
        <v>265</v>
      </c>
      <c r="G8" s="217"/>
      <c r="H8" s="217"/>
      <c r="I8" s="217"/>
      <c r="J8" s="217"/>
      <c r="K8" s="218"/>
      <c r="L8" s="75"/>
      <c r="M8" s="16"/>
      <c r="N8" s="148"/>
      <c r="O8" s="17" t="s">
        <v>7</v>
      </c>
      <c r="P8" s="83" t="s">
        <v>8</v>
      </c>
    </row>
    <row r="9" spans="1:16" ht="15">
      <c r="A9" s="13"/>
      <c r="B9" s="6"/>
      <c r="C9" s="167" t="s">
        <v>9</v>
      </c>
      <c r="D9" s="59" t="s">
        <v>10</v>
      </c>
      <c r="E9" s="78" t="s">
        <v>11</v>
      </c>
      <c r="F9" s="13"/>
      <c r="G9" s="6"/>
      <c r="H9" s="21" t="s">
        <v>12</v>
      </c>
      <c r="I9" s="6"/>
      <c r="J9" s="21"/>
      <c r="K9" s="21" t="s">
        <v>13</v>
      </c>
      <c r="L9" s="75"/>
      <c r="M9" s="21" t="s">
        <v>14</v>
      </c>
      <c r="N9" s="21" t="s">
        <v>230</v>
      </c>
      <c r="O9" s="17" t="s">
        <v>15</v>
      </c>
      <c r="P9" s="18" t="s">
        <v>16</v>
      </c>
    </row>
    <row r="10" spans="1:16" ht="15.75" thickBot="1">
      <c r="A10" s="22"/>
      <c r="B10" s="23" t="s">
        <v>0</v>
      </c>
      <c r="C10" s="168" t="s">
        <v>17</v>
      </c>
      <c r="D10" s="24" t="s">
        <v>18</v>
      </c>
      <c r="E10" s="79" t="s">
        <v>19</v>
      </c>
      <c r="F10" s="22" t="s">
        <v>20</v>
      </c>
      <c r="G10" s="24" t="s">
        <v>21</v>
      </c>
      <c r="H10" s="79" t="s">
        <v>22</v>
      </c>
      <c r="I10" s="79" t="s">
        <v>23</v>
      </c>
      <c r="J10" s="24" t="s">
        <v>24</v>
      </c>
      <c r="K10" s="79" t="s">
        <v>15</v>
      </c>
      <c r="L10" s="22" t="s">
        <v>54</v>
      </c>
      <c r="M10" s="24" t="s">
        <v>25</v>
      </c>
      <c r="N10" s="24" t="s">
        <v>15</v>
      </c>
      <c r="O10" s="82" t="s">
        <v>243</v>
      </c>
      <c r="P10" s="81" t="s">
        <v>242</v>
      </c>
    </row>
    <row r="11" spans="1:16" ht="15.75" thickTop="1">
      <c r="A11" s="13"/>
      <c r="B11" s="6"/>
      <c r="C11" s="13"/>
      <c r="D11" s="6"/>
      <c r="E11" s="6"/>
      <c r="F11" s="13"/>
      <c r="G11" s="6"/>
      <c r="H11" s="6"/>
      <c r="I11" s="6"/>
      <c r="J11" s="6"/>
      <c r="K11" s="6"/>
      <c r="L11" s="13"/>
      <c r="M11" s="6"/>
      <c r="N11" s="6"/>
      <c r="O11" s="13"/>
      <c r="P11" s="15"/>
    </row>
    <row r="12" spans="1:16" ht="15">
      <c r="A12" s="25">
        <f>A11+1</f>
        <v>1</v>
      </c>
      <c r="B12" s="26" t="str">
        <f>'Backup2-DO NOT PRINT'!B4</f>
        <v>Alliant Energy Co.</v>
      </c>
      <c r="C12" s="134">
        <f>'Backup2-DO NOT PRINT'!R4</f>
        <v>27.77</v>
      </c>
      <c r="D12" s="27">
        <f>'Backup2-DO NOT PRINT'!K4</f>
        <v>1.07</v>
      </c>
      <c r="E12" s="28">
        <f>D12/C12</f>
        <v>0.03853078862081383</v>
      </c>
      <c r="F12" s="29">
        <f>'Backup2-DO NOT PRINT'!L4</f>
        <v>1.15</v>
      </c>
      <c r="G12" s="30">
        <f>'Backup2-DO NOT PRINT'!I4</f>
        <v>2.25</v>
      </c>
      <c r="H12" s="28">
        <f>1-F12/G12</f>
        <v>0.48888888888888893</v>
      </c>
      <c r="I12" s="30">
        <f>'Backup2-DO NOT PRINT'!M4</f>
        <v>27.55</v>
      </c>
      <c r="J12" s="28">
        <f>G12/I12</f>
        <v>0.08166969147005444</v>
      </c>
      <c r="K12" s="28">
        <f>H12*J12</f>
        <v>0.039927404718693285</v>
      </c>
      <c r="L12" s="162">
        <f>'Backup2-DO NOT PRINT'!P4</f>
        <v>0.037</v>
      </c>
      <c r="M12" s="182">
        <f>IF('Backup2-DO NOT PRINT'!O4&lt;=0,"NA",'Backup2-DO NOT PRINT'!O4)</f>
        <v>0.065</v>
      </c>
      <c r="N12" s="28">
        <v>0.066</v>
      </c>
      <c r="O12" s="31">
        <f>AVERAGE(K12:N12)</f>
        <v>0.05198185117967332</v>
      </c>
      <c r="P12" s="32">
        <f>E12+O12</f>
        <v>0.09051263980048715</v>
      </c>
    </row>
    <row r="13" spans="1:16" ht="15">
      <c r="A13" s="25">
        <f aca="true" t="shared" si="1" ref="A13:A21">A12+1</f>
        <v>2</v>
      </c>
      <c r="B13" s="26" t="str">
        <f>'Backup2-DO NOT PRINT'!B5</f>
        <v>Ameren</v>
      </c>
      <c r="C13" s="134">
        <f>'Backup2-DO NOT PRINT'!R5</f>
        <v>52.04666666666666</v>
      </c>
      <c r="D13" s="27">
        <f>'Backup2-DO NOT PRINT'!K5</f>
        <v>2.54</v>
      </c>
      <c r="E13" s="28">
        <f aca="true" t="shared" si="2" ref="E13:E21">D13/C13</f>
        <v>0.0488023568592289</v>
      </c>
      <c r="F13" s="29">
        <f>'Backup2-DO NOT PRINT'!L5</f>
        <v>2.54</v>
      </c>
      <c r="G13" s="30">
        <f>'Backup2-DO NOT PRINT'!I5</f>
        <v>3.35</v>
      </c>
      <c r="H13" s="28">
        <f aca="true" t="shared" si="3" ref="H13:H21">1-F13/G13</f>
        <v>0.24179104477611946</v>
      </c>
      <c r="I13" s="30">
        <f>'Backup2-DO NOT PRINT'!M5</f>
        <v>35.2</v>
      </c>
      <c r="J13" s="28">
        <f aca="true" t="shared" si="4" ref="J13:J21">G13/I13</f>
        <v>0.09517045454545454</v>
      </c>
      <c r="K13" s="28">
        <f aca="true" t="shared" si="5" ref="K13:K21">H13*J13</f>
        <v>0.023011363636363642</v>
      </c>
      <c r="L13" s="162">
        <f>'Backup2-DO NOT PRINT'!P5</f>
        <v>0.06</v>
      </c>
      <c r="M13" s="182">
        <f>IF('Backup2-DO NOT PRINT'!O5&lt;=0,"NA",'Backup2-DO NOT PRINT'!O5)</f>
        <v>0.025</v>
      </c>
      <c r="N13" s="28">
        <v>0.066</v>
      </c>
      <c r="O13" s="31">
        <f aca="true" t="shared" si="6" ref="O13:O21">AVERAGE(K13:N13)</f>
        <v>0.04350284090909091</v>
      </c>
      <c r="P13" s="32">
        <f aca="true" t="shared" si="7" ref="P13:P21">E13+O13</f>
        <v>0.0923051977683198</v>
      </c>
    </row>
    <row r="14" spans="1:16" ht="15">
      <c r="A14" s="25">
        <f t="shared" si="1"/>
        <v>3</v>
      </c>
      <c r="B14" s="26" t="str">
        <f>'Backup2-DO NOT PRINT'!B6</f>
        <v>CH Energy Group</v>
      </c>
      <c r="C14" s="134">
        <f>'Backup2-DO NOT PRINT'!R6</f>
        <v>46.51166666666668</v>
      </c>
      <c r="D14" s="27">
        <f>'Backup2-DO NOT PRINT'!K6</f>
        <v>2.16</v>
      </c>
      <c r="E14" s="28">
        <f t="shared" si="2"/>
        <v>0.046439961300032244</v>
      </c>
      <c r="F14" s="29">
        <f>'Backup2-DO NOT PRINT'!L6</f>
        <v>2.2</v>
      </c>
      <c r="G14" s="30">
        <f>'Backup2-DO NOT PRINT'!I6</f>
        <v>3.25</v>
      </c>
      <c r="H14" s="28">
        <f t="shared" si="3"/>
        <v>0.32307692307692304</v>
      </c>
      <c r="I14" s="30">
        <f>'Backup2-DO NOT PRINT'!M6</f>
        <v>34.5</v>
      </c>
      <c r="J14" s="28">
        <f t="shared" si="4"/>
        <v>0.09420289855072464</v>
      </c>
      <c r="K14" s="28">
        <f t="shared" si="5"/>
        <v>0.03043478260869565</v>
      </c>
      <c r="L14" s="162" t="str">
        <f>'Backup2-DO NOT PRINT'!P6</f>
        <v>NA</v>
      </c>
      <c r="M14" s="182">
        <f>IF('Backup2-DO NOT PRINT'!O6&lt;=0,"NA",'Backup2-DO NOT PRINT'!O6)</f>
        <v>0.045</v>
      </c>
      <c r="N14" s="28">
        <v>0.066</v>
      </c>
      <c r="O14" s="31">
        <f t="shared" si="6"/>
        <v>0.04714492753623189</v>
      </c>
      <c r="P14" s="32">
        <f t="shared" si="7"/>
        <v>0.09358488883626413</v>
      </c>
    </row>
    <row r="15" spans="1:16" ht="15">
      <c r="A15" s="25">
        <f t="shared" si="1"/>
        <v>4</v>
      </c>
      <c r="B15" s="26" t="str">
        <f>'Backup2-DO NOT PRINT'!B7</f>
        <v>Con. Edison</v>
      </c>
      <c r="C15" s="134">
        <f>'Backup2-DO NOT PRINT'!R7</f>
        <v>45.901666666666664</v>
      </c>
      <c r="D15" s="27">
        <f>'Backup2-DO NOT PRINT'!K7</f>
        <v>2.3</v>
      </c>
      <c r="E15" s="28">
        <f t="shared" si="2"/>
        <v>0.05010711303148034</v>
      </c>
      <c r="F15" s="29">
        <f>'Backup2-DO NOT PRINT'!L7</f>
        <v>2.36</v>
      </c>
      <c r="G15" s="30">
        <f>'Backup2-DO NOT PRINT'!I7</f>
        <v>3</v>
      </c>
      <c r="H15" s="28">
        <f t="shared" si="3"/>
        <v>0.21333333333333337</v>
      </c>
      <c r="I15" s="30">
        <f>'Backup2-DO NOT PRINT'!M7</f>
        <v>32.6</v>
      </c>
      <c r="J15" s="28">
        <f t="shared" si="4"/>
        <v>0.09202453987730061</v>
      </c>
      <c r="K15" s="28">
        <f t="shared" si="5"/>
        <v>0.019631901840490802</v>
      </c>
      <c r="L15" s="162">
        <f>'Backup2-DO NOT PRINT'!P7</f>
        <v>0.04</v>
      </c>
      <c r="M15" s="182">
        <f>IF('Backup2-DO NOT PRINT'!O7&lt;=0,"NA",'Backup2-DO NOT PRINT'!O7)</f>
        <v>0.015</v>
      </c>
      <c r="N15" s="28">
        <v>0.066</v>
      </c>
      <c r="O15" s="31">
        <f t="shared" si="6"/>
        <v>0.0351579754601227</v>
      </c>
      <c r="P15" s="32">
        <f t="shared" si="7"/>
        <v>0.08526508849160304</v>
      </c>
    </row>
    <row r="16" spans="1:16" ht="15">
      <c r="A16" s="25">
        <f t="shared" si="1"/>
        <v>5</v>
      </c>
      <c r="B16" s="26" t="str">
        <f>'Backup2-DO NOT PRINT'!B8</f>
        <v>Empire District</v>
      </c>
      <c r="C16" s="134">
        <f>'Backup2-DO NOT PRINT'!R8</f>
        <v>20.861666666666665</v>
      </c>
      <c r="D16" s="27">
        <f>'Backup2-DO NOT PRINT'!K8</f>
        <v>1.28</v>
      </c>
      <c r="E16" s="28">
        <f t="shared" si="2"/>
        <v>0.061356555085084294</v>
      </c>
      <c r="F16" s="29">
        <f>'Backup2-DO NOT PRINT'!L8</f>
        <v>1.28</v>
      </c>
      <c r="G16" s="30">
        <f>'Backup2-DO NOT PRINT'!I8</f>
        <v>1.5</v>
      </c>
      <c r="H16" s="28">
        <f t="shared" si="3"/>
        <v>0.1466666666666666</v>
      </c>
      <c r="I16" s="30">
        <f>'Backup2-DO NOT PRINT'!M8</f>
        <v>16</v>
      </c>
      <c r="J16" s="28">
        <f t="shared" si="4"/>
        <v>0.09375</v>
      </c>
      <c r="K16" s="28">
        <f t="shared" si="5"/>
        <v>0.013749999999999995</v>
      </c>
      <c r="L16" s="162">
        <f>'Backup2-DO NOT PRINT'!P8</f>
        <v>0.05</v>
      </c>
      <c r="M16" s="182">
        <f>IF('Backup2-DO NOT PRINT'!O8&lt;=0,"NA",'Backup2-DO NOT PRINT'!O8)</f>
        <v>0.05</v>
      </c>
      <c r="N16" s="28">
        <v>0.066</v>
      </c>
      <c r="O16" s="31">
        <f t="shared" si="6"/>
        <v>0.044937500000000005</v>
      </c>
      <c r="P16" s="32">
        <f t="shared" si="7"/>
        <v>0.1062940550850843</v>
      </c>
    </row>
    <row r="17" spans="1:16" ht="15">
      <c r="A17" s="25">
        <f t="shared" si="1"/>
        <v>6</v>
      </c>
      <c r="B17" s="26" t="str">
        <f>'Backup2-DO NOT PRINT'!B9</f>
        <v>Energy East Corp.</v>
      </c>
      <c r="C17" s="134">
        <f>'Backup2-DO NOT PRINT'!R9</f>
        <v>23.655</v>
      </c>
      <c r="D17" s="27">
        <f>'Backup2-DO NOT PRINT'!K9</f>
        <v>1.18</v>
      </c>
      <c r="E17" s="28">
        <f t="shared" si="2"/>
        <v>0.04988374550834918</v>
      </c>
      <c r="F17" s="29">
        <f>'Backup2-DO NOT PRINT'!L9</f>
        <v>1.35</v>
      </c>
      <c r="G17" s="30">
        <f>'Backup2-DO NOT PRINT'!I9</f>
        <v>2</v>
      </c>
      <c r="H17" s="28">
        <f t="shared" si="3"/>
        <v>0.32499999999999996</v>
      </c>
      <c r="I17" s="30">
        <f>'Backup2-DO NOT PRINT'!M9</f>
        <v>21</v>
      </c>
      <c r="J17" s="28">
        <f t="shared" si="4"/>
        <v>0.09523809523809523</v>
      </c>
      <c r="K17" s="28">
        <f t="shared" si="5"/>
        <v>0.030952380952380946</v>
      </c>
      <c r="L17" s="162">
        <f>'Backup2-DO NOT PRINT'!P9</f>
        <v>0.045</v>
      </c>
      <c r="M17" s="182">
        <f>IF('Backup2-DO NOT PRINT'!O9&lt;=0,"NA",'Backup2-DO NOT PRINT'!O9)</f>
        <v>0.045</v>
      </c>
      <c r="N17" s="28">
        <v>0.066</v>
      </c>
      <c r="O17" s="31">
        <f t="shared" si="6"/>
        <v>0.04673809523809523</v>
      </c>
      <c r="P17" s="32">
        <f t="shared" si="7"/>
        <v>0.09662184074644442</v>
      </c>
    </row>
    <row r="18" spans="1:16" ht="15">
      <c r="A18" s="25">
        <f t="shared" si="1"/>
        <v>7</v>
      </c>
      <c r="B18" s="26" t="str">
        <f>'Backup2-DO NOT PRINT'!B10</f>
        <v>MGE Energy, Inc.</v>
      </c>
      <c r="C18" s="134">
        <f>'Backup2-DO NOT PRINT'!R10</f>
        <v>34.83</v>
      </c>
      <c r="D18" s="27">
        <f>'Backup2-DO NOT PRINT'!K10</f>
        <v>1.38</v>
      </c>
      <c r="E18" s="28">
        <f t="shared" si="2"/>
        <v>0.03962101636520241</v>
      </c>
      <c r="F18" s="29">
        <f>'Backup2-DO NOT PRINT'!L10</f>
        <v>1.44</v>
      </c>
      <c r="G18" s="30">
        <f>'Backup2-DO NOT PRINT'!I10</f>
        <v>2.45</v>
      </c>
      <c r="H18" s="28">
        <f t="shared" si="3"/>
        <v>0.41224489795918373</v>
      </c>
      <c r="I18" s="30">
        <f>'Backup2-DO NOT PRINT'!M10</f>
        <v>18.7</v>
      </c>
      <c r="J18" s="28">
        <f t="shared" si="4"/>
        <v>0.1310160427807487</v>
      </c>
      <c r="K18" s="28">
        <f t="shared" si="5"/>
        <v>0.054010695187165794</v>
      </c>
      <c r="L18" s="162" t="str">
        <f>'Backup2-DO NOT PRINT'!P10</f>
        <v>NA</v>
      </c>
      <c r="M18" s="182">
        <f>IF('Backup2-DO NOT PRINT'!O10&lt;=0,"NA",'Backup2-DO NOT PRINT'!O10)</f>
        <v>0.06</v>
      </c>
      <c r="N18" s="28">
        <v>0.066</v>
      </c>
      <c r="O18" s="31">
        <f t="shared" si="6"/>
        <v>0.060003565062388596</v>
      </c>
      <c r="P18" s="32">
        <f t="shared" si="7"/>
        <v>0.09962458142759101</v>
      </c>
    </row>
    <row r="19" spans="1:16" ht="15">
      <c r="A19" s="25">
        <f t="shared" si="1"/>
        <v>8</v>
      </c>
      <c r="B19" s="26" t="str">
        <f>'Backup2-DO NOT PRINT'!B11</f>
        <v>NSTAR</v>
      </c>
      <c r="C19" s="134">
        <f>'Backup2-DO NOT PRINT'!R11</f>
        <v>27.805</v>
      </c>
      <c r="D19" s="27">
        <f>'Backup2-DO NOT PRINT'!K11</f>
        <v>1.2</v>
      </c>
      <c r="E19" s="28">
        <f t="shared" si="2"/>
        <v>0.043157705448660315</v>
      </c>
      <c r="F19" s="29">
        <f>'Backup2-DO NOT PRINT'!L11</f>
        <v>1.32</v>
      </c>
      <c r="G19" s="30">
        <f>'Backup2-DO NOT PRINT'!I11</f>
        <v>2</v>
      </c>
      <c r="H19" s="28">
        <f t="shared" si="3"/>
        <v>0.33999999999999997</v>
      </c>
      <c r="I19" s="30">
        <f>'Backup2-DO NOT PRINT'!M11</f>
        <v>17.5</v>
      </c>
      <c r="J19" s="28">
        <f t="shared" si="4"/>
        <v>0.11428571428571428</v>
      </c>
      <c r="K19" s="28">
        <f t="shared" si="5"/>
        <v>0.038857142857142854</v>
      </c>
      <c r="L19" s="162">
        <f>'Backup2-DO NOT PRINT'!P11</f>
        <v>0.048</v>
      </c>
      <c r="M19" s="182">
        <f>IF('Backup2-DO NOT PRINT'!O11&lt;=0,"NA",'Backup2-DO NOT PRINT'!O11)</f>
        <v>0.025</v>
      </c>
      <c r="N19" s="28">
        <v>0.066</v>
      </c>
      <c r="O19" s="31">
        <f t="shared" si="6"/>
        <v>0.04446428571428571</v>
      </c>
      <c r="P19" s="32">
        <f t="shared" si="7"/>
        <v>0.08762199116294603</v>
      </c>
    </row>
    <row r="20" spans="1:16" ht="15">
      <c r="A20" s="25">
        <f t="shared" si="1"/>
        <v>9</v>
      </c>
      <c r="B20" s="26" t="str">
        <f>'Backup2-DO NOT PRINT'!B12</f>
        <v>Progress Energy</v>
      </c>
      <c r="C20" s="134">
        <f>'Backup2-DO NOT PRINT'!R12</f>
        <v>43.77</v>
      </c>
      <c r="D20" s="27">
        <f>'Backup2-DO NOT PRINT'!K12</f>
        <v>2.44</v>
      </c>
      <c r="E20" s="28">
        <f t="shared" si="2"/>
        <v>0.05574594471098926</v>
      </c>
      <c r="F20" s="29">
        <f>'Backup2-DO NOT PRINT'!L12</f>
        <v>2.5</v>
      </c>
      <c r="G20" s="30">
        <f>'Backup2-DO NOT PRINT'!I12</f>
        <v>3.4</v>
      </c>
      <c r="H20" s="28">
        <f t="shared" si="3"/>
        <v>0.2647058823529411</v>
      </c>
      <c r="I20" s="30">
        <f>'Backup2-DO NOT PRINT'!M12</f>
        <v>34.5</v>
      </c>
      <c r="J20" s="28">
        <f t="shared" si="4"/>
        <v>0.09855072463768115</v>
      </c>
      <c r="K20" s="28">
        <f t="shared" si="5"/>
        <v>0.026086956521739122</v>
      </c>
      <c r="L20" s="162">
        <f>'Backup2-DO NOT PRINT'!P12</f>
        <v>0.042</v>
      </c>
      <c r="M20" s="182" t="str">
        <f>IF('Backup2-DO NOT PRINT'!O12&lt;=0,"NA",'Backup2-DO NOT PRINT'!O12)</f>
        <v>NA</v>
      </c>
      <c r="N20" s="28">
        <v>0.066</v>
      </c>
      <c r="O20" s="31">
        <f t="shared" si="6"/>
        <v>0.044695652173913046</v>
      </c>
      <c r="P20" s="32">
        <f t="shared" si="7"/>
        <v>0.10044159688490231</v>
      </c>
    </row>
    <row r="21" spans="1:16" ht="15">
      <c r="A21" s="25">
        <f t="shared" si="1"/>
        <v>10</v>
      </c>
      <c r="B21" s="26" t="str">
        <f>'Backup2-DO NOT PRINT'!B13</f>
        <v>SCANA Corp.</v>
      </c>
      <c r="C21" s="134">
        <f>'Backup2-DO NOT PRINT'!R13</f>
        <v>40.02333333333333</v>
      </c>
      <c r="D21" s="27">
        <f>'Backup2-DO NOT PRINT'!K13</f>
        <v>1.66</v>
      </c>
      <c r="E21" s="28">
        <f t="shared" si="2"/>
        <v>0.04147580577996169</v>
      </c>
      <c r="F21" s="29">
        <f>'Backup2-DO NOT PRINT'!L13</f>
        <v>1.9</v>
      </c>
      <c r="G21" s="30">
        <f>'Backup2-DO NOT PRINT'!I13</f>
        <v>3.25</v>
      </c>
      <c r="H21" s="28">
        <f t="shared" si="3"/>
        <v>0.41538461538461546</v>
      </c>
      <c r="I21" s="30">
        <f>'Backup2-DO NOT PRINT'!M13</f>
        <v>29.25</v>
      </c>
      <c r="J21" s="28">
        <f t="shared" si="4"/>
        <v>0.1111111111111111</v>
      </c>
      <c r="K21" s="28">
        <f t="shared" si="5"/>
        <v>0.04615384615384616</v>
      </c>
      <c r="L21" s="162">
        <f>'Backup2-DO NOT PRINT'!P13</f>
        <v>0.048</v>
      </c>
      <c r="M21" s="182">
        <f>IF('Backup2-DO NOT PRINT'!O13&lt;=0,"NA",'Backup2-DO NOT PRINT'!O13)</f>
        <v>0.045</v>
      </c>
      <c r="N21" s="28">
        <v>0.066</v>
      </c>
      <c r="O21" s="31">
        <f t="shared" si="6"/>
        <v>0.05128846153846155</v>
      </c>
      <c r="P21" s="32">
        <f t="shared" si="7"/>
        <v>0.09276426731842324</v>
      </c>
    </row>
    <row r="22" spans="1:16" ht="15">
      <c r="A22" s="25">
        <f>A21+1</f>
        <v>11</v>
      </c>
      <c r="B22" s="26" t="str">
        <f>'Backup2-DO NOT PRINT'!B14</f>
        <v>Southern Co.</v>
      </c>
      <c r="C22" s="134">
        <f>'Backup2-DO NOT PRINT'!R14</f>
        <v>34.71666666666667</v>
      </c>
      <c r="D22" s="27">
        <f>'Backup2-DO NOT PRINT'!K14</f>
        <v>1.53</v>
      </c>
      <c r="E22" s="28">
        <f>D22/C22</f>
        <v>0.044071051368218914</v>
      </c>
      <c r="F22" s="29">
        <f>'Backup2-DO NOT PRINT'!L14</f>
        <v>1.71</v>
      </c>
      <c r="G22" s="30">
        <f>'Backup2-DO NOT PRINT'!I14</f>
        <v>2.5</v>
      </c>
      <c r="H22" s="28">
        <f>1-F22/G22</f>
        <v>0.31600000000000006</v>
      </c>
      <c r="I22" s="30">
        <f>'Backup2-DO NOT PRINT'!M14</f>
        <v>18.15</v>
      </c>
      <c r="J22" s="28">
        <f>G22/I22</f>
        <v>0.13774104683195593</v>
      </c>
      <c r="K22" s="28">
        <f>H22*J22</f>
        <v>0.04352617079889808</v>
      </c>
      <c r="L22" s="162">
        <f>'Backup2-DO NOT PRINT'!P14</f>
        <v>0.047</v>
      </c>
      <c r="M22" s="182">
        <f>IF('Backup2-DO NOT PRINT'!O14&lt;=0,"NA",'Backup2-DO NOT PRINT'!O14)</f>
        <v>0.04</v>
      </c>
      <c r="N22" s="28">
        <v>0.066</v>
      </c>
      <c r="O22" s="31">
        <f>AVERAGE(K22:N22)</f>
        <v>0.04913154269972452</v>
      </c>
      <c r="P22" s="32">
        <f>E22+O22</f>
        <v>0.09320259406794343</v>
      </c>
    </row>
    <row r="23" spans="1:16" ht="15">
      <c r="A23" s="25">
        <f>A22+1</f>
        <v>12</v>
      </c>
      <c r="B23" s="26" t="str">
        <f>'Backup2-DO NOT PRINT'!B15</f>
        <v>Vectren Corp.</v>
      </c>
      <c r="C23" s="134">
        <f>'Backup2-DO NOT PRINT'!R15</f>
        <v>27.18166666666667</v>
      </c>
      <c r="D23" s="27">
        <f>'Backup2-DO NOT PRINT'!K15</f>
        <v>1.23</v>
      </c>
      <c r="E23" s="28">
        <f>D23/C23</f>
        <v>0.04525108835612238</v>
      </c>
      <c r="F23" s="29">
        <f>'Backup2-DO NOT PRINT'!L15</f>
        <v>1.35</v>
      </c>
      <c r="G23" s="30">
        <f>'Backup2-DO NOT PRINT'!I15</f>
        <v>1.95</v>
      </c>
      <c r="H23" s="28">
        <f>1-F23/G23</f>
        <v>0.3076923076923076</v>
      </c>
      <c r="I23" s="30">
        <f>'Backup2-DO NOT PRINT'!M15</f>
        <v>17.45</v>
      </c>
      <c r="J23" s="28">
        <f>G23/I23</f>
        <v>0.11174785100286533</v>
      </c>
      <c r="K23" s="28">
        <f>H23*J23</f>
        <v>0.03438395415472778</v>
      </c>
      <c r="L23" s="162">
        <f>'Backup2-DO NOT PRINT'!P15</f>
        <v>0.046</v>
      </c>
      <c r="M23" s="182">
        <f>IF('Backup2-DO NOT PRINT'!O15&lt;=0,"NA",'Backup2-DO NOT PRINT'!O15)</f>
        <v>0.04</v>
      </c>
      <c r="N23" s="28">
        <v>0.066</v>
      </c>
      <c r="O23" s="31">
        <f>AVERAGE(K23:N23)</f>
        <v>0.046595988538681944</v>
      </c>
      <c r="P23" s="32">
        <f>E23+O23</f>
        <v>0.09184707689480433</v>
      </c>
    </row>
    <row r="24" spans="1:16" ht="15">
      <c r="A24" s="25">
        <f>A23+1</f>
        <v>13</v>
      </c>
      <c r="B24" s="26" t="str">
        <f>'Backup2-DO NOT PRINT'!B16</f>
        <v>Xcel Energy Inc.</v>
      </c>
      <c r="C24" s="134">
        <f>'Backup2-DO NOT PRINT'!R16</f>
        <v>18.65</v>
      </c>
      <c r="D24" s="27">
        <f>'Backup2-DO NOT PRINT'!K16</f>
        <v>0.88</v>
      </c>
      <c r="E24" s="28">
        <f>D24/C24</f>
        <v>0.04718498659517427</v>
      </c>
      <c r="F24" s="29">
        <f>'Backup2-DO NOT PRINT'!L16</f>
        <v>1.05</v>
      </c>
      <c r="G24" s="30">
        <f>'Backup2-DO NOT PRINT'!I16</f>
        <v>1.5</v>
      </c>
      <c r="H24" s="28">
        <f>1-F24/G24</f>
        <v>0.29999999999999993</v>
      </c>
      <c r="I24" s="30">
        <f>'Backup2-DO NOT PRINT'!M16</f>
        <v>15</v>
      </c>
      <c r="J24" s="28">
        <f>G24/I24</f>
        <v>0.1</v>
      </c>
      <c r="K24" s="28">
        <f>H24*J24</f>
        <v>0.029999999999999995</v>
      </c>
      <c r="L24" s="162">
        <f>'Backup2-DO NOT PRINT'!P16</f>
        <v>0.043</v>
      </c>
      <c r="M24" s="182">
        <f>IF('Backup2-DO NOT PRINT'!O16&lt;=0,"NA",'Backup2-DO NOT PRINT'!O16)</f>
        <v>0.075</v>
      </c>
      <c r="N24" s="28">
        <v>0.066</v>
      </c>
      <c r="O24" s="31">
        <f>AVERAGE(K24:N24)</f>
        <v>0.0535</v>
      </c>
      <c r="P24" s="32">
        <f>E24+O24</f>
        <v>0.10068498659517428</v>
      </c>
    </row>
    <row r="25" spans="1:16" ht="15">
      <c r="A25" s="71"/>
      <c r="B25" s="20"/>
      <c r="C25" s="34"/>
      <c r="D25" s="27"/>
      <c r="E25" s="28"/>
      <c r="F25" s="31"/>
      <c r="G25" s="28"/>
      <c r="H25" s="28"/>
      <c r="I25" s="28"/>
      <c r="J25" s="28"/>
      <c r="K25" s="28"/>
      <c r="L25" s="31"/>
      <c r="M25" s="28"/>
      <c r="N25" s="28"/>
      <c r="O25" s="31"/>
      <c r="P25" s="32"/>
    </row>
    <row r="26" spans="1:16" ht="15">
      <c r="A26" s="8"/>
      <c r="B26" s="35" t="s">
        <v>1</v>
      </c>
      <c r="C26" s="196">
        <f>AVERAGE(C12:C25)</f>
        <v>34.1325641025641</v>
      </c>
      <c r="D26" s="198">
        <f>AVERAGE(D12:D25)</f>
        <v>1.6038461538461537</v>
      </c>
      <c r="E26" s="197">
        <f>AVERAGEA(E12:E25)</f>
        <v>0.04704831684840908</v>
      </c>
      <c r="F26" s="198">
        <f aca="true" t="shared" si="8" ref="F26:O26">AVERAGE(F12:F25)</f>
        <v>1.703846153846154</v>
      </c>
      <c r="G26" s="198">
        <f t="shared" si="8"/>
        <v>2.4923076923076923</v>
      </c>
      <c r="H26" s="199">
        <f t="shared" si="8"/>
        <v>0.31498342770238297</v>
      </c>
      <c r="I26" s="198">
        <f t="shared" si="8"/>
        <v>24.41538461538461</v>
      </c>
      <c r="J26" s="199">
        <f t="shared" si="8"/>
        <v>0.10434678233320817</v>
      </c>
      <c r="K26" s="199">
        <f t="shared" si="8"/>
        <v>0.03313281534078032</v>
      </c>
      <c r="L26" s="200">
        <f t="shared" si="8"/>
        <v>0.04599999999999999</v>
      </c>
      <c r="M26" s="201">
        <f t="shared" si="8"/>
        <v>0.04416666666666666</v>
      </c>
      <c r="N26" s="199">
        <f t="shared" si="8"/>
        <v>0.06600000000000003</v>
      </c>
      <c r="O26" s="202">
        <f t="shared" si="8"/>
        <v>0.04762636046543611</v>
      </c>
      <c r="P26" s="211">
        <f>AVERAGEA(P12:P25)</f>
        <v>0.09467467731384517</v>
      </c>
    </row>
    <row r="27" spans="1:16" ht="15.75" thickBot="1">
      <c r="A27" s="38"/>
      <c r="B27" s="39" t="s">
        <v>2</v>
      </c>
      <c r="C27" s="23"/>
      <c r="D27" s="23"/>
      <c r="E27" s="40">
        <f>MEDIAN(E12:E25)</f>
        <v>0.046439961300032244</v>
      </c>
      <c r="F27" s="203"/>
      <c r="G27" s="40"/>
      <c r="H27" s="40"/>
      <c r="I27" s="40"/>
      <c r="J27" s="40"/>
      <c r="K27" s="40"/>
      <c r="L27" s="40"/>
      <c r="M27" s="40"/>
      <c r="N27" s="40"/>
      <c r="O27" s="204"/>
      <c r="P27" s="183">
        <f>MEDIAN(P12:P25)</f>
        <v>0.09320259406794343</v>
      </c>
    </row>
    <row r="28" spans="1:16" ht="15.75" thickTop="1">
      <c r="A28" s="6"/>
      <c r="B28" s="6"/>
      <c r="C28" s="6"/>
      <c r="D28" s="6"/>
      <c r="E28" s="6"/>
      <c r="F28" s="6"/>
      <c r="G28" s="6"/>
      <c r="H28" s="6"/>
      <c r="I28" s="6"/>
      <c r="J28" s="6"/>
      <c r="K28" s="28"/>
      <c r="L28" s="28"/>
      <c r="M28" s="28"/>
      <c r="N28" s="28"/>
      <c r="O28" s="6"/>
      <c r="P28" s="28"/>
    </row>
    <row r="29" spans="1:16" ht="15">
      <c r="A29" s="71" t="s">
        <v>297</v>
      </c>
      <c r="B29"/>
      <c r="C29" s="71"/>
      <c r="D29" s="6"/>
      <c r="E29" s="6"/>
      <c r="F29" s="6"/>
      <c r="G29" s="28"/>
      <c r="H29" s="28"/>
      <c r="I29" s="28"/>
      <c r="J29" s="28"/>
      <c r="K29" s="20"/>
      <c r="L29" s="20"/>
      <c r="M29" s="20"/>
      <c r="N29" s="20"/>
      <c r="O29" s="41"/>
      <c r="P29" s="20"/>
    </row>
    <row r="30" spans="1:16" ht="15">
      <c r="A30" s="71"/>
      <c r="B30"/>
      <c r="C30" s="71"/>
      <c r="D30" s="6"/>
      <c r="E30" s="6"/>
      <c r="F30" s="6"/>
      <c r="G30" s="28"/>
      <c r="H30" s="28"/>
      <c r="I30" s="28"/>
      <c r="J30" s="28"/>
      <c r="K30" s="20"/>
      <c r="L30" s="20"/>
      <c r="M30" s="20"/>
      <c r="N30" s="20"/>
      <c r="O30" s="41"/>
      <c r="P30" s="20"/>
    </row>
    <row r="31" spans="1:16" ht="15">
      <c r="A31" s="6" t="s">
        <v>294</v>
      </c>
      <c r="B31" s="6"/>
      <c r="C31" s="6"/>
      <c r="D31" s="6"/>
      <c r="E31" s="6"/>
      <c r="F31" s="6"/>
      <c r="G31" s="28"/>
      <c r="H31" s="28"/>
      <c r="I31" s="28"/>
      <c r="J31" s="28"/>
      <c r="K31" s="20"/>
      <c r="L31" s="20"/>
      <c r="M31" s="20"/>
      <c r="N31" s="20"/>
      <c r="O31" s="41"/>
      <c r="P31" s="20"/>
    </row>
    <row r="32" spans="1:16" ht="15">
      <c r="A32" s="6"/>
      <c r="B32" s="6"/>
      <c r="C32" s="6"/>
      <c r="D32" s="6"/>
      <c r="E32" s="6"/>
      <c r="F32" s="6"/>
      <c r="G32" s="28"/>
      <c r="H32" s="28"/>
      <c r="I32" s="28"/>
      <c r="J32" s="28"/>
      <c r="K32" s="20"/>
      <c r="L32" s="20"/>
      <c r="M32" s="20"/>
      <c r="N32" s="20"/>
      <c r="O32" s="41"/>
      <c r="P32" s="20"/>
    </row>
    <row r="33" ht="15">
      <c r="A33" s="71"/>
    </row>
  </sheetData>
  <mergeCells count="4">
    <mergeCell ref="F8:K8"/>
    <mergeCell ref="A2:P2"/>
    <mergeCell ref="A3:P3"/>
    <mergeCell ref="A1:P1"/>
  </mergeCells>
  <printOptions horizontalCentered="1"/>
  <pageMargins left="0.5" right="0.75" top="1" bottom="0.5" header="0.5" footer="0.5"/>
  <pageSetup horizontalDpi="600" verticalDpi="600" orientation="landscape" scale="70" r:id="rId1"/>
  <headerFooter alignWithMargins="0">
    <oddHeader>&amp;RExhibit UPL__(SCH-5)
Page 2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G33"/>
  <sheetViews>
    <sheetView showGridLines="0" defaultGridColor="0" zoomScale="75" zoomScaleNormal="75" colorId="22" workbookViewId="0" topLeftCell="A1">
      <selection activeCell="A1" sqref="A1:E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8.10546875" style="1" bestFit="1" customWidth="1"/>
    <col min="6" max="6" width="7.77734375" style="1" customWidth="1"/>
    <col min="7" max="7" width="11.6640625" style="1" customWidth="1"/>
    <col min="8" max="16384" width="9.77734375" style="1" customWidth="1"/>
  </cols>
  <sheetData>
    <row r="1" spans="1:7" ht="20.25">
      <c r="A1" s="213" t="str">
        <f>'Page 1'!A1</f>
        <v>PacifiCorp Utah</v>
      </c>
      <c r="B1" s="213"/>
      <c r="C1" s="213"/>
      <c r="D1" s="213"/>
      <c r="E1" s="213"/>
      <c r="F1" s="213"/>
      <c r="G1" s="213"/>
    </row>
    <row r="2" spans="1:7" ht="18">
      <c r="A2" s="214" t="str">
        <f>'Page 1'!A2</f>
        <v>Discounted Cash Flow Analysis</v>
      </c>
      <c r="B2" s="214"/>
      <c r="C2" s="214"/>
      <c r="D2" s="214"/>
      <c r="E2" s="214"/>
      <c r="F2" s="214"/>
      <c r="G2" s="214"/>
    </row>
    <row r="3" spans="1:7" ht="18">
      <c r="A3" s="214" t="str">
        <f>'Page 1'!D6&amp;" "&amp;'Page 1'!D7</f>
        <v>Constant Growth DCF Model</v>
      </c>
      <c r="B3" s="214"/>
      <c r="C3" s="214"/>
      <c r="D3" s="214"/>
      <c r="E3" s="214"/>
      <c r="F3" s="214"/>
      <c r="G3" s="214"/>
    </row>
    <row r="4" spans="1:7" ht="18">
      <c r="A4" s="214" t="str">
        <f>'Page 1'!D8</f>
        <v>Long-Term GDP Growth</v>
      </c>
      <c r="B4" s="214"/>
      <c r="C4" s="214"/>
      <c r="D4" s="214"/>
      <c r="E4" s="214"/>
      <c r="F4" s="214"/>
      <c r="G4" s="214"/>
    </row>
    <row r="5" spans="1:7" ht="15">
      <c r="A5"/>
      <c r="B5" s="4"/>
      <c r="C5" s="4"/>
      <c r="D5" s="4"/>
      <c r="E5" s="4"/>
      <c r="F5" s="4"/>
      <c r="G5" s="4"/>
    </row>
    <row r="6" spans="1:7" s="95" customFormat="1" ht="15.75">
      <c r="A6" s="92"/>
      <c r="B6" s="93"/>
      <c r="C6" s="94">
        <v>-15</v>
      </c>
      <c r="D6" s="94">
        <f>C6-1</f>
        <v>-16</v>
      </c>
      <c r="E6" s="94">
        <f>D6-1</f>
        <v>-17</v>
      </c>
      <c r="F6" s="94">
        <f>E6-1</f>
        <v>-18</v>
      </c>
      <c r="G6" s="161">
        <f>F6-1</f>
        <v>-19</v>
      </c>
    </row>
    <row r="7" spans="1:7" ht="15.75">
      <c r="A7" s="8"/>
      <c r="B7" s="9"/>
      <c r="C7" s="10"/>
      <c r="D7" s="11"/>
      <c r="E7" s="11"/>
      <c r="F7" s="11"/>
      <c r="G7" s="151"/>
    </row>
    <row r="8" spans="1:7" ht="15.75">
      <c r="A8" s="13"/>
      <c r="B8" s="6"/>
      <c r="C8" s="13"/>
      <c r="D8" s="21" t="s">
        <v>6</v>
      </c>
      <c r="E8" s="6"/>
      <c r="F8" s="157"/>
      <c r="G8" s="153" t="s">
        <v>8</v>
      </c>
    </row>
    <row r="9" spans="1:7" ht="15">
      <c r="A9" s="13"/>
      <c r="B9" s="6"/>
      <c r="C9" s="76" t="s">
        <v>9</v>
      </c>
      <c r="D9" s="59" t="s">
        <v>10</v>
      </c>
      <c r="E9" s="78" t="s">
        <v>11</v>
      </c>
      <c r="F9" s="158" t="s">
        <v>230</v>
      </c>
      <c r="G9" s="154" t="s">
        <v>16</v>
      </c>
    </row>
    <row r="10" spans="1:7" ht="15.75" thickBot="1">
      <c r="A10" s="22"/>
      <c r="B10" s="23" t="s">
        <v>0</v>
      </c>
      <c r="C10" s="77" t="s">
        <v>17</v>
      </c>
      <c r="D10" s="24" t="s">
        <v>18</v>
      </c>
      <c r="E10" s="79" t="s">
        <v>19</v>
      </c>
      <c r="F10" s="24" t="s">
        <v>15</v>
      </c>
      <c r="G10" s="155" t="s">
        <v>248</v>
      </c>
    </row>
    <row r="11" spans="1:7" ht="15.75" thickTop="1">
      <c r="A11" s="13"/>
      <c r="B11" s="6"/>
      <c r="C11" s="13"/>
      <c r="D11" s="6"/>
      <c r="E11" s="6"/>
      <c r="F11" s="74"/>
      <c r="G11" s="152"/>
    </row>
    <row r="12" spans="1:7" ht="15">
      <c r="A12" s="25">
        <f>A11+1</f>
        <v>1</v>
      </c>
      <c r="B12" s="26" t="str">
        <f>'Backup2-DO NOT PRINT'!B4</f>
        <v>Alliant Energy Co.</v>
      </c>
      <c r="C12" s="134">
        <f>'Page 2'!C12</f>
        <v>27.77</v>
      </c>
      <c r="D12" s="134">
        <f>'Page 2'!D12</f>
        <v>1.07</v>
      </c>
      <c r="E12" s="28">
        <f>D12/C12</f>
        <v>0.03853078862081383</v>
      </c>
      <c r="F12" s="159">
        <f>'Page 2'!N12</f>
        <v>0.066</v>
      </c>
      <c r="G12" s="156">
        <f>E12+F12</f>
        <v>0.10453078862081383</v>
      </c>
    </row>
    <row r="13" spans="1:7" ht="15">
      <c r="A13" s="25">
        <f aca="true" t="shared" si="0" ref="A13:A21">A12+1</f>
        <v>2</v>
      </c>
      <c r="B13" s="26" t="str">
        <f>'Backup2-DO NOT PRINT'!B5</f>
        <v>Ameren</v>
      </c>
      <c r="C13" s="134">
        <f>'Page 2'!C13</f>
        <v>52.04666666666666</v>
      </c>
      <c r="D13" s="134">
        <f>'Page 2'!D13</f>
        <v>2.54</v>
      </c>
      <c r="E13" s="28">
        <f aca="true" t="shared" si="1" ref="E13:E21">D13/C13</f>
        <v>0.0488023568592289</v>
      </c>
      <c r="F13" s="159">
        <f>'Page 2'!N13</f>
        <v>0.066</v>
      </c>
      <c r="G13" s="156">
        <f aca="true" t="shared" si="2" ref="G13:G21">E13+F13</f>
        <v>0.1148023568592289</v>
      </c>
    </row>
    <row r="14" spans="1:7" ht="15">
      <c r="A14" s="25">
        <f t="shared" si="0"/>
        <v>3</v>
      </c>
      <c r="B14" s="26" t="str">
        <f>'Backup2-DO NOT PRINT'!B6</f>
        <v>CH Energy Group</v>
      </c>
      <c r="C14" s="134">
        <f>'Page 2'!C14</f>
        <v>46.51166666666668</v>
      </c>
      <c r="D14" s="134">
        <f>'Page 2'!D14</f>
        <v>2.16</v>
      </c>
      <c r="E14" s="28">
        <f t="shared" si="1"/>
        <v>0.046439961300032244</v>
      </c>
      <c r="F14" s="159">
        <f>'Page 2'!N14</f>
        <v>0.066</v>
      </c>
      <c r="G14" s="156">
        <f t="shared" si="2"/>
        <v>0.11243996130003225</v>
      </c>
    </row>
    <row r="15" spans="1:7" ht="15">
      <c r="A15" s="25">
        <f t="shared" si="0"/>
        <v>4</v>
      </c>
      <c r="B15" s="26" t="str">
        <f>'Backup2-DO NOT PRINT'!B7</f>
        <v>Con. Edison</v>
      </c>
      <c r="C15" s="134">
        <f>'Page 2'!C15</f>
        <v>45.901666666666664</v>
      </c>
      <c r="D15" s="134">
        <f>'Page 2'!D15</f>
        <v>2.3</v>
      </c>
      <c r="E15" s="28">
        <f t="shared" si="1"/>
        <v>0.05010711303148034</v>
      </c>
      <c r="F15" s="159">
        <f>'Page 2'!N15</f>
        <v>0.066</v>
      </c>
      <c r="G15" s="156">
        <f t="shared" si="2"/>
        <v>0.11610711303148034</v>
      </c>
    </row>
    <row r="16" spans="1:7" ht="15">
      <c r="A16" s="25">
        <f t="shared" si="0"/>
        <v>5</v>
      </c>
      <c r="B16" s="26" t="str">
        <f>'Backup2-DO NOT PRINT'!B8</f>
        <v>Empire District</v>
      </c>
      <c r="C16" s="134">
        <f>'Page 2'!C16</f>
        <v>20.861666666666665</v>
      </c>
      <c r="D16" s="134">
        <f>'Page 2'!D16</f>
        <v>1.28</v>
      </c>
      <c r="E16" s="28">
        <f t="shared" si="1"/>
        <v>0.061356555085084294</v>
      </c>
      <c r="F16" s="159">
        <f>'Page 2'!N16</f>
        <v>0.066</v>
      </c>
      <c r="G16" s="156">
        <f t="shared" si="2"/>
        <v>0.1273565550850843</v>
      </c>
    </row>
    <row r="17" spans="1:7" ht="15">
      <c r="A17" s="25">
        <f t="shared" si="0"/>
        <v>6</v>
      </c>
      <c r="B17" s="26" t="str">
        <f>'Backup2-DO NOT PRINT'!B9</f>
        <v>Energy East Corp.</v>
      </c>
      <c r="C17" s="134">
        <f>'Page 2'!C17</f>
        <v>23.655</v>
      </c>
      <c r="D17" s="134">
        <f>'Page 2'!D17</f>
        <v>1.18</v>
      </c>
      <c r="E17" s="28">
        <f t="shared" si="1"/>
        <v>0.04988374550834918</v>
      </c>
      <c r="F17" s="159">
        <f>'Page 2'!N17</f>
        <v>0.066</v>
      </c>
      <c r="G17" s="156">
        <f t="shared" si="2"/>
        <v>0.11588374550834918</v>
      </c>
    </row>
    <row r="18" spans="1:7" ht="15">
      <c r="A18" s="25">
        <f t="shared" si="0"/>
        <v>7</v>
      </c>
      <c r="B18" s="26" t="str">
        <f>'Backup2-DO NOT PRINT'!B10</f>
        <v>MGE Energy, Inc.</v>
      </c>
      <c r="C18" s="134">
        <f>'Page 2'!C18</f>
        <v>34.83</v>
      </c>
      <c r="D18" s="134">
        <f>'Page 2'!D18</f>
        <v>1.38</v>
      </c>
      <c r="E18" s="28">
        <f t="shared" si="1"/>
        <v>0.03962101636520241</v>
      </c>
      <c r="F18" s="159">
        <f>'Page 2'!N18</f>
        <v>0.066</v>
      </c>
      <c r="G18" s="156">
        <f t="shared" si="2"/>
        <v>0.10562101636520241</v>
      </c>
    </row>
    <row r="19" spans="1:7" ht="15">
      <c r="A19" s="25">
        <f t="shared" si="0"/>
        <v>8</v>
      </c>
      <c r="B19" s="26" t="str">
        <f>'Backup2-DO NOT PRINT'!B11</f>
        <v>NSTAR</v>
      </c>
      <c r="C19" s="134">
        <f>'Page 2'!C19</f>
        <v>27.805</v>
      </c>
      <c r="D19" s="134">
        <f>'Page 2'!D19</f>
        <v>1.2</v>
      </c>
      <c r="E19" s="28">
        <f t="shared" si="1"/>
        <v>0.043157705448660315</v>
      </c>
      <c r="F19" s="159">
        <f>'Page 2'!N19</f>
        <v>0.066</v>
      </c>
      <c r="G19" s="156">
        <f t="shared" si="2"/>
        <v>0.10915770544866032</v>
      </c>
    </row>
    <row r="20" spans="1:7" ht="15">
      <c r="A20" s="25">
        <f t="shared" si="0"/>
        <v>9</v>
      </c>
      <c r="B20" s="26" t="str">
        <f>'Backup2-DO NOT PRINT'!B12</f>
        <v>Progress Energy</v>
      </c>
      <c r="C20" s="134">
        <f>'Page 2'!C20</f>
        <v>43.77</v>
      </c>
      <c r="D20" s="134">
        <f>'Page 2'!D20</f>
        <v>2.44</v>
      </c>
      <c r="E20" s="28">
        <f t="shared" si="1"/>
        <v>0.05574594471098926</v>
      </c>
      <c r="F20" s="159">
        <f>'Page 2'!N20</f>
        <v>0.066</v>
      </c>
      <c r="G20" s="156">
        <f t="shared" si="2"/>
        <v>0.12174594471098926</v>
      </c>
    </row>
    <row r="21" spans="1:7" ht="15">
      <c r="A21" s="25">
        <f t="shared" si="0"/>
        <v>10</v>
      </c>
      <c r="B21" s="26" t="str">
        <f>'Backup2-DO NOT PRINT'!B13</f>
        <v>SCANA Corp.</v>
      </c>
      <c r="C21" s="134">
        <f>'Page 2'!C21</f>
        <v>40.02333333333333</v>
      </c>
      <c r="D21" s="134">
        <f>'Page 2'!D21</f>
        <v>1.66</v>
      </c>
      <c r="E21" s="28">
        <f t="shared" si="1"/>
        <v>0.04147580577996169</v>
      </c>
      <c r="F21" s="159">
        <f>'Page 2'!N21</f>
        <v>0.066</v>
      </c>
      <c r="G21" s="156">
        <f t="shared" si="2"/>
        <v>0.10747580577996169</v>
      </c>
    </row>
    <row r="22" spans="1:7" ht="15">
      <c r="A22" s="25">
        <f>A21+1</f>
        <v>11</v>
      </c>
      <c r="B22" s="26" t="str">
        <f>'Backup2-DO NOT PRINT'!B14</f>
        <v>Southern Co.</v>
      </c>
      <c r="C22" s="134">
        <f>'Page 2'!C22</f>
        <v>34.71666666666667</v>
      </c>
      <c r="D22" s="134">
        <f>'Page 2'!D22</f>
        <v>1.53</v>
      </c>
      <c r="E22" s="28">
        <f>D22/C22</f>
        <v>0.044071051368218914</v>
      </c>
      <c r="F22" s="159">
        <f>'Page 2'!N22</f>
        <v>0.066</v>
      </c>
      <c r="G22" s="156">
        <f>E22+F22</f>
        <v>0.11007105136821892</v>
      </c>
    </row>
    <row r="23" spans="1:7" ht="15">
      <c r="A23" s="25">
        <f>A22+1</f>
        <v>12</v>
      </c>
      <c r="B23" s="26" t="str">
        <f>'Backup2-DO NOT PRINT'!B15</f>
        <v>Vectren Corp.</v>
      </c>
      <c r="C23" s="134">
        <f>'Page 2'!C23</f>
        <v>27.18166666666667</v>
      </c>
      <c r="D23" s="134">
        <f>'Page 2'!D23</f>
        <v>1.23</v>
      </c>
      <c r="E23" s="28">
        <f>D23/C23</f>
        <v>0.04525108835612238</v>
      </c>
      <c r="F23" s="159">
        <f>'Page 2'!N23</f>
        <v>0.066</v>
      </c>
      <c r="G23" s="156">
        <f>E23+F23</f>
        <v>0.11125108835612238</v>
      </c>
    </row>
    <row r="24" spans="1:7" ht="15">
      <c r="A24" s="25">
        <f>A23+1</f>
        <v>13</v>
      </c>
      <c r="B24" s="26" t="str">
        <f>'Backup2-DO NOT PRINT'!B16</f>
        <v>Xcel Energy Inc.</v>
      </c>
      <c r="C24" s="134">
        <f>'Page 2'!C24</f>
        <v>18.65</v>
      </c>
      <c r="D24" s="134">
        <f>'Page 2'!D24</f>
        <v>0.88</v>
      </c>
      <c r="E24" s="28">
        <f>D24/C24</f>
        <v>0.04718498659517427</v>
      </c>
      <c r="F24" s="159">
        <f>'Page 2'!N24</f>
        <v>0.066</v>
      </c>
      <c r="G24" s="156">
        <f>E24+F24</f>
        <v>0.11318498659517427</v>
      </c>
    </row>
    <row r="25" spans="1:7" ht="15">
      <c r="A25" s="33"/>
      <c r="B25" s="20"/>
      <c r="C25" s="34"/>
      <c r="D25" s="27"/>
      <c r="E25" s="28"/>
      <c r="F25" s="160"/>
      <c r="G25" s="156"/>
    </row>
    <row r="26" spans="1:7" ht="15">
      <c r="A26" s="8"/>
      <c r="B26" s="35" t="s">
        <v>1</v>
      </c>
      <c r="C26" s="205">
        <f>AVERAGE(C12:C25)</f>
        <v>34.1325641025641</v>
      </c>
      <c r="D26" s="205">
        <f>AVERAGE(D12:D25)</f>
        <v>1.6038461538461537</v>
      </c>
      <c r="E26" s="199">
        <f>AVERAGEA(E12:E25)</f>
        <v>0.04704831684840908</v>
      </c>
      <c r="F26" s="36">
        <f>AVERAGE(F12:F25)</f>
        <v>0.06600000000000003</v>
      </c>
      <c r="G26" s="37">
        <f>AVERAGEA(G12:G25)</f>
        <v>0.11304831684840908</v>
      </c>
    </row>
    <row r="27" spans="1:7" ht="15.75" thickBot="1">
      <c r="A27" s="38"/>
      <c r="B27" s="39" t="s">
        <v>2</v>
      </c>
      <c r="C27" s="206"/>
      <c r="D27" s="206"/>
      <c r="E27" s="207">
        <f>MEDIAN(E12:E25)</f>
        <v>0.046439961300032244</v>
      </c>
      <c r="F27" s="207"/>
      <c r="G27" s="208">
        <f>MEDIAN(G12:G25)</f>
        <v>0.11243996130003225</v>
      </c>
    </row>
    <row r="28" spans="1:7" ht="15.75" thickTop="1">
      <c r="A28" s="6"/>
      <c r="B28" s="6"/>
      <c r="C28" s="6"/>
      <c r="D28" s="6"/>
      <c r="E28" s="6"/>
      <c r="F28" s="28"/>
      <c r="G28" s="28"/>
    </row>
    <row r="29" spans="1:7" ht="15">
      <c r="A29" s="71" t="s">
        <v>297</v>
      </c>
      <c r="B29"/>
      <c r="C29" s="71"/>
      <c r="D29" s="6"/>
      <c r="E29" s="6"/>
      <c r="F29" s="20"/>
      <c r="G29" s="20"/>
    </row>
    <row r="30" spans="1:7" ht="15">
      <c r="A30" s="71"/>
      <c r="B30"/>
      <c r="C30" s="71"/>
      <c r="D30" s="6"/>
      <c r="E30" s="6"/>
      <c r="F30" s="20"/>
      <c r="G30" s="20"/>
    </row>
    <row r="31" spans="1:7" ht="15">
      <c r="A31" s="6" t="s">
        <v>294</v>
      </c>
      <c r="B31" s="6"/>
      <c r="C31" s="6"/>
      <c r="D31" s="6"/>
      <c r="E31" s="6"/>
      <c r="F31" s="20"/>
      <c r="G31" s="20"/>
    </row>
    <row r="32" spans="1:7" ht="15">
      <c r="A32" s="6"/>
      <c r="B32" s="6"/>
      <c r="C32" s="6"/>
      <c r="D32" s="6"/>
      <c r="E32" s="6"/>
      <c r="F32" s="20"/>
      <c r="G32" s="20"/>
    </row>
    <row r="33" ht="15">
      <c r="A33" s="71"/>
    </row>
  </sheetData>
  <mergeCells count="4">
    <mergeCell ref="A2:G2"/>
    <mergeCell ref="A3:G3"/>
    <mergeCell ref="A1:G1"/>
    <mergeCell ref="A4:G4"/>
  </mergeCells>
  <printOptions horizontalCentered="1"/>
  <pageMargins left="0.5" right="0.75" top="1" bottom="0.5" header="0.5" footer="0.5"/>
  <pageSetup horizontalDpi="600" verticalDpi="600" orientation="landscape" scale="69" r:id="rId1"/>
  <headerFooter alignWithMargins="0">
    <oddHeader>&amp;RExhibit UPL__(SCH-5)
Page 3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 transitionEvaluation="1"/>
  <dimension ref="A1:O31"/>
  <sheetViews>
    <sheetView showGridLines="0" defaultGridColor="0" zoomScale="75" zoomScaleNormal="75" colorId="22" workbookViewId="0" topLeftCell="A1">
      <selection activeCell="A1" sqref="A1:E1"/>
    </sheetView>
  </sheetViews>
  <sheetFormatPr defaultColWidth="9.77734375" defaultRowHeight="15"/>
  <cols>
    <col min="1" max="1" width="3.99609375" style="1" customWidth="1"/>
    <col min="2" max="2" width="19.5546875" style="1" customWidth="1"/>
    <col min="3" max="4" width="6.77734375" style="1" customWidth="1"/>
    <col min="5" max="5" width="8.3359375" style="1" customWidth="1"/>
    <col min="6" max="6" width="8.77734375" style="1" customWidth="1"/>
    <col min="7" max="7" width="7.6640625" style="1" customWidth="1"/>
    <col min="8" max="11" width="6.77734375" style="1" customWidth="1"/>
    <col min="12" max="12" width="10.21484375" style="1" bestFit="1" customWidth="1"/>
    <col min="13" max="13" width="12.4453125" style="1" customWidth="1"/>
    <col min="14" max="16384" width="9.77734375" style="1" customWidth="1"/>
  </cols>
  <sheetData>
    <row r="1" spans="1:13" ht="20.25">
      <c r="A1" s="213" t="str">
        <f>'Page 1'!A1</f>
        <v>PacifiCorp Utah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8">
      <c r="A2" s="214" t="str">
        <f>'Page 1'!A2</f>
        <v>Discounted Cash Flow Analysis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8">
      <c r="A3" s="219" t="str">
        <f>'Page 1'!E6</f>
        <v>Low Near-Term Growth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">
      <c r="A4" s="219" t="str">
        <f>'Page 1'!E7&amp;" "&amp;'Page 1'!E8</f>
        <v>Two-Stage Growth DCF Model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5">
      <c r="A5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95" customFormat="1" ht="15.75">
      <c r="A6" s="96"/>
      <c r="B6" s="97"/>
      <c r="C6" s="98">
        <v>-20</v>
      </c>
      <c r="D6" s="98">
        <f aca="true" t="shared" si="0" ref="D6:M6">C6-1</f>
        <v>-21</v>
      </c>
      <c r="E6" s="98">
        <f t="shared" si="0"/>
        <v>-22</v>
      </c>
      <c r="F6" s="98">
        <f t="shared" si="0"/>
        <v>-23</v>
      </c>
      <c r="G6" s="98">
        <f t="shared" si="0"/>
        <v>-24</v>
      </c>
      <c r="H6" s="98">
        <f t="shared" si="0"/>
        <v>-25</v>
      </c>
      <c r="I6" s="98">
        <f t="shared" si="0"/>
        <v>-26</v>
      </c>
      <c r="J6" s="98">
        <f t="shared" si="0"/>
        <v>-27</v>
      </c>
      <c r="K6" s="98">
        <f t="shared" si="0"/>
        <v>-28</v>
      </c>
      <c r="L6" s="98">
        <f t="shared" si="0"/>
        <v>-29</v>
      </c>
      <c r="M6" s="99">
        <f t="shared" si="0"/>
        <v>-30</v>
      </c>
    </row>
    <row r="7" spans="1:13" s="95" customFormat="1" ht="15.75">
      <c r="A7" s="177"/>
      <c r="B7" s="178"/>
      <c r="C7" s="180"/>
      <c r="D7" s="179"/>
      <c r="E7" s="179"/>
      <c r="F7" s="180"/>
      <c r="G7" s="179"/>
      <c r="H7" s="179"/>
      <c r="I7" s="179"/>
      <c r="J7" s="179"/>
      <c r="K7" s="179"/>
      <c r="L7" s="179"/>
      <c r="M7" s="181"/>
    </row>
    <row r="8" spans="1:13" ht="15">
      <c r="A8" s="44"/>
      <c r="B8" s="43"/>
      <c r="C8" s="17" t="s">
        <v>6</v>
      </c>
      <c r="D8" s="43"/>
      <c r="E8" s="46" t="s">
        <v>26</v>
      </c>
      <c r="F8" s="141" t="s">
        <v>27</v>
      </c>
      <c r="G8" s="47"/>
      <c r="H8" s="2"/>
      <c r="I8" s="2"/>
      <c r="J8" s="2"/>
      <c r="K8" s="2"/>
      <c r="L8" s="2"/>
      <c r="M8" s="84" t="s">
        <v>28</v>
      </c>
    </row>
    <row r="9" spans="1:13" ht="15">
      <c r="A9" s="44"/>
      <c r="B9" s="43"/>
      <c r="C9" s="19" t="s">
        <v>10</v>
      </c>
      <c r="D9" s="117" t="s">
        <v>266</v>
      </c>
      <c r="E9" s="46" t="s">
        <v>29</v>
      </c>
      <c r="F9" s="19" t="s">
        <v>9</v>
      </c>
      <c r="G9" s="89" t="s">
        <v>30</v>
      </c>
      <c r="H9" s="89" t="s">
        <v>31</v>
      </c>
      <c r="I9" s="89" t="s">
        <v>32</v>
      </c>
      <c r="J9" s="89" t="s">
        <v>33</v>
      </c>
      <c r="K9" s="89" t="s">
        <v>208</v>
      </c>
      <c r="L9" s="89" t="s">
        <v>211</v>
      </c>
      <c r="M9" s="85" t="s">
        <v>34</v>
      </c>
    </row>
    <row r="10" spans="1:13" ht="15.75" thickBot="1">
      <c r="A10" s="48"/>
      <c r="B10" s="49" t="s">
        <v>0</v>
      </c>
      <c r="C10" s="48" t="s">
        <v>35</v>
      </c>
      <c r="D10" s="50" t="s">
        <v>35</v>
      </c>
      <c r="E10" s="72" t="s">
        <v>267</v>
      </c>
      <c r="F10" s="48" t="s">
        <v>36</v>
      </c>
      <c r="G10" s="50" t="s">
        <v>35</v>
      </c>
      <c r="H10" s="50" t="s">
        <v>35</v>
      </c>
      <c r="I10" s="50" t="s">
        <v>35</v>
      </c>
      <c r="J10" s="50" t="s">
        <v>35</v>
      </c>
      <c r="K10" s="50" t="s">
        <v>35</v>
      </c>
      <c r="L10" s="72" t="s">
        <v>209</v>
      </c>
      <c r="M10" s="86" t="s">
        <v>210</v>
      </c>
    </row>
    <row r="11" spans="1:13" ht="15.75" thickTop="1">
      <c r="A11" s="44"/>
      <c r="B11" s="43"/>
      <c r="C11" s="44"/>
      <c r="D11" s="43"/>
      <c r="E11" s="43"/>
      <c r="F11" s="44"/>
      <c r="G11" s="43"/>
      <c r="H11" s="43"/>
      <c r="I11" s="43"/>
      <c r="J11" s="43"/>
      <c r="K11" s="43"/>
      <c r="L11" s="43"/>
      <c r="M11" s="45"/>
    </row>
    <row r="12" spans="1:15" ht="15">
      <c r="A12" s="33">
        <f>'Page 2'!A12</f>
        <v>1</v>
      </c>
      <c r="B12" s="20" t="str">
        <f>'Page 2'!B12</f>
        <v>Alliant Energy Co.</v>
      </c>
      <c r="C12" s="29">
        <f>'Page 2'!D12</f>
        <v>1.07</v>
      </c>
      <c r="D12" s="30">
        <f>'Backup2-DO NOT PRINT'!L4</f>
        <v>1.15</v>
      </c>
      <c r="E12" s="30">
        <f>(D12-C12)/3</f>
        <v>0.026666666666666616</v>
      </c>
      <c r="F12" s="29">
        <f>-'Backup1-DO NOT PRINT'!H6</f>
        <v>27.77</v>
      </c>
      <c r="G12" s="30">
        <f>'Backup1-DO NOT PRINT'!I6</f>
        <v>1.07</v>
      </c>
      <c r="H12" s="30">
        <f>'Backup1-DO NOT PRINT'!J6</f>
        <v>1.0966666666666667</v>
      </c>
      <c r="I12" s="30">
        <f>'Backup1-DO NOT PRINT'!K6</f>
        <v>1.1233333333333333</v>
      </c>
      <c r="J12" s="30">
        <f>'Backup1-DO NOT PRINT'!L6</f>
        <v>1.15</v>
      </c>
      <c r="K12" s="30">
        <f>'Backup1-DO NOT PRINT'!M6</f>
        <v>1.2259</v>
      </c>
      <c r="L12" s="169">
        <f>'Backup1-DO NOT PRINT'!$M$3</f>
        <v>0.066</v>
      </c>
      <c r="M12" s="73">
        <f>'Backup1-DO NOT PRINT'!G6</f>
        <v>0.100146240817006</v>
      </c>
      <c r="O12" s="133"/>
    </row>
    <row r="13" spans="1:15" ht="15">
      <c r="A13" s="33">
        <f>'Page 2'!A13</f>
        <v>2</v>
      </c>
      <c r="B13" s="20" t="str">
        <f>'Page 2'!B13</f>
        <v>Ameren</v>
      </c>
      <c r="C13" s="29">
        <f>'Page 2'!D13</f>
        <v>2.54</v>
      </c>
      <c r="D13" s="30">
        <f>'Backup2-DO NOT PRINT'!L5</f>
        <v>2.54</v>
      </c>
      <c r="E13" s="30">
        <f aca="true" t="shared" si="1" ref="E13:E21">(D13-C13)/3</f>
        <v>0</v>
      </c>
      <c r="F13" s="29">
        <f>-'Backup1-DO NOT PRINT'!H7</f>
        <v>52.04666666666666</v>
      </c>
      <c r="G13" s="30">
        <f>'Backup1-DO NOT PRINT'!I7</f>
        <v>2.54</v>
      </c>
      <c r="H13" s="30">
        <f>'Backup1-DO NOT PRINT'!J7</f>
        <v>2.54</v>
      </c>
      <c r="I13" s="30">
        <f>'Backup1-DO NOT PRINT'!K7</f>
        <v>2.54</v>
      </c>
      <c r="J13" s="30">
        <f>'Backup1-DO NOT PRINT'!L7</f>
        <v>2.54</v>
      </c>
      <c r="K13" s="30">
        <f>'Backup1-DO NOT PRINT'!M7</f>
        <v>2.70764</v>
      </c>
      <c r="L13" s="169">
        <f>'Backup1-DO NOT PRINT'!$M$3</f>
        <v>0.066</v>
      </c>
      <c r="M13" s="73">
        <f>'Backup1-DO NOT PRINT'!G7</f>
        <v>0.10674127858073004</v>
      </c>
      <c r="O13" s="133"/>
    </row>
    <row r="14" spans="1:15" ht="15">
      <c r="A14" s="33">
        <f>'Page 2'!A14</f>
        <v>3</v>
      </c>
      <c r="B14" s="20" t="str">
        <f>'Page 2'!B14</f>
        <v>CH Energy Group</v>
      </c>
      <c r="C14" s="29">
        <f>'Page 2'!D14</f>
        <v>2.16</v>
      </c>
      <c r="D14" s="30">
        <f>'Backup2-DO NOT PRINT'!L6</f>
        <v>2.2</v>
      </c>
      <c r="E14" s="30">
        <f t="shared" si="1"/>
        <v>0.013333333333333345</v>
      </c>
      <c r="F14" s="29">
        <f>-'Backup1-DO NOT PRINT'!H8</f>
        <v>46.51166666666668</v>
      </c>
      <c r="G14" s="30">
        <f>'Backup1-DO NOT PRINT'!I8</f>
        <v>2.16</v>
      </c>
      <c r="H14" s="30">
        <f>'Backup1-DO NOT PRINT'!J8</f>
        <v>2.1733333333333333</v>
      </c>
      <c r="I14" s="30">
        <f>'Backup1-DO NOT PRINT'!K8</f>
        <v>2.1866666666666665</v>
      </c>
      <c r="J14" s="30">
        <f>'Backup1-DO NOT PRINT'!L8</f>
        <v>2.2</v>
      </c>
      <c r="K14" s="30">
        <f>'Backup1-DO NOT PRINT'!M8</f>
        <v>2.3452</v>
      </c>
      <c r="L14" s="169">
        <f>'Backup1-DO NOT PRINT'!$M$3</f>
        <v>0.066</v>
      </c>
      <c r="M14" s="73">
        <f>'Backup1-DO NOT PRINT'!G8</f>
        <v>0.10538287344584513</v>
      </c>
      <c r="O14" s="133"/>
    </row>
    <row r="15" spans="1:15" ht="15">
      <c r="A15" s="33">
        <f>'Page 2'!A15</f>
        <v>4</v>
      </c>
      <c r="B15" s="20" t="str">
        <f>'Page 2'!B15</f>
        <v>Con. Edison</v>
      </c>
      <c r="C15" s="29">
        <f>'Page 2'!D15</f>
        <v>2.3</v>
      </c>
      <c r="D15" s="30">
        <f>'Backup2-DO NOT PRINT'!L7</f>
        <v>2.36</v>
      </c>
      <c r="E15" s="30">
        <f t="shared" si="1"/>
        <v>0.020000000000000018</v>
      </c>
      <c r="F15" s="29">
        <f>-'Backup1-DO NOT PRINT'!H9</f>
        <v>45.901666666666664</v>
      </c>
      <c r="G15" s="30">
        <f>'Backup1-DO NOT PRINT'!I9</f>
        <v>2.3</v>
      </c>
      <c r="H15" s="30">
        <f>'Backup1-DO NOT PRINT'!J9</f>
        <v>2.32</v>
      </c>
      <c r="I15" s="30">
        <f>'Backup1-DO NOT PRINT'!K9</f>
        <v>2.34</v>
      </c>
      <c r="J15" s="30">
        <f>'Backup1-DO NOT PRINT'!L9</f>
        <v>2.36</v>
      </c>
      <c r="K15" s="30">
        <f>'Backup1-DO NOT PRINT'!M9</f>
        <v>2.51576</v>
      </c>
      <c r="L15" s="169">
        <f>'Backup1-DO NOT PRINT'!$M$3</f>
        <v>0.066</v>
      </c>
      <c r="M15" s="73">
        <f>'Backup1-DO NOT PRINT'!G9</f>
        <v>0.10889708118937119</v>
      </c>
      <c r="O15" s="133"/>
    </row>
    <row r="16" spans="1:15" ht="15">
      <c r="A16" s="33">
        <f>'Page 2'!A16</f>
        <v>5</v>
      </c>
      <c r="B16" s="20" t="str">
        <f>'Page 2'!B16</f>
        <v>Empire District</v>
      </c>
      <c r="C16" s="29">
        <f>'Page 2'!D16</f>
        <v>1.28</v>
      </c>
      <c r="D16" s="30">
        <f>'Backup2-DO NOT PRINT'!L8</f>
        <v>1.28</v>
      </c>
      <c r="E16" s="30">
        <f t="shared" si="1"/>
        <v>0</v>
      </c>
      <c r="F16" s="29">
        <f>-'Backup1-DO NOT PRINT'!H10</f>
        <v>20.861666666666665</v>
      </c>
      <c r="G16" s="30">
        <f>'Backup1-DO NOT PRINT'!I10</f>
        <v>1.28</v>
      </c>
      <c r="H16" s="30">
        <f>'Backup1-DO NOT PRINT'!J10</f>
        <v>1.28</v>
      </c>
      <c r="I16" s="30">
        <f>'Backup1-DO NOT PRINT'!K10</f>
        <v>1.28</v>
      </c>
      <c r="J16" s="30">
        <f>'Backup1-DO NOT PRINT'!L10</f>
        <v>1.28</v>
      </c>
      <c r="K16" s="30">
        <f>'Backup1-DO NOT PRINT'!M10</f>
        <v>1.3644800000000001</v>
      </c>
      <c r="L16" s="169">
        <f>'Backup1-DO NOT PRINT'!$M$3</f>
        <v>0.066</v>
      </c>
      <c r="M16" s="73">
        <f>'Backup1-DO NOT PRINT'!G10</f>
        <v>0.11754661508514196</v>
      </c>
      <c r="O16" s="133"/>
    </row>
    <row r="17" spans="1:15" ht="15">
      <c r="A17" s="33">
        <f>'Page 2'!A17</f>
        <v>6</v>
      </c>
      <c r="B17" s="20" t="str">
        <f>'Page 2'!B17</f>
        <v>Energy East Corp.</v>
      </c>
      <c r="C17" s="29">
        <f>'Page 2'!D17</f>
        <v>1.18</v>
      </c>
      <c r="D17" s="30">
        <f>'Backup2-DO NOT PRINT'!L9</f>
        <v>1.35</v>
      </c>
      <c r="E17" s="30">
        <f t="shared" si="1"/>
        <v>0.05666666666666672</v>
      </c>
      <c r="F17" s="29">
        <f>-'Backup1-DO NOT PRINT'!H11</f>
        <v>23.655</v>
      </c>
      <c r="G17" s="30">
        <f>'Backup1-DO NOT PRINT'!I11</f>
        <v>1.18</v>
      </c>
      <c r="H17" s="30">
        <f>'Backup1-DO NOT PRINT'!J11</f>
        <v>1.2366666666666666</v>
      </c>
      <c r="I17" s="30">
        <f>'Backup1-DO NOT PRINT'!K11</f>
        <v>1.2933333333333332</v>
      </c>
      <c r="J17" s="30">
        <f>'Backup1-DO NOT PRINT'!L11</f>
        <v>1.35</v>
      </c>
      <c r="K17" s="30">
        <f>'Backup1-DO NOT PRINT'!M11</f>
        <v>1.4391000000000003</v>
      </c>
      <c r="L17" s="169">
        <f>'Backup1-DO NOT PRINT'!$M$3</f>
        <v>0.066</v>
      </c>
      <c r="M17" s="73">
        <f>'Backup1-DO NOT PRINT'!G11</f>
        <v>0.11327778456306777</v>
      </c>
      <c r="O17" s="133"/>
    </row>
    <row r="18" spans="1:15" ht="15">
      <c r="A18" s="33">
        <f>'Page 2'!A18</f>
        <v>7</v>
      </c>
      <c r="B18" s="20" t="str">
        <f>'Page 2'!B18</f>
        <v>MGE Energy, Inc.</v>
      </c>
      <c r="C18" s="29">
        <f>'Page 2'!D18</f>
        <v>1.38</v>
      </c>
      <c r="D18" s="30">
        <f>'Backup2-DO NOT PRINT'!L10</f>
        <v>1.44</v>
      </c>
      <c r="E18" s="30">
        <f t="shared" si="1"/>
        <v>0.020000000000000018</v>
      </c>
      <c r="F18" s="29">
        <f>-'Backup1-DO NOT PRINT'!H12</f>
        <v>34.83</v>
      </c>
      <c r="G18" s="30">
        <f>'Backup1-DO NOT PRINT'!I12</f>
        <v>1.38</v>
      </c>
      <c r="H18" s="30">
        <f>'Backup1-DO NOT PRINT'!J12</f>
        <v>1.4</v>
      </c>
      <c r="I18" s="30">
        <f>'Backup1-DO NOT PRINT'!K12</f>
        <v>1.42</v>
      </c>
      <c r="J18" s="30">
        <f>'Backup1-DO NOT PRINT'!L12</f>
        <v>1.44</v>
      </c>
      <c r="K18" s="30">
        <f>'Backup1-DO NOT PRINT'!M12</f>
        <v>1.53504</v>
      </c>
      <c r="L18" s="169">
        <f>'Backup1-DO NOT PRINT'!$M$3</f>
        <v>0.066</v>
      </c>
      <c r="M18" s="73">
        <f>'Backup1-DO NOT PRINT'!G12</f>
        <v>0.10015818534192907</v>
      </c>
      <c r="O18" s="133"/>
    </row>
    <row r="19" spans="1:15" ht="15">
      <c r="A19" s="33">
        <f>'Page 2'!A19</f>
        <v>8</v>
      </c>
      <c r="B19" s="20" t="str">
        <f>'Page 2'!B19</f>
        <v>NSTAR</v>
      </c>
      <c r="C19" s="29">
        <f>'Page 2'!D19</f>
        <v>1.2</v>
      </c>
      <c r="D19" s="30">
        <f>'Backup2-DO NOT PRINT'!L11</f>
        <v>1.32</v>
      </c>
      <c r="E19" s="30">
        <f t="shared" si="1"/>
        <v>0.040000000000000036</v>
      </c>
      <c r="F19" s="29">
        <f>-'Backup1-DO NOT PRINT'!H13</f>
        <v>27.805</v>
      </c>
      <c r="G19" s="30">
        <f>'Backup1-DO NOT PRINT'!I13</f>
        <v>1.2</v>
      </c>
      <c r="H19" s="30">
        <f>'Backup1-DO NOT PRINT'!J13</f>
        <v>1.24</v>
      </c>
      <c r="I19" s="30">
        <f>'Backup1-DO NOT PRINT'!K13</f>
        <v>1.28</v>
      </c>
      <c r="J19" s="30">
        <f>'Backup1-DO NOT PRINT'!L13</f>
        <v>1.32</v>
      </c>
      <c r="K19" s="30">
        <f>'Backup1-DO NOT PRINT'!M13</f>
        <v>1.4071200000000001</v>
      </c>
      <c r="L19" s="169">
        <f>'Backup1-DO NOT PRINT'!$M$3</f>
        <v>0.066</v>
      </c>
      <c r="M19" s="73">
        <f>'Backup1-DO NOT PRINT'!G13</f>
        <v>0.10529394011533819</v>
      </c>
      <c r="O19" s="133"/>
    </row>
    <row r="20" spans="1:15" ht="15">
      <c r="A20" s="33">
        <f>'Page 2'!A20</f>
        <v>9</v>
      </c>
      <c r="B20" s="20" t="str">
        <f>'Page 2'!B20</f>
        <v>Progress Energy</v>
      </c>
      <c r="C20" s="29">
        <f>'Page 2'!D20</f>
        <v>2.44</v>
      </c>
      <c r="D20" s="30">
        <f>'Backup2-DO NOT PRINT'!L12</f>
        <v>2.5</v>
      </c>
      <c r="E20" s="30">
        <f t="shared" si="1"/>
        <v>0.020000000000000018</v>
      </c>
      <c r="F20" s="29">
        <f>-'Backup1-DO NOT PRINT'!H14</f>
        <v>43.77</v>
      </c>
      <c r="G20" s="30">
        <f>'Backup1-DO NOT PRINT'!I14</f>
        <v>2.44</v>
      </c>
      <c r="H20" s="30">
        <f>'Backup1-DO NOT PRINT'!J14</f>
        <v>2.46</v>
      </c>
      <c r="I20" s="30">
        <f>'Backup1-DO NOT PRINT'!K14</f>
        <v>2.48</v>
      </c>
      <c r="J20" s="30">
        <f>'Backup1-DO NOT PRINT'!L14</f>
        <v>2.5</v>
      </c>
      <c r="K20" s="30">
        <f>'Backup1-DO NOT PRINT'!M14</f>
        <v>2.665</v>
      </c>
      <c r="L20" s="169">
        <f>'Backup1-DO NOT PRINT'!$M$3</f>
        <v>0.066</v>
      </c>
      <c r="M20" s="73">
        <f>'Backup1-DO NOT PRINT'!G14</f>
        <v>0.11378966199442989</v>
      </c>
      <c r="O20" s="133"/>
    </row>
    <row r="21" spans="1:15" ht="15">
      <c r="A21" s="33">
        <f>'Page 2'!A21</f>
        <v>10</v>
      </c>
      <c r="B21" s="20" t="str">
        <f>'Page 2'!B21</f>
        <v>SCANA Corp.</v>
      </c>
      <c r="C21" s="29">
        <f>'Page 2'!D21</f>
        <v>1.66</v>
      </c>
      <c r="D21" s="30">
        <f>'Backup2-DO NOT PRINT'!L13</f>
        <v>1.9</v>
      </c>
      <c r="E21" s="30">
        <f t="shared" si="1"/>
        <v>0.08</v>
      </c>
      <c r="F21" s="29">
        <f>-'Backup1-DO NOT PRINT'!H15</f>
        <v>40.02333333333333</v>
      </c>
      <c r="G21" s="30">
        <f>'Backup1-DO NOT PRINT'!I15</f>
        <v>1.66</v>
      </c>
      <c r="H21" s="30">
        <f>'Backup1-DO NOT PRINT'!J15</f>
        <v>1.74</v>
      </c>
      <c r="I21" s="30">
        <f>'Backup1-DO NOT PRINT'!K15</f>
        <v>1.82</v>
      </c>
      <c r="J21" s="30">
        <f>'Backup1-DO NOT PRINT'!L15</f>
        <v>1.9</v>
      </c>
      <c r="K21" s="30">
        <f>'Backup1-DO NOT PRINT'!M15</f>
        <v>2.0254</v>
      </c>
      <c r="L21" s="169">
        <f>'Backup1-DO NOT PRINT'!$M$3</f>
        <v>0.066</v>
      </c>
      <c r="M21" s="73">
        <f>'Backup1-DO NOT PRINT'!G15</f>
        <v>0.10517768559465078</v>
      </c>
      <c r="O21" s="133"/>
    </row>
    <row r="22" spans="1:15" ht="15">
      <c r="A22" s="33">
        <f>'Page 2'!A22</f>
        <v>11</v>
      </c>
      <c r="B22" s="20" t="str">
        <f>'Page 2'!B22</f>
        <v>Southern Co.</v>
      </c>
      <c r="C22" s="29">
        <f>'Page 2'!D22</f>
        <v>1.53</v>
      </c>
      <c r="D22" s="30">
        <f>'Backup2-DO NOT PRINT'!L14</f>
        <v>1.71</v>
      </c>
      <c r="E22" s="30">
        <f>(D22-C22)/3</f>
        <v>0.05999999999999998</v>
      </c>
      <c r="F22" s="29">
        <f>-'Backup1-DO NOT PRINT'!H16</f>
        <v>34.71666666666667</v>
      </c>
      <c r="G22" s="30">
        <f>'Backup1-DO NOT PRINT'!I16</f>
        <v>1.53</v>
      </c>
      <c r="H22" s="30">
        <f>'Backup1-DO NOT PRINT'!J16</f>
        <v>1.59</v>
      </c>
      <c r="I22" s="30">
        <f>'Backup1-DO NOT PRINT'!K16</f>
        <v>1.6500000000000001</v>
      </c>
      <c r="J22" s="30">
        <f>'Backup1-DO NOT PRINT'!L16</f>
        <v>1.71</v>
      </c>
      <c r="K22" s="30">
        <f>'Backup1-DO NOT PRINT'!M16</f>
        <v>1.8228600000000001</v>
      </c>
      <c r="L22" s="169">
        <f>'Backup1-DO NOT PRINT'!$M$3</f>
        <v>0.066</v>
      </c>
      <c r="M22" s="73">
        <f>'Backup1-DO NOT PRINT'!G16</f>
        <v>0.10676266128582722</v>
      </c>
      <c r="O22" s="133"/>
    </row>
    <row r="23" spans="1:15" ht="15">
      <c r="A23" s="33">
        <f>'Page 2'!A23</f>
        <v>12</v>
      </c>
      <c r="B23" s="20" t="str">
        <f>'Page 2'!B23</f>
        <v>Vectren Corp.</v>
      </c>
      <c r="C23" s="29">
        <f>'Page 2'!D23</f>
        <v>1.23</v>
      </c>
      <c r="D23" s="30">
        <f>'Backup2-DO NOT PRINT'!L15</f>
        <v>1.35</v>
      </c>
      <c r="E23" s="30">
        <f>(D23-C23)/3</f>
        <v>0.040000000000000036</v>
      </c>
      <c r="F23" s="29">
        <f>-'Backup1-DO NOT PRINT'!H17</f>
        <v>27.18166666666667</v>
      </c>
      <c r="G23" s="30">
        <f>'Backup1-DO NOT PRINT'!I17</f>
        <v>1.23</v>
      </c>
      <c r="H23" s="30">
        <f>'Backup1-DO NOT PRINT'!J17</f>
        <v>1.27</v>
      </c>
      <c r="I23" s="30">
        <f>'Backup1-DO NOT PRINT'!K17</f>
        <v>1.31</v>
      </c>
      <c r="J23" s="30">
        <f>'Backup1-DO NOT PRINT'!L17</f>
        <v>1.35</v>
      </c>
      <c r="K23" s="30">
        <f>'Backup1-DO NOT PRINT'!M17</f>
        <v>1.4391000000000003</v>
      </c>
      <c r="L23" s="169">
        <f>'Backup1-DO NOT PRINT'!$M$3</f>
        <v>0.066</v>
      </c>
      <c r="M23" s="73">
        <f>'Backup1-DO NOT PRINT'!G17</f>
        <v>0.10716880822582729</v>
      </c>
      <c r="O23" s="133"/>
    </row>
    <row r="24" spans="1:15" ht="15">
      <c r="A24" s="33">
        <f>'Page 2'!A24</f>
        <v>13</v>
      </c>
      <c r="B24" s="20" t="str">
        <f>'Page 2'!B24</f>
        <v>Xcel Energy Inc.</v>
      </c>
      <c r="C24" s="29">
        <f>'Page 2'!D24</f>
        <v>0.88</v>
      </c>
      <c r="D24" s="30">
        <f>'Backup2-DO NOT PRINT'!L16</f>
        <v>1.05</v>
      </c>
      <c r="E24" s="30">
        <f>(D24-C24)/3</f>
        <v>0.05666666666666668</v>
      </c>
      <c r="F24" s="29">
        <f>-'Backup1-DO NOT PRINT'!H18</f>
        <v>18.65</v>
      </c>
      <c r="G24" s="30">
        <f>'Backup1-DO NOT PRINT'!I18</f>
        <v>0.88</v>
      </c>
      <c r="H24" s="30">
        <f>'Backup1-DO NOT PRINT'!J18</f>
        <v>0.9366666666666666</v>
      </c>
      <c r="I24" s="30">
        <f>'Backup1-DO NOT PRINT'!K18</f>
        <v>0.9933333333333333</v>
      </c>
      <c r="J24" s="30">
        <f>'Backup1-DO NOT PRINT'!L18</f>
        <v>1.05</v>
      </c>
      <c r="K24" s="30">
        <f>'Backup1-DO NOT PRINT'!M18</f>
        <v>1.1193000000000002</v>
      </c>
      <c r="L24" s="169">
        <f>'Backup1-DO NOT PRINT'!$M$3</f>
        <v>0.066</v>
      </c>
      <c r="M24" s="73">
        <f>'Backup1-DO NOT PRINT'!G18</f>
        <v>0.11247004882748413</v>
      </c>
      <c r="O24" s="133"/>
    </row>
    <row r="25" spans="1:15" ht="14.25" customHeight="1">
      <c r="A25" s="51"/>
      <c r="B25" s="52"/>
      <c r="C25" s="53"/>
      <c r="D25" s="54"/>
      <c r="E25" s="54"/>
      <c r="F25" s="53"/>
      <c r="G25" s="54"/>
      <c r="H25" s="54"/>
      <c r="I25" s="54"/>
      <c r="J25" s="54"/>
      <c r="K25" s="54"/>
      <c r="L25" s="54"/>
      <c r="M25" s="184"/>
      <c r="O25" s="133"/>
    </row>
    <row r="26" spans="1:13" ht="15">
      <c r="A26" s="55"/>
      <c r="B26" s="56" t="s">
        <v>1</v>
      </c>
      <c r="C26" s="53">
        <f>AVERAGE(C12:C25)</f>
        <v>1.6038461538461537</v>
      </c>
      <c r="D26" s="54">
        <f>AVERAGE(D12:D25)</f>
        <v>1.703846153846154</v>
      </c>
      <c r="E26" s="54">
        <f>AVERAGE(E12:E25)</f>
        <v>0.03333333333333335</v>
      </c>
      <c r="F26" s="53">
        <f>AVERAGE(F12:F25)</f>
        <v>34.1325641025641</v>
      </c>
      <c r="G26" s="36"/>
      <c r="H26" s="36"/>
      <c r="I26" s="36"/>
      <c r="J26" s="36"/>
      <c r="K26" s="36"/>
      <c r="L26" s="36"/>
      <c r="M26" s="195">
        <f>AVERAGEA(M12:M25)</f>
        <v>0.10790868192820374</v>
      </c>
    </row>
    <row r="27" spans="1:13" ht="15.75" thickBot="1">
      <c r="A27" s="57"/>
      <c r="B27" s="58" t="s">
        <v>2</v>
      </c>
      <c r="C27" s="209"/>
      <c r="D27" s="209"/>
      <c r="E27" s="207"/>
      <c r="F27" s="40"/>
      <c r="G27" s="207"/>
      <c r="H27" s="207"/>
      <c r="I27" s="207"/>
      <c r="J27" s="207"/>
      <c r="K27" s="207"/>
      <c r="L27" s="207"/>
      <c r="M27" s="210">
        <f>MEDIAN(M12:M25)</f>
        <v>0.10676266128582722</v>
      </c>
    </row>
    <row r="28" spans="1:13" ht="15.75" thickTop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ht="15">
      <c r="A29" s="1" t="s">
        <v>297</v>
      </c>
    </row>
    <row r="30" ht="15">
      <c r="A30" s="71"/>
    </row>
    <row r="31" ht="15">
      <c r="A31" s="6" t="s">
        <v>294</v>
      </c>
    </row>
  </sheetData>
  <mergeCells count="4">
    <mergeCell ref="A1:M1"/>
    <mergeCell ref="A2:M2"/>
    <mergeCell ref="A3:M3"/>
    <mergeCell ref="A4:M4"/>
  </mergeCells>
  <printOptions horizontalCentered="1"/>
  <pageMargins left="0.5" right="0.75" top="1" bottom="0.5" header="0.5" footer="0.5"/>
  <pageSetup horizontalDpi="600" verticalDpi="600" orientation="landscape" scale="70" r:id="rId1"/>
  <headerFooter alignWithMargins="0">
    <oddHeader>&amp;RExhibit UPL__(SCH-5)
Page 4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valuation="1"/>
  <dimension ref="A1:P75"/>
  <sheetViews>
    <sheetView showGridLines="0" defaultGridColor="0" zoomScale="80" zoomScaleNormal="80" colorId="22" workbookViewId="0" topLeftCell="A1">
      <selection activeCell="A1" sqref="A1:E1"/>
    </sheetView>
  </sheetViews>
  <sheetFormatPr defaultColWidth="9.77734375" defaultRowHeight="15"/>
  <cols>
    <col min="1" max="16384" width="9.77734375" style="1" customWidth="1"/>
  </cols>
  <sheetData>
    <row r="1" spans="1:12" ht="20.25">
      <c r="A1" s="221" t="str">
        <f>'Page 1'!A1</f>
        <v>PacifiCorp Utah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4" ht="18">
      <c r="A2" s="220" t="str">
        <f>'Page 1'!A2</f>
        <v>Discounted Cash Flow Analysis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N2" s="88"/>
    </row>
    <row r="3" spans="1:16" ht="18">
      <c r="A3" s="5" t="s">
        <v>37</v>
      </c>
      <c r="B3" s="16"/>
      <c r="C3" s="16"/>
      <c r="D3" s="16"/>
      <c r="E3" s="16"/>
      <c r="F3" s="60"/>
      <c r="G3" s="60"/>
      <c r="H3" s="60"/>
      <c r="I3" s="60"/>
      <c r="J3" s="4"/>
      <c r="K3" s="60"/>
      <c r="L3" s="60"/>
      <c r="M3"/>
      <c r="N3"/>
      <c r="O3" s="28"/>
      <c r="P3" s="28"/>
    </row>
    <row r="4" spans="1:16" ht="15">
      <c r="A4" s="7"/>
      <c r="B4" s="6"/>
      <c r="C4" s="6"/>
      <c r="D4" s="6"/>
      <c r="E4" s="6"/>
      <c r="F4" s="28"/>
      <c r="G4" s="28"/>
      <c r="H4" s="28"/>
      <c r="I4" s="28"/>
      <c r="J4" s="7"/>
      <c r="K4" s="28"/>
      <c r="L4" s="28"/>
      <c r="M4" s="28"/>
      <c r="N4" s="28"/>
      <c r="O4" s="28"/>
      <c r="P4" s="28"/>
    </row>
    <row r="5" spans="1:16" ht="15">
      <c r="A5" s="7"/>
      <c r="B5" s="6"/>
      <c r="C5" s="6"/>
      <c r="D5" s="6"/>
      <c r="E5" s="6"/>
      <c r="F5" s="28"/>
      <c r="G5" s="28"/>
      <c r="H5" s="28"/>
      <c r="I5" s="28"/>
      <c r="J5" s="7"/>
      <c r="K5" s="28"/>
      <c r="L5" s="28"/>
      <c r="M5" s="28"/>
      <c r="N5" s="28"/>
      <c r="O5" s="28"/>
      <c r="P5" s="28"/>
    </row>
    <row r="6" spans="1:16" ht="15">
      <c r="A6" s="87" t="s">
        <v>298</v>
      </c>
      <c r="B6" s="6"/>
      <c r="C6" s="6"/>
      <c r="D6" s="6"/>
      <c r="E6" s="6"/>
      <c r="F6" s="28"/>
      <c r="G6" s="7"/>
      <c r="H6" s="6" t="s">
        <v>245</v>
      </c>
      <c r="J6" s="6"/>
      <c r="K6" s="28"/>
      <c r="L6" s="28"/>
      <c r="M6" s="28"/>
      <c r="N6" s="28"/>
      <c r="O6" s="28"/>
      <c r="P6" s="28"/>
    </row>
    <row r="7" spans="1:16" ht="15">
      <c r="A7" s="6"/>
      <c r="B7" s="6"/>
      <c r="C7" s="6"/>
      <c r="D7" s="6"/>
      <c r="E7" s="6"/>
      <c r="F7" s="28"/>
      <c r="G7" s="7"/>
      <c r="J7" s="7"/>
      <c r="K7" s="28"/>
      <c r="L7" s="28"/>
      <c r="M7" s="28"/>
      <c r="N7" s="28"/>
      <c r="O7" s="28"/>
      <c r="P7" s="28"/>
    </row>
    <row r="8" spans="1:16" ht="15">
      <c r="A8" s="87" t="s">
        <v>268</v>
      </c>
      <c r="B8" s="6"/>
      <c r="C8" s="6"/>
      <c r="D8" s="6"/>
      <c r="E8" s="6"/>
      <c r="F8" s="28"/>
      <c r="G8" s="7"/>
      <c r="H8" s="87" t="s">
        <v>246</v>
      </c>
      <c r="I8" s="6"/>
      <c r="J8" s="7"/>
      <c r="K8" s="28"/>
      <c r="L8" s="28"/>
      <c r="M8" s="28"/>
      <c r="N8" s="28"/>
      <c r="O8" s="28"/>
      <c r="P8" s="28"/>
    </row>
    <row r="9" spans="1:16" ht="15">
      <c r="A9" s="6"/>
      <c r="B9" s="6"/>
      <c r="C9" s="6"/>
      <c r="D9" s="6"/>
      <c r="E9" s="6"/>
      <c r="F9" s="28"/>
      <c r="G9" s="7"/>
      <c r="H9" s="6"/>
      <c r="I9" s="6"/>
      <c r="J9" s="7"/>
      <c r="K9" s="28"/>
      <c r="L9" s="28"/>
      <c r="M9" s="28"/>
      <c r="N9" s="28"/>
      <c r="O9" s="28"/>
      <c r="P9" s="28"/>
    </row>
    <row r="10" spans="1:16" ht="15">
      <c r="A10" s="87" t="s">
        <v>38</v>
      </c>
      <c r="B10" s="6"/>
      <c r="C10" s="6"/>
      <c r="D10" s="6"/>
      <c r="E10" s="6"/>
      <c r="F10" s="28"/>
      <c r="G10" s="7"/>
      <c r="H10" s="87" t="s">
        <v>281</v>
      </c>
      <c r="I10" s="6"/>
      <c r="J10" s="7"/>
      <c r="K10" s="28"/>
      <c r="L10" s="28"/>
      <c r="M10" s="28"/>
      <c r="N10" s="28"/>
      <c r="O10" s="28"/>
      <c r="P10" s="28"/>
    </row>
    <row r="11" spans="1:16" ht="15">
      <c r="A11" s="6"/>
      <c r="B11" s="6"/>
      <c r="C11" s="6"/>
      <c r="D11" s="6"/>
      <c r="E11" s="6"/>
      <c r="F11" s="28"/>
      <c r="G11" s="7"/>
      <c r="H11" s="87"/>
      <c r="I11" s="6"/>
      <c r="J11" s="7"/>
      <c r="K11" s="28"/>
      <c r="L11" s="28"/>
      <c r="M11" s="28"/>
      <c r="N11" s="28"/>
      <c r="O11" s="28"/>
      <c r="P11" s="28"/>
    </row>
    <row r="12" spans="1:16" ht="15">
      <c r="A12" s="87" t="s">
        <v>269</v>
      </c>
      <c r="B12" s="6"/>
      <c r="C12" s="6"/>
      <c r="D12" s="6"/>
      <c r="E12" s="6"/>
      <c r="F12" s="28"/>
      <c r="G12" s="7"/>
      <c r="H12" s="6" t="s">
        <v>247</v>
      </c>
      <c r="I12" s="6"/>
      <c r="J12" s="7"/>
      <c r="K12" s="28"/>
      <c r="L12" s="28"/>
      <c r="M12" s="28"/>
      <c r="N12" s="28"/>
      <c r="O12" s="28"/>
      <c r="P12" s="28"/>
    </row>
    <row r="13" spans="1:16" ht="15">
      <c r="A13" s="6"/>
      <c r="B13" s="6"/>
      <c r="C13" s="6"/>
      <c r="D13" s="6"/>
      <c r="E13" s="6"/>
      <c r="F13" s="28"/>
      <c r="G13" s="7"/>
      <c r="I13" s="6"/>
      <c r="J13" s="7"/>
      <c r="K13" s="28"/>
      <c r="L13" s="28"/>
      <c r="M13" s="28"/>
      <c r="N13" s="28"/>
      <c r="O13" s="28"/>
      <c r="P13" s="28"/>
    </row>
    <row r="14" spans="1:16" ht="15">
      <c r="A14" s="87" t="s">
        <v>270</v>
      </c>
      <c r="B14" s="6"/>
      <c r="C14" s="6"/>
      <c r="D14" s="6"/>
      <c r="E14" s="6"/>
      <c r="F14" s="28"/>
      <c r="G14" s="7"/>
      <c r="H14" s="6" t="s">
        <v>249</v>
      </c>
      <c r="I14" s="6"/>
      <c r="J14" s="7"/>
      <c r="K14" s="28"/>
      <c r="L14" s="28"/>
      <c r="M14" s="28"/>
      <c r="N14" s="28"/>
      <c r="O14" s="28"/>
      <c r="P14" s="28"/>
    </row>
    <row r="15" spans="1:16" ht="15">
      <c r="A15" s="6"/>
      <c r="B15" s="6"/>
      <c r="C15" s="6"/>
      <c r="D15" s="6"/>
      <c r="E15" s="6"/>
      <c r="F15" s="28"/>
      <c r="G15" s="7"/>
      <c r="H15" s="6"/>
      <c r="I15" s="6"/>
      <c r="J15" s="7"/>
      <c r="K15" s="28"/>
      <c r="L15" s="28"/>
      <c r="M15" s="28"/>
      <c r="N15" s="28"/>
      <c r="O15" s="28"/>
      <c r="P15" s="28"/>
    </row>
    <row r="16" spans="1:16" ht="15">
      <c r="A16" s="87" t="s">
        <v>39</v>
      </c>
      <c r="B16" s="6"/>
      <c r="C16" s="6"/>
      <c r="D16" s="6"/>
      <c r="E16" s="6"/>
      <c r="F16" s="28"/>
      <c r="G16" s="7"/>
      <c r="H16" s="6" t="s">
        <v>252</v>
      </c>
      <c r="I16" s="6"/>
      <c r="J16" s="7"/>
      <c r="K16" s="28"/>
      <c r="L16" s="28"/>
      <c r="M16" s="28"/>
      <c r="N16" s="28"/>
      <c r="O16" s="28"/>
      <c r="P16" s="28"/>
    </row>
    <row r="17" spans="1:16" ht="15">
      <c r="A17" s="6"/>
      <c r="B17" s="6"/>
      <c r="C17" s="6"/>
      <c r="D17" s="6"/>
      <c r="E17" s="6"/>
      <c r="F17" s="28"/>
      <c r="G17" s="7"/>
      <c r="H17" s="87"/>
      <c r="I17" s="6"/>
      <c r="J17" s="7"/>
      <c r="K17" s="28"/>
      <c r="L17" s="28"/>
      <c r="M17" s="28"/>
      <c r="N17" s="28"/>
      <c r="O17" s="28"/>
      <c r="P17" s="28"/>
    </row>
    <row r="18" spans="1:16" ht="15">
      <c r="A18" s="87" t="s">
        <v>271</v>
      </c>
      <c r="B18" s="6"/>
      <c r="C18" s="6"/>
      <c r="D18" s="6"/>
      <c r="E18" s="6"/>
      <c r="F18" s="28"/>
      <c r="G18" s="7"/>
      <c r="H18" s="87" t="s">
        <v>253</v>
      </c>
      <c r="I18" s="6"/>
      <c r="J18" s="7"/>
      <c r="K18" s="28"/>
      <c r="L18" s="28"/>
      <c r="M18" s="28"/>
      <c r="N18" s="28"/>
      <c r="O18" s="28"/>
      <c r="P18" s="28"/>
    </row>
    <row r="19" spans="1:16" ht="15">
      <c r="A19" s="6"/>
      <c r="B19" s="6"/>
      <c r="C19" s="6"/>
      <c r="D19" s="6"/>
      <c r="E19" s="6"/>
      <c r="F19" s="28"/>
      <c r="G19" s="7"/>
      <c r="H19" s="87"/>
      <c r="I19" s="6"/>
      <c r="J19" s="7"/>
      <c r="K19" s="28"/>
      <c r="L19" s="28"/>
      <c r="M19" s="28"/>
      <c r="N19" s="28"/>
      <c r="O19" s="28"/>
      <c r="P19" s="28"/>
    </row>
    <row r="20" spans="1:16" ht="15">
      <c r="A20" s="87" t="s">
        <v>40</v>
      </c>
      <c r="B20" s="6"/>
      <c r="C20" s="6"/>
      <c r="D20" s="6"/>
      <c r="E20" s="6"/>
      <c r="F20" s="28"/>
      <c r="G20" s="7"/>
      <c r="H20" s="6" t="s">
        <v>250</v>
      </c>
      <c r="I20" s="6"/>
      <c r="J20" s="7"/>
      <c r="K20" s="28"/>
      <c r="L20" s="28"/>
      <c r="M20" s="28"/>
      <c r="N20" s="28"/>
      <c r="O20" s="28"/>
      <c r="P20" s="28"/>
    </row>
    <row r="21" spans="1:16" ht="15">
      <c r="A21" s="6"/>
      <c r="B21" s="6"/>
      <c r="C21" s="6"/>
      <c r="D21" s="6"/>
      <c r="E21" s="6"/>
      <c r="F21" s="28"/>
      <c r="G21" s="7"/>
      <c r="H21" s="6"/>
      <c r="I21" s="6"/>
      <c r="J21" s="7"/>
      <c r="K21" s="28"/>
      <c r="L21" s="28"/>
      <c r="M21" s="28"/>
      <c r="N21" s="28"/>
      <c r="O21" s="28"/>
      <c r="P21" s="28"/>
    </row>
    <row r="22" spans="1:16" ht="15">
      <c r="A22" s="87" t="s">
        <v>41</v>
      </c>
      <c r="B22" s="6"/>
      <c r="C22" s="6"/>
      <c r="D22" s="6"/>
      <c r="E22" s="6"/>
      <c r="F22" s="28"/>
      <c r="G22" s="7"/>
      <c r="H22" s="6" t="s">
        <v>254</v>
      </c>
      <c r="I22" s="6"/>
      <c r="J22" s="7"/>
      <c r="K22" s="28"/>
      <c r="L22" s="28"/>
      <c r="M22" s="28"/>
      <c r="N22" s="28"/>
      <c r="O22" s="28"/>
      <c r="P22" s="28"/>
    </row>
    <row r="23" spans="1:16" ht="15">
      <c r="A23" s="6"/>
      <c r="B23" s="6"/>
      <c r="C23" s="6"/>
      <c r="D23" s="6"/>
      <c r="E23" s="6"/>
      <c r="F23" s="28"/>
      <c r="G23" s="7"/>
      <c r="H23" s="87"/>
      <c r="I23" s="6"/>
      <c r="J23" s="7"/>
      <c r="K23" s="28"/>
      <c r="L23" s="28"/>
      <c r="M23" s="28"/>
      <c r="N23" s="28"/>
      <c r="O23" s="28"/>
      <c r="P23" s="28"/>
    </row>
    <row r="24" spans="1:16" ht="15">
      <c r="A24" s="87" t="s">
        <v>231</v>
      </c>
      <c r="B24" s="6"/>
      <c r="C24" s="6"/>
      <c r="D24" s="6"/>
      <c r="E24" s="6"/>
      <c r="F24" s="28"/>
      <c r="G24" s="7"/>
      <c r="H24" s="87" t="s">
        <v>255</v>
      </c>
      <c r="I24" s="6"/>
      <c r="J24" s="7"/>
      <c r="K24" s="28"/>
      <c r="L24" s="28"/>
      <c r="M24" s="28"/>
      <c r="N24" s="28"/>
      <c r="O24" s="28"/>
      <c r="P24" s="28"/>
    </row>
    <row r="25" spans="1:16" ht="15">
      <c r="A25" s="87" t="s">
        <v>232</v>
      </c>
      <c r="B25" s="6"/>
      <c r="C25" s="6"/>
      <c r="D25" s="6"/>
      <c r="E25" s="6"/>
      <c r="F25" s="28"/>
      <c r="G25" s="7"/>
      <c r="H25" s="6"/>
      <c r="I25" s="6"/>
      <c r="J25" s="7"/>
      <c r="K25" s="28"/>
      <c r="L25" s="28"/>
      <c r="M25" s="28"/>
      <c r="N25" s="28"/>
      <c r="O25" s="28"/>
      <c r="P25" s="28"/>
    </row>
    <row r="26" spans="1:16" ht="15">
      <c r="A26" s="6"/>
      <c r="B26" s="6"/>
      <c r="C26" s="6"/>
      <c r="D26" s="6"/>
      <c r="E26" s="6"/>
      <c r="F26" s="6"/>
      <c r="G26" s="7"/>
      <c r="H26" s="87" t="s">
        <v>256</v>
      </c>
      <c r="I26" s="6"/>
      <c r="J26" s="7"/>
      <c r="K26" s="28"/>
      <c r="L26" s="28"/>
      <c r="M26" s="28"/>
      <c r="N26" s="28"/>
      <c r="O26" s="28"/>
      <c r="P26" s="28"/>
    </row>
    <row r="27" spans="1:16" ht="15">
      <c r="A27" s="87" t="s">
        <v>272</v>
      </c>
      <c r="B27" s="6"/>
      <c r="C27" s="6"/>
      <c r="D27" s="6"/>
      <c r="E27" s="6"/>
      <c r="F27" s="6"/>
      <c r="G27" s="7"/>
      <c r="H27" s="87"/>
      <c r="I27" s="6"/>
      <c r="J27" s="7"/>
      <c r="K27" s="28"/>
      <c r="L27" s="28"/>
      <c r="M27" s="28"/>
      <c r="N27" s="28"/>
      <c r="O27" s="28"/>
      <c r="P27" s="28"/>
    </row>
    <row r="28" spans="1:16" ht="15">
      <c r="A28" s="87" t="s">
        <v>42</v>
      </c>
      <c r="B28" s="6"/>
      <c r="C28" s="6"/>
      <c r="D28" s="6"/>
      <c r="E28" s="6"/>
      <c r="F28" s="6"/>
      <c r="G28" s="7"/>
      <c r="H28" s="87" t="s">
        <v>257</v>
      </c>
      <c r="I28" s="6"/>
      <c r="J28" s="7"/>
      <c r="K28" s="28"/>
      <c r="L28" s="28"/>
      <c r="M28" s="28"/>
      <c r="N28" s="28"/>
      <c r="O28" s="28"/>
      <c r="P28" s="28"/>
    </row>
    <row r="29" spans="1:16" ht="15">
      <c r="A29" s="6"/>
      <c r="B29" s="6"/>
      <c r="C29" s="6"/>
      <c r="D29" s="6"/>
      <c r="E29" s="6"/>
      <c r="F29" s="6"/>
      <c r="G29" s="7"/>
      <c r="H29" s="6"/>
      <c r="I29" s="6"/>
      <c r="J29" s="7"/>
      <c r="K29" s="6"/>
      <c r="L29" s="6"/>
      <c r="M29" s="6"/>
      <c r="N29" s="6"/>
      <c r="O29" s="6"/>
      <c r="P29" s="6"/>
    </row>
    <row r="30" spans="1:16" ht="15">
      <c r="A30" s="1" t="s">
        <v>284</v>
      </c>
      <c r="D30" s="6"/>
      <c r="E30" s="6"/>
      <c r="F30" s="6"/>
      <c r="G30" s="7"/>
      <c r="H30" s="87" t="s">
        <v>258</v>
      </c>
      <c r="I30" s="6"/>
      <c r="J30" s="7"/>
      <c r="K30" s="6"/>
      <c r="L30" s="6"/>
      <c r="M30" s="6"/>
      <c r="N30" s="6"/>
      <c r="O30" s="6"/>
      <c r="P30" s="6"/>
    </row>
    <row r="31" spans="1:16" ht="15">
      <c r="A31" s="87" t="s">
        <v>283</v>
      </c>
      <c r="D31" s="6"/>
      <c r="E31" s="6"/>
      <c r="F31" s="6"/>
      <c r="G31" s="7"/>
      <c r="H31" s="87" t="s">
        <v>259</v>
      </c>
      <c r="I31" s="6"/>
      <c r="J31" s="7"/>
      <c r="K31" s="6"/>
      <c r="L31" s="6"/>
      <c r="M31" s="6"/>
      <c r="N31" s="6"/>
      <c r="O31" s="6"/>
      <c r="P31" s="6"/>
    </row>
    <row r="32" spans="2:16" ht="15">
      <c r="B32" s="6"/>
      <c r="C32" s="6"/>
      <c r="D32" s="6"/>
      <c r="E32" s="6"/>
      <c r="F32" s="6"/>
      <c r="G32" s="7"/>
      <c r="H32" s="87"/>
      <c r="I32" s="6"/>
      <c r="J32" s="7"/>
      <c r="K32" s="6"/>
      <c r="L32" s="6"/>
      <c r="M32" s="6"/>
      <c r="N32" s="6"/>
      <c r="O32" s="6"/>
      <c r="P32" s="6"/>
    </row>
    <row r="33" spans="1:16" ht="15">
      <c r="A33" s="87" t="s">
        <v>233</v>
      </c>
      <c r="B33" s="6"/>
      <c r="C33" s="6"/>
      <c r="D33" s="6"/>
      <c r="E33" s="6"/>
      <c r="F33" s="6"/>
      <c r="G33" s="7"/>
      <c r="H33" s="6" t="s">
        <v>282</v>
      </c>
      <c r="I33" s="6"/>
      <c r="J33" s="7"/>
      <c r="K33" s="6"/>
      <c r="L33" s="6"/>
      <c r="M33" s="6"/>
      <c r="N33" s="6"/>
      <c r="O33" s="6"/>
      <c r="P33" s="6"/>
    </row>
    <row r="34" spans="1:16" ht="15">
      <c r="A34" s="6"/>
      <c r="B34" s="6"/>
      <c r="C34" s="6"/>
      <c r="D34" s="6"/>
      <c r="E34" s="6"/>
      <c r="F34" s="6"/>
      <c r="G34" s="7"/>
      <c r="H34" s="87"/>
      <c r="I34" s="6"/>
      <c r="J34" s="7"/>
      <c r="K34" s="6"/>
      <c r="L34" s="6"/>
      <c r="M34" s="6"/>
      <c r="N34" s="6"/>
      <c r="O34" s="6"/>
      <c r="P34" s="6"/>
    </row>
    <row r="35" spans="1:16" ht="15">
      <c r="A35" s="87" t="s">
        <v>234</v>
      </c>
      <c r="B35" s="6"/>
      <c r="C35" s="6"/>
      <c r="D35" s="6"/>
      <c r="E35" s="6"/>
      <c r="F35" s="6"/>
      <c r="G35" s="7"/>
      <c r="H35" s="87" t="s">
        <v>251</v>
      </c>
      <c r="I35" s="6"/>
      <c r="J35" s="7"/>
      <c r="K35" s="6"/>
      <c r="L35" s="6"/>
      <c r="M35" s="6"/>
      <c r="N35" s="6"/>
      <c r="O35" s="6"/>
      <c r="P35" s="6"/>
    </row>
    <row r="36" spans="2:16" ht="15">
      <c r="B36" s="6"/>
      <c r="C36" s="6"/>
      <c r="D36" s="6"/>
      <c r="E36" s="6"/>
      <c r="F36" s="6"/>
      <c r="G36" s="7"/>
      <c r="H36" s="87" t="s">
        <v>260</v>
      </c>
      <c r="I36" s="6"/>
      <c r="J36" s="7"/>
      <c r="K36" s="6"/>
      <c r="L36" s="6"/>
      <c r="M36" s="6"/>
      <c r="N36" s="6"/>
      <c r="O36" s="6"/>
      <c r="P36" s="6"/>
    </row>
    <row r="37" spans="1:16" ht="15">
      <c r="A37" s="6" t="s">
        <v>244</v>
      </c>
      <c r="B37" s="6"/>
      <c r="C37" s="6"/>
      <c r="D37" s="6"/>
      <c r="E37" s="6"/>
      <c r="F37" s="6"/>
      <c r="G37" s="7"/>
      <c r="H37" s="87" t="s">
        <v>212</v>
      </c>
      <c r="I37" s="6"/>
      <c r="J37" s="7"/>
      <c r="K37" s="6"/>
      <c r="L37" s="6"/>
      <c r="M37" s="6"/>
      <c r="N37" s="6"/>
      <c r="O37" s="6"/>
      <c r="P37" s="6"/>
    </row>
    <row r="38" spans="1:16" ht="15">
      <c r="A38" s="6"/>
      <c r="B38" s="6"/>
      <c r="C38" s="6"/>
      <c r="D38" s="6"/>
      <c r="E38" s="6"/>
      <c r="F38" s="6"/>
      <c r="G38" s="7"/>
      <c r="H38" s="87" t="s">
        <v>261</v>
      </c>
      <c r="I38" s="7"/>
      <c r="K38" s="6"/>
      <c r="L38" s="6"/>
      <c r="M38" s="6"/>
      <c r="N38" s="6"/>
      <c r="O38" s="6"/>
      <c r="P38" s="6"/>
    </row>
    <row r="39" spans="2:16" ht="15">
      <c r="B39" s="6"/>
      <c r="C39" s="6"/>
      <c r="D39" s="6"/>
      <c r="E39" s="6"/>
      <c r="F39" s="6"/>
      <c r="G39" s="7"/>
      <c r="I39" s="6"/>
      <c r="J39" s="7"/>
      <c r="K39" s="6"/>
      <c r="L39" s="6"/>
      <c r="M39" s="6"/>
      <c r="N39" s="6"/>
      <c r="O39" s="6"/>
      <c r="P39" s="6"/>
    </row>
    <row r="40" spans="1:16" ht="15">
      <c r="A40" s="6"/>
      <c r="B40" s="6"/>
      <c r="C40" s="6"/>
      <c r="D40" s="6"/>
      <c r="E40" s="6"/>
      <c r="F40" s="6"/>
      <c r="G40" s="7"/>
      <c r="I40" s="6"/>
      <c r="J40" s="7"/>
      <c r="K40" s="6"/>
      <c r="L40" s="6"/>
      <c r="M40" s="6"/>
      <c r="N40" s="6"/>
      <c r="O40" s="6"/>
      <c r="P40" s="6"/>
    </row>
    <row r="41" spans="2:16" ht="15">
      <c r="B41" s="6"/>
      <c r="C41" s="6"/>
      <c r="D41" s="6"/>
      <c r="E41" s="6"/>
      <c r="F41" s="6"/>
      <c r="G41" s="7"/>
      <c r="I41" s="6"/>
      <c r="J41" s="7"/>
      <c r="K41" s="6"/>
      <c r="L41" s="6"/>
      <c r="M41" s="6"/>
      <c r="N41" s="6"/>
      <c r="O41" s="6"/>
      <c r="P41" s="6"/>
    </row>
    <row r="42" spans="2:16" ht="15">
      <c r="B42" s="6"/>
      <c r="C42" s="6"/>
      <c r="D42" s="6"/>
      <c r="E42" s="6"/>
      <c r="F42" s="6"/>
      <c r="G42" s="7"/>
      <c r="I42" s="6"/>
      <c r="J42" s="7"/>
      <c r="K42" s="6"/>
      <c r="L42" s="6"/>
      <c r="M42" s="6"/>
      <c r="N42" s="6"/>
      <c r="O42" s="6"/>
      <c r="P42" s="6"/>
    </row>
    <row r="43" spans="2:16" ht="15">
      <c r="B43" s="6"/>
      <c r="C43" s="6"/>
      <c r="D43" s="6"/>
      <c r="E43" s="6"/>
      <c r="F43" s="6"/>
      <c r="G43" s="7"/>
      <c r="I43" s="6"/>
      <c r="J43" s="7"/>
      <c r="K43" s="6"/>
      <c r="L43" s="6"/>
      <c r="M43" s="6"/>
      <c r="N43" s="6"/>
      <c r="O43" s="6"/>
      <c r="P43" s="6"/>
    </row>
    <row r="44" spans="2:16" ht="15">
      <c r="B44" s="6"/>
      <c r="C44" s="6"/>
      <c r="D44" s="6"/>
      <c r="E44" s="6"/>
      <c r="F44" s="6"/>
      <c r="G44" s="7"/>
      <c r="I44" s="6"/>
      <c r="J44" s="7"/>
      <c r="K44" s="6"/>
      <c r="L44" s="6"/>
      <c r="M44" s="6"/>
      <c r="N44" s="6"/>
      <c r="O44" s="6"/>
      <c r="P44" s="6"/>
    </row>
    <row r="45" spans="2:16" ht="15">
      <c r="B45" s="6"/>
      <c r="C45" s="6"/>
      <c r="D45" s="6"/>
      <c r="E45" s="6"/>
      <c r="F45" s="6"/>
      <c r="G45" s="7"/>
      <c r="I45" s="6"/>
      <c r="J45" s="7"/>
      <c r="K45" s="6"/>
      <c r="L45" s="6"/>
      <c r="M45" s="6"/>
      <c r="N45" s="6"/>
      <c r="O45" s="6"/>
      <c r="P45" s="6"/>
    </row>
    <row r="46" spans="2:16" ht="15">
      <c r="B46" s="6"/>
      <c r="C46" s="6"/>
      <c r="D46" s="6"/>
      <c r="E46" s="6"/>
      <c r="F46" s="6"/>
      <c r="G46" s="7"/>
      <c r="I46" s="6"/>
      <c r="J46" s="7"/>
      <c r="K46" s="6"/>
      <c r="L46" s="6"/>
      <c r="M46" s="6"/>
      <c r="N46" s="6"/>
      <c r="O46" s="6"/>
      <c r="P46" s="6"/>
    </row>
    <row r="47" spans="2:16" ht="15">
      <c r="B47" s="6"/>
      <c r="C47" s="6"/>
      <c r="D47" s="6"/>
      <c r="E47" s="6"/>
      <c r="F47" s="6"/>
      <c r="G47" s="7"/>
      <c r="I47" s="6"/>
      <c r="J47" s="7"/>
      <c r="K47" s="6"/>
      <c r="L47" s="6"/>
      <c r="M47" s="6"/>
      <c r="N47" s="6"/>
      <c r="O47" s="6"/>
      <c r="P47" s="6"/>
    </row>
    <row r="48" spans="4:16" ht="15">
      <c r="D48" s="6"/>
      <c r="E48" s="6"/>
      <c r="F48" s="6"/>
      <c r="G48" s="7"/>
      <c r="I48" s="6"/>
      <c r="J48" s="7"/>
      <c r="K48" s="6"/>
      <c r="L48" s="6"/>
      <c r="M48" s="6"/>
      <c r="N48" s="6"/>
      <c r="O48" s="6"/>
      <c r="P48" s="6"/>
    </row>
    <row r="49" spans="2:16" ht="15">
      <c r="B49" s="6"/>
      <c r="C49" s="6"/>
      <c r="D49" s="6"/>
      <c r="E49" s="6"/>
      <c r="F49" s="6"/>
      <c r="G49" s="7"/>
      <c r="I49" s="6"/>
      <c r="J49" s="6"/>
      <c r="K49" s="6"/>
      <c r="L49" s="6"/>
      <c r="M49" s="6"/>
      <c r="N49" s="6"/>
      <c r="O49" s="6"/>
      <c r="P49" s="6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87"/>
    </row>
    <row r="66" ht="15">
      <c r="A66" s="6"/>
    </row>
    <row r="67" ht="15">
      <c r="A67" s="87"/>
    </row>
    <row r="68" ht="15">
      <c r="A68" s="6"/>
    </row>
    <row r="69" ht="15">
      <c r="A69" s="6"/>
    </row>
    <row r="70" ht="15">
      <c r="A70" s="6"/>
    </row>
    <row r="71" ht="15">
      <c r="A71" s="87"/>
    </row>
    <row r="73" ht="15">
      <c r="A73" s="6"/>
    </row>
    <row r="75" ht="15">
      <c r="A75" s="6"/>
    </row>
  </sheetData>
  <mergeCells count="2">
    <mergeCell ref="A2:L2"/>
    <mergeCell ref="A1:L1"/>
  </mergeCells>
  <printOptions horizontalCentered="1"/>
  <pageMargins left="0.5" right="0.75" top="1" bottom="0.5" header="0.5" footer="0.5"/>
  <pageSetup horizontalDpi="600" verticalDpi="600" orientation="landscape" scale="70" r:id="rId1"/>
  <headerFooter alignWithMargins="0">
    <oddHeader>&amp;RExhibit UPL__(SCH-5)
Page 5 of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B23"/>
  <sheetViews>
    <sheetView workbookViewId="0" topLeftCell="A1">
      <selection activeCell="A1" sqref="A1"/>
    </sheetView>
  </sheetViews>
  <sheetFormatPr defaultColWidth="8.88671875" defaultRowHeight="15"/>
  <cols>
    <col min="1" max="1" width="7.10546875" style="118" customWidth="1"/>
    <col min="2" max="2" width="16.21484375" style="118" bestFit="1" customWidth="1"/>
    <col min="3" max="6" width="7.10546875" style="118" customWidth="1"/>
    <col min="7" max="157" width="8.4453125" style="118" customWidth="1"/>
    <col min="158" max="158" width="8.4453125" style="118" bestFit="1" customWidth="1"/>
    <col min="159" max="16384" width="7.10546875" style="118" customWidth="1"/>
  </cols>
  <sheetData>
    <row r="1" spans="1:7" ht="15.75">
      <c r="A1" s="139" t="s">
        <v>213</v>
      </c>
      <c r="F1"/>
      <c r="G1"/>
    </row>
    <row r="2" spans="1:13" ht="15.75">
      <c r="A2" s="140" t="s">
        <v>216</v>
      </c>
      <c r="F2"/>
      <c r="G2"/>
      <c r="M2" s="137" t="s">
        <v>215</v>
      </c>
    </row>
    <row r="3" spans="1:14" ht="15.75">
      <c r="A3" s="140"/>
      <c r="B3" s="122"/>
      <c r="C3" s="222" t="s">
        <v>214</v>
      </c>
      <c r="D3" s="222"/>
      <c r="E3" s="222"/>
      <c r="F3" s="127"/>
      <c r="M3" s="138">
        <f>'Page 2'!N12</f>
        <v>0.066</v>
      </c>
      <c r="N3"/>
    </row>
    <row r="4" spans="1:158" ht="15">
      <c r="A4" s="122"/>
      <c r="B4" s="122"/>
      <c r="C4" s="123">
        <f>I4</f>
        <v>2006</v>
      </c>
      <c r="D4" s="124">
        <f>C4+3</f>
        <v>2009</v>
      </c>
      <c r="H4" s="118">
        <v>2005</v>
      </c>
      <c r="I4" s="118">
        <f>H4+1</f>
        <v>2006</v>
      </c>
      <c r="J4" s="118">
        <f aca="true" t="shared" si="0" ref="J4:BU4">I4+1</f>
        <v>2007</v>
      </c>
      <c r="K4" s="118">
        <f t="shared" si="0"/>
        <v>2008</v>
      </c>
      <c r="L4" s="118">
        <f t="shared" si="0"/>
        <v>2009</v>
      </c>
      <c r="M4" s="118">
        <f t="shared" si="0"/>
        <v>2010</v>
      </c>
      <c r="N4" s="118">
        <f t="shared" si="0"/>
        <v>2011</v>
      </c>
      <c r="O4" s="118">
        <f t="shared" si="0"/>
        <v>2012</v>
      </c>
      <c r="P4" s="118">
        <f t="shared" si="0"/>
        <v>2013</v>
      </c>
      <c r="Q4" s="118">
        <f t="shared" si="0"/>
        <v>2014</v>
      </c>
      <c r="R4" s="118">
        <f t="shared" si="0"/>
        <v>2015</v>
      </c>
      <c r="S4" s="118">
        <f t="shared" si="0"/>
        <v>2016</v>
      </c>
      <c r="T4" s="118">
        <f t="shared" si="0"/>
        <v>2017</v>
      </c>
      <c r="U4" s="118">
        <f t="shared" si="0"/>
        <v>2018</v>
      </c>
      <c r="V4" s="118">
        <f t="shared" si="0"/>
        <v>2019</v>
      </c>
      <c r="W4" s="118">
        <f t="shared" si="0"/>
        <v>2020</v>
      </c>
      <c r="X4" s="118">
        <f t="shared" si="0"/>
        <v>2021</v>
      </c>
      <c r="Y4" s="118">
        <f t="shared" si="0"/>
        <v>2022</v>
      </c>
      <c r="Z4" s="118">
        <f t="shared" si="0"/>
        <v>2023</v>
      </c>
      <c r="AA4" s="118">
        <f t="shared" si="0"/>
        <v>2024</v>
      </c>
      <c r="AB4" s="118">
        <f t="shared" si="0"/>
        <v>2025</v>
      </c>
      <c r="AC4" s="118">
        <f t="shared" si="0"/>
        <v>2026</v>
      </c>
      <c r="AD4" s="118">
        <f t="shared" si="0"/>
        <v>2027</v>
      </c>
      <c r="AE4" s="118">
        <f t="shared" si="0"/>
        <v>2028</v>
      </c>
      <c r="AF4" s="118">
        <f t="shared" si="0"/>
        <v>2029</v>
      </c>
      <c r="AG4" s="118">
        <f t="shared" si="0"/>
        <v>2030</v>
      </c>
      <c r="AH4" s="118">
        <f t="shared" si="0"/>
        <v>2031</v>
      </c>
      <c r="AI4" s="118">
        <f t="shared" si="0"/>
        <v>2032</v>
      </c>
      <c r="AJ4" s="118">
        <f t="shared" si="0"/>
        <v>2033</v>
      </c>
      <c r="AK4" s="118">
        <f t="shared" si="0"/>
        <v>2034</v>
      </c>
      <c r="AL4" s="118">
        <f t="shared" si="0"/>
        <v>2035</v>
      </c>
      <c r="AM4" s="118">
        <f t="shared" si="0"/>
        <v>2036</v>
      </c>
      <c r="AN4" s="118">
        <f t="shared" si="0"/>
        <v>2037</v>
      </c>
      <c r="AO4" s="118">
        <f t="shared" si="0"/>
        <v>2038</v>
      </c>
      <c r="AP4" s="118">
        <f t="shared" si="0"/>
        <v>2039</v>
      </c>
      <c r="AQ4" s="118">
        <f t="shared" si="0"/>
        <v>2040</v>
      </c>
      <c r="AR4" s="118">
        <f t="shared" si="0"/>
        <v>2041</v>
      </c>
      <c r="AS4" s="118">
        <f t="shared" si="0"/>
        <v>2042</v>
      </c>
      <c r="AT4" s="118">
        <f t="shared" si="0"/>
        <v>2043</v>
      </c>
      <c r="AU4" s="118">
        <f t="shared" si="0"/>
        <v>2044</v>
      </c>
      <c r="AV4" s="118">
        <f t="shared" si="0"/>
        <v>2045</v>
      </c>
      <c r="AW4" s="118">
        <f t="shared" si="0"/>
        <v>2046</v>
      </c>
      <c r="AX4" s="118">
        <f t="shared" si="0"/>
        <v>2047</v>
      </c>
      <c r="AY4" s="118">
        <f t="shared" si="0"/>
        <v>2048</v>
      </c>
      <c r="AZ4" s="118">
        <f t="shared" si="0"/>
        <v>2049</v>
      </c>
      <c r="BA4" s="118">
        <f t="shared" si="0"/>
        <v>2050</v>
      </c>
      <c r="BB4" s="118">
        <f t="shared" si="0"/>
        <v>2051</v>
      </c>
      <c r="BC4" s="118">
        <f t="shared" si="0"/>
        <v>2052</v>
      </c>
      <c r="BD4" s="118">
        <f t="shared" si="0"/>
        <v>2053</v>
      </c>
      <c r="BE4" s="118">
        <f t="shared" si="0"/>
        <v>2054</v>
      </c>
      <c r="BF4" s="118">
        <f t="shared" si="0"/>
        <v>2055</v>
      </c>
      <c r="BG4" s="118">
        <f t="shared" si="0"/>
        <v>2056</v>
      </c>
      <c r="BH4" s="118">
        <f t="shared" si="0"/>
        <v>2057</v>
      </c>
      <c r="BI4" s="118">
        <f t="shared" si="0"/>
        <v>2058</v>
      </c>
      <c r="BJ4" s="118">
        <f t="shared" si="0"/>
        <v>2059</v>
      </c>
      <c r="BK4" s="118">
        <f t="shared" si="0"/>
        <v>2060</v>
      </c>
      <c r="BL4" s="118">
        <f t="shared" si="0"/>
        <v>2061</v>
      </c>
      <c r="BM4" s="118">
        <f t="shared" si="0"/>
        <v>2062</v>
      </c>
      <c r="BN4" s="118">
        <f t="shared" si="0"/>
        <v>2063</v>
      </c>
      <c r="BO4" s="118">
        <f t="shared" si="0"/>
        <v>2064</v>
      </c>
      <c r="BP4" s="118">
        <f t="shared" si="0"/>
        <v>2065</v>
      </c>
      <c r="BQ4" s="118">
        <f t="shared" si="0"/>
        <v>2066</v>
      </c>
      <c r="BR4" s="118">
        <f t="shared" si="0"/>
        <v>2067</v>
      </c>
      <c r="BS4" s="118">
        <f t="shared" si="0"/>
        <v>2068</v>
      </c>
      <c r="BT4" s="118">
        <f t="shared" si="0"/>
        <v>2069</v>
      </c>
      <c r="BU4" s="118">
        <f t="shared" si="0"/>
        <v>2070</v>
      </c>
      <c r="BV4" s="118">
        <f aca="true" t="shared" si="1" ref="BV4:EG4">BU4+1</f>
        <v>2071</v>
      </c>
      <c r="BW4" s="118">
        <f t="shared" si="1"/>
        <v>2072</v>
      </c>
      <c r="BX4" s="118">
        <f t="shared" si="1"/>
        <v>2073</v>
      </c>
      <c r="BY4" s="118">
        <f t="shared" si="1"/>
        <v>2074</v>
      </c>
      <c r="BZ4" s="118">
        <f t="shared" si="1"/>
        <v>2075</v>
      </c>
      <c r="CA4" s="118">
        <f t="shared" si="1"/>
        <v>2076</v>
      </c>
      <c r="CB4" s="118">
        <f t="shared" si="1"/>
        <v>2077</v>
      </c>
      <c r="CC4" s="118">
        <f t="shared" si="1"/>
        <v>2078</v>
      </c>
      <c r="CD4" s="118">
        <f t="shared" si="1"/>
        <v>2079</v>
      </c>
      <c r="CE4" s="118">
        <f t="shared" si="1"/>
        <v>2080</v>
      </c>
      <c r="CF4" s="118">
        <f t="shared" si="1"/>
        <v>2081</v>
      </c>
      <c r="CG4" s="118">
        <f t="shared" si="1"/>
        <v>2082</v>
      </c>
      <c r="CH4" s="118">
        <f t="shared" si="1"/>
        <v>2083</v>
      </c>
      <c r="CI4" s="118">
        <f t="shared" si="1"/>
        <v>2084</v>
      </c>
      <c r="CJ4" s="118">
        <f t="shared" si="1"/>
        <v>2085</v>
      </c>
      <c r="CK4" s="118">
        <f t="shared" si="1"/>
        <v>2086</v>
      </c>
      <c r="CL4" s="118">
        <f t="shared" si="1"/>
        <v>2087</v>
      </c>
      <c r="CM4" s="118">
        <f t="shared" si="1"/>
        <v>2088</v>
      </c>
      <c r="CN4" s="118">
        <f t="shared" si="1"/>
        <v>2089</v>
      </c>
      <c r="CO4" s="118">
        <f t="shared" si="1"/>
        <v>2090</v>
      </c>
      <c r="CP4" s="118">
        <f t="shared" si="1"/>
        <v>2091</v>
      </c>
      <c r="CQ4" s="118">
        <f t="shared" si="1"/>
        <v>2092</v>
      </c>
      <c r="CR4" s="118">
        <f t="shared" si="1"/>
        <v>2093</v>
      </c>
      <c r="CS4" s="118">
        <f t="shared" si="1"/>
        <v>2094</v>
      </c>
      <c r="CT4" s="118">
        <f t="shared" si="1"/>
        <v>2095</v>
      </c>
      <c r="CU4" s="118">
        <f t="shared" si="1"/>
        <v>2096</v>
      </c>
      <c r="CV4" s="118">
        <f t="shared" si="1"/>
        <v>2097</v>
      </c>
      <c r="CW4" s="118">
        <f t="shared" si="1"/>
        <v>2098</v>
      </c>
      <c r="CX4" s="118">
        <f t="shared" si="1"/>
        <v>2099</v>
      </c>
      <c r="CY4" s="118">
        <f t="shared" si="1"/>
        <v>2100</v>
      </c>
      <c r="CZ4" s="118">
        <f t="shared" si="1"/>
        <v>2101</v>
      </c>
      <c r="DA4" s="118">
        <f t="shared" si="1"/>
        <v>2102</v>
      </c>
      <c r="DB4" s="118">
        <f t="shared" si="1"/>
        <v>2103</v>
      </c>
      <c r="DC4" s="118">
        <f t="shared" si="1"/>
        <v>2104</v>
      </c>
      <c r="DD4" s="118">
        <f t="shared" si="1"/>
        <v>2105</v>
      </c>
      <c r="DE4" s="118">
        <f t="shared" si="1"/>
        <v>2106</v>
      </c>
      <c r="DF4" s="118">
        <f t="shared" si="1"/>
        <v>2107</v>
      </c>
      <c r="DG4" s="118">
        <f t="shared" si="1"/>
        <v>2108</v>
      </c>
      <c r="DH4" s="118">
        <f t="shared" si="1"/>
        <v>2109</v>
      </c>
      <c r="DI4" s="118">
        <f t="shared" si="1"/>
        <v>2110</v>
      </c>
      <c r="DJ4" s="118">
        <f t="shared" si="1"/>
        <v>2111</v>
      </c>
      <c r="DK4" s="118">
        <f t="shared" si="1"/>
        <v>2112</v>
      </c>
      <c r="DL4" s="118">
        <f t="shared" si="1"/>
        <v>2113</v>
      </c>
      <c r="DM4" s="118">
        <f t="shared" si="1"/>
        <v>2114</v>
      </c>
      <c r="DN4" s="118">
        <f t="shared" si="1"/>
        <v>2115</v>
      </c>
      <c r="DO4" s="118">
        <f t="shared" si="1"/>
        <v>2116</v>
      </c>
      <c r="DP4" s="118">
        <f t="shared" si="1"/>
        <v>2117</v>
      </c>
      <c r="DQ4" s="118">
        <f t="shared" si="1"/>
        <v>2118</v>
      </c>
      <c r="DR4" s="118">
        <f t="shared" si="1"/>
        <v>2119</v>
      </c>
      <c r="DS4" s="118">
        <f t="shared" si="1"/>
        <v>2120</v>
      </c>
      <c r="DT4" s="118">
        <f t="shared" si="1"/>
        <v>2121</v>
      </c>
      <c r="DU4" s="118">
        <f t="shared" si="1"/>
        <v>2122</v>
      </c>
      <c r="DV4" s="118">
        <f t="shared" si="1"/>
        <v>2123</v>
      </c>
      <c r="DW4" s="118">
        <f t="shared" si="1"/>
        <v>2124</v>
      </c>
      <c r="DX4" s="118">
        <f t="shared" si="1"/>
        <v>2125</v>
      </c>
      <c r="DY4" s="118">
        <f t="shared" si="1"/>
        <v>2126</v>
      </c>
      <c r="DZ4" s="118">
        <f t="shared" si="1"/>
        <v>2127</v>
      </c>
      <c r="EA4" s="118">
        <f t="shared" si="1"/>
        <v>2128</v>
      </c>
      <c r="EB4" s="118">
        <f t="shared" si="1"/>
        <v>2129</v>
      </c>
      <c r="EC4" s="118">
        <f t="shared" si="1"/>
        <v>2130</v>
      </c>
      <c r="ED4" s="118">
        <f t="shared" si="1"/>
        <v>2131</v>
      </c>
      <c r="EE4" s="118">
        <f t="shared" si="1"/>
        <v>2132</v>
      </c>
      <c r="EF4" s="118">
        <f t="shared" si="1"/>
        <v>2133</v>
      </c>
      <c r="EG4" s="118">
        <f t="shared" si="1"/>
        <v>2134</v>
      </c>
      <c r="EH4" s="118">
        <f aca="true" t="shared" si="2" ref="EH4:FB4">EG4+1</f>
        <v>2135</v>
      </c>
      <c r="EI4" s="118">
        <f t="shared" si="2"/>
        <v>2136</v>
      </c>
      <c r="EJ4" s="118">
        <f t="shared" si="2"/>
        <v>2137</v>
      </c>
      <c r="EK4" s="118">
        <f t="shared" si="2"/>
        <v>2138</v>
      </c>
      <c r="EL4" s="118">
        <f t="shared" si="2"/>
        <v>2139</v>
      </c>
      <c r="EM4" s="118">
        <f t="shared" si="2"/>
        <v>2140</v>
      </c>
      <c r="EN4" s="118">
        <f t="shared" si="2"/>
        <v>2141</v>
      </c>
      <c r="EO4" s="118">
        <f t="shared" si="2"/>
        <v>2142</v>
      </c>
      <c r="EP4" s="118">
        <f t="shared" si="2"/>
        <v>2143</v>
      </c>
      <c r="EQ4" s="118">
        <f t="shared" si="2"/>
        <v>2144</v>
      </c>
      <c r="ER4" s="118">
        <f t="shared" si="2"/>
        <v>2145</v>
      </c>
      <c r="ES4" s="118">
        <f t="shared" si="2"/>
        <v>2146</v>
      </c>
      <c r="ET4" s="118">
        <f t="shared" si="2"/>
        <v>2147</v>
      </c>
      <c r="EU4" s="118">
        <f t="shared" si="2"/>
        <v>2148</v>
      </c>
      <c r="EV4" s="118">
        <f t="shared" si="2"/>
        <v>2149</v>
      </c>
      <c r="EW4" s="118">
        <f t="shared" si="2"/>
        <v>2150</v>
      </c>
      <c r="EX4" s="118">
        <f t="shared" si="2"/>
        <v>2151</v>
      </c>
      <c r="EY4" s="118">
        <f t="shared" si="2"/>
        <v>2152</v>
      </c>
      <c r="EZ4" s="118">
        <f t="shared" si="2"/>
        <v>2153</v>
      </c>
      <c r="FA4" s="118">
        <f t="shared" si="2"/>
        <v>2154</v>
      </c>
      <c r="FB4" s="118">
        <f t="shared" si="2"/>
        <v>2155</v>
      </c>
    </row>
    <row r="5" spans="1:158" ht="15">
      <c r="A5" s="128"/>
      <c r="B5" s="129" t="s">
        <v>0</v>
      </c>
      <c r="C5" s="128" t="s">
        <v>35</v>
      </c>
      <c r="D5" s="128" t="s">
        <v>35</v>
      </c>
      <c r="E5" s="121" t="s">
        <v>15</v>
      </c>
      <c r="G5" s="121" t="s">
        <v>55</v>
      </c>
      <c r="H5" s="121" t="s">
        <v>56</v>
      </c>
      <c r="I5" s="121" t="s">
        <v>57</v>
      </c>
      <c r="J5" s="121" t="s">
        <v>58</v>
      </c>
      <c r="K5" s="121" t="s">
        <v>59</v>
      </c>
      <c r="L5" s="121" t="s">
        <v>60</v>
      </c>
      <c r="M5" s="121" t="s">
        <v>61</v>
      </c>
      <c r="N5" s="121" t="s">
        <v>62</v>
      </c>
      <c r="O5" s="121" t="s">
        <v>63</v>
      </c>
      <c r="P5" s="121" t="s">
        <v>64</v>
      </c>
      <c r="Q5" s="121" t="s">
        <v>65</v>
      </c>
      <c r="R5" s="121" t="s">
        <v>66</v>
      </c>
      <c r="S5" s="121" t="s">
        <v>67</v>
      </c>
      <c r="T5" s="121" t="s">
        <v>68</v>
      </c>
      <c r="U5" s="121" t="s">
        <v>69</v>
      </c>
      <c r="V5" s="121" t="s">
        <v>70</v>
      </c>
      <c r="W5" s="121" t="s">
        <v>71</v>
      </c>
      <c r="X5" s="121" t="s">
        <v>72</v>
      </c>
      <c r="Y5" s="121" t="s">
        <v>73</v>
      </c>
      <c r="Z5" s="121" t="s">
        <v>74</v>
      </c>
      <c r="AA5" s="121" t="s">
        <v>75</v>
      </c>
      <c r="AB5" s="121" t="s">
        <v>76</v>
      </c>
      <c r="AC5" s="121" t="s">
        <v>77</v>
      </c>
      <c r="AD5" s="121" t="s">
        <v>78</v>
      </c>
      <c r="AE5" s="121" t="s">
        <v>79</v>
      </c>
      <c r="AF5" s="121" t="s">
        <v>80</v>
      </c>
      <c r="AG5" s="121" t="s">
        <v>81</v>
      </c>
      <c r="AH5" s="121" t="s">
        <v>82</v>
      </c>
      <c r="AI5" s="121" t="s">
        <v>83</v>
      </c>
      <c r="AJ5" s="121" t="s">
        <v>84</v>
      </c>
      <c r="AK5" s="121" t="s">
        <v>85</v>
      </c>
      <c r="AL5" s="121" t="s">
        <v>86</v>
      </c>
      <c r="AM5" s="121" t="s">
        <v>87</v>
      </c>
      <c r="AN5" s="121" t="s">
        <v>88</v>
      </c>
      <c r="AO5" s="121" t="s">
        <v>89</v>
      </c>
      <c r="AP5" s="121" t="s">
        <v>90</v>
      </c>
      <c r="AQ5" s="121" t="s">
        <v>91</v>
      </c>
      <c r="AR5" s="121" t="s">
        <v>92</v>
      </c>
      <c r="AS5" s="121" t="s">
        <v>93</v>
      </c>
      <c r="AT5" s="121" t="s">
        <v>94</v>
      </c>
      <c r="AU5" s="121" t="s">
        <v>95</v>
      </c>
      <c r="AV5" s="121" t="s">
        <v>96</v>
      </c>
      <c r="AW5" s="121" t="s">
        <v>97</v>
      </c>
      <c r="AX5" s="121" t="s">
        <v>98</v>
      </c>
      <c r="AY5" s="121" t="s">
        <v>99</v>
      </c>
      <c r="AZ5" s="121" t="s">
        <v>100</v>
      </c>
      <c r="BA5" s="121" t="s">
        <v>101</v>
      </c>
      <c r="BB5" s="121" t="s">
        <v>102</v>
      </c>
      <c r="BC5" s="121" t="s">
        <v>103</v>
      </c>
      <c r="BD5" s="121" t="s">
        <v>104</v>
      </c>
      <c r="BE5" s="121" t="s">
        <v>105</v>
      </c>
      <c r="BF5" s="121" t="s">
        <v>106</v>
      </c>
      <c r="BG5" s="121" t="s">
        <v>107</v>
      </c>
      <c r="BH5" s="121" t="s">
        <v>108</v>
      </c>
      <c r="BI5" s="121" t="s">
        <v>109</v>
      </c>
      <c r="BJ5" s="121" t="s">
        <v>110</v>
      </c>
      <c r="BK5" s="121" t="s">
        <v>111</v>
      </c>
      <c r="BL5" s="121" t="s">
        <v>112</v>
      </c>
      <c r="BM5" s="121" t="s">
        <v>113</v>
      </c>
      <c r="BN5" s="121" t="s">
        <v>114</v>
      </c>
      <c r="BO5" s="121" t="s">
        <v>115</v>
      </c>
      <c r="BP5" s="121" t="s">
        <v>116</v>
      </c>
      <c r="BQ5" s="121" t="s">
        <v>117</v>
      </c>
      <c r="BR5" s="121" t="s">
        <v>118</v>
      </c>
      <c r="BS5" s="121" t="s">
        <v>119</v>
      </c>
      <c r="BT5" s="121" t="s">
        <v>120</v>
      </c>
      <c r="BU5" s="121" t="s">
        <v>121</v>
      </c>
      <c r="BV5" s="121" t="s">
        <v>122</v>
      </c>
      <c r="BW5" s="121" t="s">
        <v>123</v>
      </c>
      <c r="BX5" s="121" t="s">
        <v>124</v>
      </c>
      <c r="BY5" s="121" t="s">
        <v>125</v>
      </c>
      <c r="BZ5" s="121" t="s">
        <v>126</v>
      </c>
      <c r="CA5" s="121" t="s">
        <v>127</v>
      </c>
      <c r="CB5" s="121" t="s">
        <v>128</v>
      </c>
      <c r="CC5" s="121" t="s">
        <v>129</v>
      </c>
      <c r="CD5" s="121" t="s">
        <v>130</v>
      </c>
      <c r="CE5" s="121" t="s">
        <v>131</v>
      </c>
      <c r="CF5" s="121" t="s">
        <v>132</v>
      </c>
      <c r="CG5" s="121" t="s">
        <v>133</v>
      </c>
      <c r="CH5" s="121" t="s">
        <v>134</v>
      </c>
      <c r="CI5" s="121" t="s">
        <v>135</v>
      </c>
      <c r="CJ5" s="121" t="s">
        <v>136</v>
      </c>
      <c r="CK5" s="121" t="s">
        <v>137</v>
      </c>
      <c r="CL5" s="121" t="s">
        <v>138</v>
      </c>
      <c r="CM5" s="121" t="s">
        <v>139</v>
      </c>
      <c r="CN5" s="121" t="s">
        <v>140</v>
      </c>
      <c r="CO5" s="121" t="s">
        <v>141</v>
      </c>
      <c r="CP5" s="121" t="s">
        <v>142</v>
      </c>
      <c r="CQ5" s="121" t="s">
        <v>143</v>
      </c>
      <c r="CR5" s="121" t="s">
        <v>144</v>
      </c>
      <c r="CS5" s="121" t="s">
        <v>145</v>
      </c>
      <c r="CT5" s="121" t="s">
        <v>146</v>
      </c>
      <c r="CU5" s="121" t="s">
        <v>147</v>
      </c>
      <c r="CV5" s="121" t="s">
        <v>148</v>
      </c>
      <c r="CW5" s="121" t="s">
        <v>149</v>
      </c>
      <c r="CX5" s="121" t="s">
        <v>150</v>
      </c>
      <c r="CY5" s="121" t="s">
        <v>151</v>
      </c>
      <c r="CZ5" s="121" t="s">
        <v>152</v>
      </c>
      <c r="DA5" s="121" t="s">
        <v>153</v>
      </c>
      <c r="DB5" s="121" t="s">
        <v>154</v>
      </c>
      <c r="DC5" s="121" t="s">
        <v>155</v>
      </c>
      <c r="DD5" s="121" t="s">
        <v>156</v>
      </c>
      <c r="DE5" s="121" t="s">
        <v>157</v>
      </c>
      <c r="DF5" s="121" t="s">
        <v>158</v>
      </c>
      <c r="DG5" s="121" t="s">
        <v>159</v>
      </c>
      <c r="DH5" s="121" t="s">
        <v>160</v>
      </c>
      <c r="DI5" s="121" t="s">
        <v>161</v>
      </c>
      <c r="DJ5" s="121" t="s">
        <v>162</v>
      </c>
      <c r="DK5" s="121" t="s">
        <v>163</v>
      </c>
      <c r="DL5" s="121" t="s">
        <v>164</v>
      </c>
      <c r="DM5" s="121" t="s">
        <v>165</v>
      </c>
      <c r="DN5" s="121" t="s">
        <v>166</v>
      </c>
      <c r="DO5" s="121" t="s">
        <v>167</v>
      </c>
      <c r="DP5" s="121" t="s">
        <v>168</v>
      </c>
      <c r="DQ5" s="121" t="s">
        <v>169</v>
      </c>
      <c r="DR5" s="121" t="s">
        <v>170</v>
      </c>
      <c r="DS5" s="121" t="s">
        <v>171</v>
      </c>
      <c r="DT5" s="121" t="s">
        <v>172</v>
      </c>
      <c r="DU5" s="121" t="s">
        <v>173</v>
      </c>
      <c r="DV5" s="121" t="s">
        <v>174</v>
      </c>
      <c r="DW5" s="121" t="s">
        <v>175</v>
      </c>
      <c r="DX5" s="121" t="s">
        <v>176</v>
      </c>
      <c r="DY5" s="121" t="s">
        <v>177</v>
      </c>
      <c r="DZ5" s="121" t="s">
        <v>178</v>
      </c>
      <c r="EA5" s="121" t="s">
        <v>179</v>
      </c>
      <c r="EB5" s="121" t="s">
        <v>180</v>
      </c>
      <c r="EC5" s="121" t="s">
        <v>181</v>
      </c>
      <c r="ED5" s="121" t="s">
        <v>182</v>
      </c>
      <c r="EE5" s="121" t="s">
        <v>183</v>
      </c>
      <c r="EF5" s="121" t="s">
        <v>184</v>
      </c>
      <c r="EG5" s="121" t="s">
        <v>185</v>
      </c>
      <c r="EH5" s="121" t="s">
        <v>186</v>
      </c>
      <c r="EI5" s="121" t="s">
        <v>187</v>
      </c>
      <c r="EJ5" s="121" t="s">
        <v>188</v>
      </c>
      <c r="EK5" s="121" t="s">
        <v>189</v>
      </c>
      <c r="EL5" s="121" t="s">
        <v>190</v>
      </c>
      <c r="EM5" s="121" t="s">
        <v>191</v>
      </c>
      <c r="EN5" s="121" t="s">
        <v>192</v>
      </c>
      <c r="EO5" s="121" t="s">
        <v>193</v>
      </c>
      <c r="EP5" s="121" t="s">
        <v>194</v>
      </c>
      <c r="EQ5" s="121" t="s">
        <v>195</v>
      </c>
      <c r="ER5" s="121" t="s">
        <v>196</v>
      </c>
      <c r="ES5" s="121" t="s">
        <v>197</v>
      </c>
      <c r="ET5" s="121" t="s">
        <v>198</v>
      </c>
      <c r="EU5" s="121" t="s">
        <v>199</v>
      </c>
      <c r="EV5" s="121" t="s">
        <v>200</v>
      </c>
      <c r="EW5" s="121" t="s">
        <v>201</v>
      </c>
      <c r="EX5" s="121" t="s">
        <v>202</v>
      </c>
      <c r="EY5" s="121" t="s">
        <v>203</v>
      </c>
      <c r="EZ5" s="121" t="s">
        <v>204</v>
      </c>
      <c r="FA5" s="121" t="s">
        <v>205</v>
      </c>
      <c r="FB5" s="121" t="s">
        <v>206</v>
      </c>
    </row>
    <row r="6" spans="1:158" ht="15">
      <c r="A6" s="125">
        <f>'Page 4'!A12</f>
        <v>1</v>
      </c>
      <c r="B6" s="125" t="str">
        <f>'Page 4'!B12</f>
        <v>Alliant Energy Co.</v>
      </c>
      <c r="C6" s="126">
        <f>'Page 4'!C12</f>
        <v>1.07</v>
      </c>
      <c r="D6" s="126">
        <f>'Page 4'!D12</f>
        <v>1.15</v>
      </c>
      <c r="E6" s="119">
        <f>(D6/C6)^(1/3)-1</f>
        <v>0.024325586145465206</v>
      </c>
      <c r="F6" s="119"/>
      <c r="G6" s="119">
        <f>IRR(H6:FB6,0.12)</f>
        <v>0.100146240817006</v>
      </c>
      <c r="H6" s="120">
        <f>-'Page 2'!C12</f>
        <v>-27.77</v>
      </c>
      <c r="I6" s="120">
        <f>C6</f>
        <v>1.07</v>
      </c>
      <c r="J6" s="120">
        <f aca="true" t="shared" si="3" ref="J6:K15">I6+($L6-$I6)/3</f>
        <v>1.0966666666666667</v>
      </c>
      <c r="K6" s="120">
        <f t="shared" si="3"/>
        <v>1.1233333333333333</v>
      </c>
      <c r="L6" s="120">
        <f>D6</f>
        <v>1.15</v>
      </c>
      <c r="M6" s="120">
        <f>L6*(1+$M$3)</f>
        <v>1.2259</v>
      </c>
      <c r="N6" s="120">
        <f aca="true" t="shared" si="4" ref="N6:BY6">M6*(1+$M$3)</f>
        <v>1.3068094000000001</v>
      </c>
      <c r="O6" s="120">
        <f t="shared" si="4"/>
        <v>1.3930588204000003</v>
      </c>
      <c r="P6" s="120">
        <f t="shared" si="4"/>
        <v>1.4850007025464005</v>
      </c>
      <c r="Q6" s="120">
        <f t="shared" si="4"/>
        <v>1.583010748914463</v>
      </c>
      <c r="R6" s="120">
        <f t="shared" si="4"/>
        <v>1.6874894583428175</v>
      </c>
      <c r="S6" s="120">
        <f t="shared" si="4"/>
        <v>1.7988637625934436</v>
      </c>
      <c r="T6" s="120">
        <f t="shared" si="4"/>
        <v>1.9175887709246109</v>
      </c>
      <c r="U6" s="120">
        <f t="shared" si="4"/>
        <v>2.044149629805635</v>
      </c>
      <c r="V6" s="120">
        <f t="shared" si="4"/>
        <v>2.1790635053728074</v>
      </c>
      <c r="W6" s="120">
        <f t="shared" si="4"/>
        <v>2.322881696727413</v>
      </c>
      <c r="X6" s="120">
        <f t="shared" si="4"/>
        <v>2.4761918887114223</v>
      </c>
      <c r="Y6" s="120">
        <f t="shared" si="4"/>
        <v>2.639620553366376</v>
      </c>
      <c r="Z6" s="120">
        <f t="shared" si="4"/>
        <v>2.8138355098885572</v>
      </c>
      <c r="AA6" s="120">
        <f t="shared" si="4"/>
        <v>2.9995486535412024</v>
      </c>
      <c r="AB6" s="120">
        <f t="shared" si="4"/>
        <v>3.197518864674922</v>
      </c>
      <c r="AC6" s="120">
        <f t="shared" si="4"/>
        <v>3.408555109743467</v>
      </c>
      <c r="AD6" s="120">
        <f t="shared" si="4"/>
        <v>3.633519746986536</v>
      </c>
      <c r="AE6" s="120">
        <f t="shared" si="4"/>
        <v>3.8733320502876474</v>
      </c>
      <c r="AF6" s="120">
        <f t="shared" si="4"/>
        <v>4.128971965606632</v>
      </c>
      <c r="AG6" s="120">
        <f t="shared" si="4"/>
        <v>4.40148411533667</v>
      </c>
      <c r="AH6" s="120">
        <f t="shared" si="4"/>
        <v>4.69198206694889</v>
      </c>
      <c r="AI6" s="120">
        <f t="shared" si="4"/>
        <v>5.001652883367517</v>
      </c>
      <c r="AJ6" s="120">
        <f t="shared" si="4"/>
        <v>5.3317619736697734</v>
      </c>
      <c r="AK6" s="120">
        <f t="shared" si="4"/>
        <v>5.683658263931979</v>
      </c>
      <c r="AL6" s="120">
        <f t="shared" si="4"/>
        <v>6.05877970935149</v>
      </c>
      <c r="AM6" s="120">
        <f t="shared" si="4"/>
        <v>6.458659170168689</v>
      </c>
      <c r="AN6" s="120">
        <f t="shared" si="4"/>
        <v>6.884930675399823</v>
      </c>
      <c r="AO6" s="120">
        <f t="shared" si="4"/>
        <v>7.339336099976212</v>
      </c>
      <c r="AP6" s="120">
        <f t="shared" si="4"/>
        <v>7.823732282574642</v>
      </c>
      <c r="AQ6" s="120">
        <f t="shared" si="4"/>
        <v>8.34009861322457</v>
      </c>
      <c r="AR6" s="120">
        <f t="shared" si="4"/>
        <v>8.890545121697391</v>
      </c>
      <c r="AS6" s="120">
        <f t="shared" si="4"/>
        <v>9.47732109972942</v>
      </c>
      <c r="AT6" s="120">
        <f t="shared" si="4"/>
        <v>10.102824292311562</v>
      </c>
      <c r="AU6" s="120">
        <f t="shared" si="4"/>
        <v>10.769610695604126</v>
      </c>
      <c r="AV6" s="120">
        <f t="shared" si="4"/>
        <v>11.480405001513999</v>
      </c>
      <c r="AW6" s="120">
        <f t="shared" si="4"/>
        <v>12.238111731613923</v>
      </c>
      <c r="AX6" s="120">
        <f t="shared" si="4"/>
        <v>13.045827105900443</v>
      </c>
      <c r="AY6" s="120">
        <f t="shared" si="4"/>
        <v>13.906851694889873</v>
      </c>
      <c r="AZ6" s="120">
        <f t="shared" si="4"/>
        <v>14.824703906752605</v>
      </c>
      <c r="BA6" s="120">
        <f t="shared" si="4"/>
        <v>15.803134364598277</v>
      </c>
      <c r="BB6" s="120">
        <f t="shared" si="4"/>
        <v>16.846141232661765</v>
      </c>
      <c r="BC6" s="120">
        <f t="shared" si="4"/>
        <v>17.95798655401744</v>
      </c>
      <c r="BD6" s="120">
        <f t="shared" si="4"/>
        <v>19.143213666582593</v>
      </c>
      <c r="BE6" s="120">
        <f t="shared" si="4"/>
        <v>20.406665768577046</v>
      </c>
      <c r="BF6" s="120">
        <f t="shared" si="4"/>
        <v>21.75350570930313</v>
      </c>
      <c r="BG6" s="120">
        <f t="shared" si="4"/>
        <v>23.18923708611714</v>
      </c>
      <c r="BH6" s="120">
        <f t="shared" si="4"/>
        <v>24.719726733800872</v>
      </c>
      <c r="BI6" s="120">
        <f t="shared" si="4"/>
        <v>26.351228698231733</v>
      </c>
      <c r="BJ6" s="120">
        <f t="shared" si="4"/>
        <v>28.09040979231503</v>
      </c>
      <c r="BK6" s="120">
        <f t="shared" si="4"/>
        <v>29.944376838607823</v>
      </c>
      <c r="BL6" s="120">
        <f t="shared" si="4"/>
        <v>31.920705709955943</v>
      </c>
      <c r="BM6" s="120">
        <f t="shared" si="4"/>
        <v>34.02747228681304</v>
      </c>
      <c r="BN6" s="120">
        <f t="shared" si="4"/>
        <v>36.2732854577427</v>
      </c>
      <c r="BO6" s="120">
        <f t="shared" si="4"/>
        <v>38.667322297953724</v>
      </c>
      <c r="BP6" s="120">
        <f t="shared" si="4"/>
        <v>41.219365569618674</v>
      </c>
      <c r="BQ6" s="120">
        <f t="shared" si="4"/>
        <v>43.93984369721351</v>
      </c>
      <c r="BR6" s="120">
        <f t="shared" si="4"/>
        <v>46.83987338122961</v>
      </c>
      <c r="BS6" s="120">
        <f t="shared" si="4"/>
        <v>49.93130502439077</v>
      </c>
      <c r="BT6" s="120">
        <f t="shared" si="4"/>
        <v>53.22677115600056</v>
      </c>
      <c r="BU6" s="120">
        <f t="shared" si="4"/>
        <v>56.7397380522966</v>
      </c>
      <c r="BV6" s="120">
        <f t="shared" si="4"/>
        <v>60.48456076374818</v>
      </c>
      <c r="BW6" s="120">
        <f t="shared" si="4"/>
        <v>64.47654177415556</v>
      </c>
      <c r="BX6" s="120">
        <f t="shared" si="4"/>
        <v>68.73199353124984</v>
      </c>
      <c r="BY6" s="120">
        <f t="shared" si="4"/>
        <v>73.26830510431233</v>
      </c>
      <c r="BZ6" s="120">
        <f aca="true" t="shared" si="5" ref="BZ6:DE6">BY6*(1+$M$3)</f>
        <v>78.10401324119695</v>
      </c>
      <c r="CA6" s="120">
        <f t="shared" si="5"/>
        <v>83.25887811511596</v>
      </c>
      <c r="CB6" s="120">
        <f t="shared" si="5"/>
        <v>88.75396407071362</v>
      </c>
      <c r="CC6" s="120">
        <f t="shared" si="5"/>
        <v>94.61172569938073</v>
      </c>
      <c r="CD6" s="120">
        <f t="shared" si="5"/>
        <v>100.85609959553986</v>
      </c>
      <c r="CE6" s="120">
        <f t="shared" si="5"/>
        <v>107.51260216884549</v>
      </c>
      <c r="CF6" s="120">
        <f t="shared" si="5"/>
        <v>114.6084339119893</v>
      </c>
      <c r="CG6" s="120">
        <f t="shared" si="5"/>
        <v>122.1725905501806</v>
      </c>
      <c r="CH6" s="120">
        <f t="shared" si="5"/>
        <v>130.23598152649254</v>
      </c>
      <c r="CI6" s="120">
        <f t="shared" si="5"/>
        <v>138.83155630724104</v>
      </c>
      <c r="CJ6" s="120">
        <f t="shared" si="5"/>
        <v>147.99443902351896</v>
      </c>
      <c r="CK6" s="120">
        <f t="shared" si="5"/>
        <v>157.76207199907122</v>
      </c>
      <c r="CL6" s="120">
        <f t="shared" si="5"/>
        <v>168.17436875100992</v>
      </c>
      <c r="CM6" s="120">
        <f t="shared" si="5"/>
        <v>179.2738770885766</v>
      </c>
      <c r="CN6" s="120">
        <f t="shared" si="5"/>
        <v>191.10595297642266</v>
      </c>
      <c r="CO6" s="120">
        <f t="shared" si="5"/>
        <v>203.71894587286656</v>
      </c>
      <c r="CP6" s="120">
        <f t="shared" si="5"/>
        <v>217.16439630047577</v>
      </c>
      <c r="CQ6" s="120">
        <f t="shared" si="5"/>
        <v>231.49724645630718</v>
      </c>
      <c r="CR6" s="120">
        <f t="shared" si="5"/>
        <v>246.77606472242346</v>
      </c>
      <c r="CS6" s="120">
        <f t="shared" si="5"/>
        <v>263.0632849941034</v>
      </c>
      <c r="CT6" s="120">
        <f t="shared" si="5"/>
        <v>280.42546180371426</v>
      </c>
      <c r="CU6" s="120">
        <f t="shared" si="5"/>
        <v>298.9335422827594</v>
      </c>
      <c r="CV6" s="120">
        <f t="shared" si="5"/>
        <v>318.66315607342153</v>
      </c>
      <c r="CW6" s="120">
        <f t="shared" si="5"/>
        <v>339.6949243742674</v>
      </c>
      <c r="CX6" s="120">
        <f t="shared" si="5"/>
        <v>362.11478938296904</v>
      </c>
      <c r="CY6" s="120">
        <f t="shared" si="5"/>
        <v>386.014365482245</v>
      </c>
      <c r="CZ6" s="120">
        <f t="shared" si="5"/>
        <v>411.4913136040732</v>
      </c>
      <c r="DA6" s="120">
        <f t="shared" si="5"/>
        <v>438.649740301942</v>
      </c>
      <c r="DB6" s="120">
        <f t="shared" si="5"/>
        <v>467.6006231618702</v>
      </c>
      <c r="DC6" s="120">
        <f t="shared" si="5"/>
        <v>498.46226429055366</v>
      </c>
      <c r="DD6" s="120">
        <f t="shared" si="5"/>
        <v>531.3607737337302</v>
      </c>
      <c r="DE6" s="120">
        <f t="shared" si="5"/>
        <v>566.4305848001565</v>
      </c>
      <c r="DF6" s="120">
        <f aca="true" t="shared" si="6" ref="DF6:EK6">DE6*(1+$M$3)</f>
        <v>603.8150033969669</v>
      </c>
      <c r="DG6" s="120">
        <f t="shared" si="6"/>
        <v>643.6667936211667</v>
      </c>
      <c r="DH6" s="120">
        <f t="shared" si="6"/>
        <v>686.1488020001638</v>
      </c>
      <c r="DI6" s="120">
        <f t="shared" si="6"/>
        <v>731.4346229321746</v>
      </c>
      <c r="DJ6" s="120">
        <f t="shared" si="6"/>
        <v>779.7093080456982</v>
      </c>
      <c r="DK6" s="120">
        <f t="shared" si="6"/>
        <v>831.1701223767143</v>
      </c>
      <c r="DL6" s="120">
        <f t="shared" si="6"/>
        <v>886.0273504535775</v>
      </c>
      <c r="DM6" s="120">
        <f t="shared" si="6"/>
        <v>944.5051555835137</v>
      </c>
      <c r="DN6" s="120">
        <f t="shared" si="6"/>
        <v>1006.8424958520256</v>
      </c>
      <c r="DO6" s="120">
        <f t="shared" si="6"/>
        <v>1073.2941005782593</v>
      </c>
      <c r="DP6" s="120">
        <f t="shared" si="6"/>
        <v>1144.1315112164245</v>
      </c>
      <c r="DQ6" s="120">
        <f t="shared" si="6"/>
        <v>1219.6441909567086</v>
      </c>
      <c r="DR6" s="120">
        <f t="shared" si="6"/>
        <v>1300.1407075598515</v>
      </c>
      <c r="DS6" s="120">
        <f t="shared" si="6"/>
        <v>1385.9499942588018</v>
      </c>
      <c r="DT6" s="120">
        <f t="shared" si="6"/>
        <v>1477.4226938798827</v>
      </c>
      <c r="DU6" s="120">
        <f t="shared" si="6"/>
        <v>1574.932591675955</v>
      </c>
      <c r="DV6" s="120">
        <f t="shared" si="6"/>
        <v>1678.8781427265683</v>
      </c>
      <c r="DW6" s="120">
        <f t="shared" si="6"/>
        <v>1789.6841001465218</v>
      </c>
      <c r="DX6" s="120">
        <f t="shared" si="6"/>
        <v>1907.8032507561923</v>
      </c>
      <c r="DY6" s="120">
        <f t="shared" si="6"/>
        <v>2033.718265306101</v>
      </c>
      <c r="DZ6" s="120">
        <f t="shared" si="6"/>
        <v>2167.943670816304</v>
      </c>
      <c r="EA6" s="120">
        <f t="shared" si="6"/>
        <v>2311.0279530901803</v>
      </c>
      <c r="EB6" s="120">
        <f t="shared" si="6"/>
        <v>2463.5557979941323</v>
      </c>
      <c r="EC6" s="120">
        <f t="shared" si="6"/>
        <v>2626.150480661745</v>
      </c>
      <c r="ED6" s="120">
        <f t="shared" si="6"/>
        <v>2799.47641238542</v>
      </c>
      <c r="EE6" s="120">
        <f t="shared" si="6"/>
        <v>2984.241855602858</v>
      </c>
      <c r="EF6" s="120">
        <f t="shared" si="6"/>
        <v>3181.201818072647</v>
      </c>
      <c r="EG6" s="120">
        <f t="shared" si="6"/>
        <v>3391.1611380654417</v>
      </c>
      <c r="EH6" s="120">
        <f t="shared" si="6"/>
        <v>3614.9777731777613</v>
      </c>
      <c r="EI6" s="120">
        <f t="shared" si="6"/>
        <v>3853.5663062074937</v>
      </c>
      <c r="EJ6" s="120">
        <f t="shared" si="6"/>
        <v>4107.901682417189</v>
      </c>
      <c r="EK6" s="120">
        <f t="shared" si="6"/>
        <v>4379.023193456724</v>
      </c>
      <c r="EL6" s="120">
        <f aca="true" t="shared" si="7" ref="EL6:FB6">EK6*(1+$M$3)</f>
        <v>4668.038724224868</v>
      </c>
      <c r="EM6" s="120">
        <f t="shared" si="7"/>
        <v>4976.12928002371</v>
      </c>
      <c r="EN6" s="120">
        <f t="shared" si="7"/>
        <v>5304.553812505274</v>
      </c>
      <c r="EO6" s="120">
        <f t="shared" si="7"/>
        <v>5654.6543641306225</v>
      </c>
      <c r="EP6" s="120">
        <f t="shared" si="7"/>
        <v>6027.861552163244</v>
      </c>
      <c r="EQ6" s="120">
        <f t="shared" si="7"/>
        <v>6425.700414606018</v>
      </c>
      <c r="ER6" s="120">
        <f t="shared" si="7"/>
        <v>6849.796641970016</v>
      </c>
      <c r="ES6" s="120">
        <f t="shared" si="7"/>
        <v>7301.883220340037</v>
      </c>
      <c r="ET6" s="120">
        <f t="shared" si="7"/>
        <v>7783.80751288248</v>
      </c>
      <c r="EU6" s="120">
        <f t="shared" si="7"/>
        <v>8297.538808732725</v>
      </c>
      <c r="EV6" s="120">
        <f t="shared" si="7"/>
        <v>8845.176370109086</v>
      </c>
      <c r="EW6" s="120">
        <f t="shared" si="7"/>
        <v>9428.958010536286</v>
      </c>
      <c r="EX6" s="120">
        <f t="shared" si="7"/>
        <v>10051.26923923168</v>
      </c>
      <c r="EY6" s="120">
        <f t="shared" si="7"/>
        <v>10714.653009020973</v>
      </c>
      <c r="EZ6" s="120">
        <f t="shared" si="7"/>
        <v>11421.820107616357</v>
      </c>
      <c r="FA6" s="120">
        <f t="shared" si="7"/>
        <v>12175.660234719036</v>
      </c>
      <c r="FB6" s="120">
        <f t="shared" si="7"/>
        <v>12979.253810210494</v>
      </c>
    </row>
    <row r="7" spans="1:158" ht="15">
      <c r="A7" s="125">
        <f>'Page 4'!A13</f>
        <v>2</v>
      </c>
      <c r="B7" s="125" t="str">
        <f>'Page 4'!B13</f>
        <v>Ameren</v>
      </c>
      <c r="C7" s="126">
        <f>'Page 4'!C13</f>
        <v>2.54</v>
      </c>
      <c r="D7" s="126">
        <f>'Page 4'!D13</f>
        <v>2.54</v>
      </c>
      <c r="E7" s="119">
        <f aca="true" t="shared" si="8" ref="E7:E15">(D7/C7)^(1/3)-1</f>
        <v>0</v>
      </c>
      <c r="F7" s="119"/>
      <c r="G7" s="119">
        <f>IRR(H7:FB7,0.12)</f>
        <v>0.10674127858073004</v>
      </c>
      <c r="H7" s="120">
        <f>-'Page 2'!C13</f>
        <v>-52.04666666666666</v>
      </c>
      <c r="I7" s="120">
        <f aca="true" t="shared" si="9" ref="I7:I15">C7</f>
        <v>2.54</v>
      </c>
      <c r="J7" s="120">
        <f t="shared" si="3"/>
        <v>2.54</v>
      </c>
      <c r="K7" s="120">
        <f t="shared" si="3"/>
        <v>2.54</v>
      </c>
      <c r="L7" s="120">
        <f aca="true" t="shared" si="10" ref="L7:L15">D7</f>
        <v>2.54</v>
      </c>
      <c r="M7" s="120">
        <f aca="true" t="shared" si="11" ref="M7:BX7">L7*(1+$M$3)</f>
        <v>2.70764</v>
      </c>
      <c r="N7" s="120">
        <f t="shared" si="11"/>
        <v>2.88634424</v>
      </c>
      <c r="O7" s="120">
        <f t="shared" si="11"/>
        <v>3.0768429598400004</v>
      </c>
      <c r="P7" s="120">
        <f t="shared" si="11"/>
        <v>3.2799145951894406</v>
      </c>
      <c r="Q7" s="120">
        <f t="shared" si="11"/>
        <v>3.496388958471944</v>
      </c>
      <c r="R7" s="120">
        <f t="shared" si="11"/>
        <v>3.7271506297310926</v>
      </c>
      <c r="S7" s="120">
        <f t="shared" si="11"/>
        <v>3.973142571293345</v>
      </c>
      <c r="T7" s="120">
        <f t="shared" si="11"/>
        <v>4.235369980998706</v>
      </c>
      <c r="U7" s="120">
        <f t="shared" si="11"/>
        <v>4.514904399744621</v>
      </c>
      <c r="V7" s="120">
        <f t="shared" si="11"/>
        <v>4.812888090127767</v>
      </c>
      <c r="W7" s="120">
        <f t="shared" si="11"/>
        <v>5.1305387040762</v>
      </c>
      <c r="X7" s="120">
        <f t="shared" si="11"/>
        <v>5.469154258545229</v>
      </c>
      <c r="Y7" s="120">
        <f t="shared" si="11"/>
        <v>5.8301184396092145</v>
      </c>
      <c r="Z7" s="120">
        <f t="shared" si="11"/>
        <v>6.214906256623423</v>
      </c>
      <c r="AA7" s="120">
        <f t="shared" si="11"/>
        <v>6.625090069560569</v>
      </c>
      <c r="AB7" s="120">
        <f t="shared" si="11"/>
        <v>7.062346014151567</v>
      </c>
      <c r="AC7" s="120">
        <f t="shared" si="11"/>
        <v>7.528460851085571</v>
      </c>
      <c r="AD7" s="120">
        <f t="shared" si="11"/>
        <v>8.02533926725722</v>
      </c>
      <c r="AE7" s="120">
        <f t="shared" si="11"/>
        <v>8.555011658896197</v>
      </c>
      <c r="AF7" s="120">
        <f t="shared" si="11"/>
        <v>9.119642428383345</v>
      </c>
      <c r="AG7" s="120">
        <f t="shared" si="11"/>
        <v>9.721538828656646</v>
      </c>
      <c r="AH7" s="120">
        <f t="shared" si="11"/>
        <v>10.363160391347986</v>
      </c>
      <c r="AI7" s="120">
        <f t="shared" si="11"/>
        <v>11.047128977176953</v>
      </c>
      <c r="AJ7" s="120">
        <f t="shared" si="11"/>
        <v>11.776239489670633</v>
      </c>
      <c r="AK7" s="120">
        <f t="shared" si="11"/>
        <v>12.553471295988896</v>
      </c>
      <c r="AL7" s="120">
        <f t="shared" si="11"/>
        <v>13.382000401524163</v>
      </c>
      <c r="AM7" s="120">
        <f t="shared" si="11"/>
        <v>14.265212428024759</v>
      </c>
      <c r="AN7" s="120">
        <f t="shared" si="11"/>
        <v>15.206716448274394</v>
      </c>
      <c r="AO7" s="120">
        <f t="shared" si="11"/>
        <v>16.210359733860503</v>
      </c>
      <c r="AP7" s="120">
        <f t="shared" si="11"/>
        <v>17.280243476295297</v>
      </c>
      <c r="AQ7" s="120">
        <f t="shared" si="11"/>
        <v>18.420739545730786</v>
      </c>
      <c r="AR7" s="120">
        <f t="shared" si="11"/>
        <v>19.63650835574902</v>
      </c>
      <c r="AS7" s="120">
        <f t="shared" si="11"/>
        <v>20.932517907228455</v>
      </c>
      <c r="AT7" s="120">
        <f t="shared" si="11"/>
        <v>22.314064089105536</v>
      </c>
      <c r="AU7" s="120">
        <f t="shared" si="11"/>
        <v>23.786792318986503</v>
      </c>
      <c r="AV7" s="120">
        <f t="shared" si="11"/>
        <v>25.356720612039613</v>
      </c>
      <c r="AW7" s="120">
        <f t="shared" si="11"/>
        <v>27.03026417243423</v>
      </c>
      <c r="AX7" s="120">
        <f t="shared" si="11"/>
        <v>28.814261607814892</v>
      </c>
      <c r="AY7" s="120">
        <f t="shared" si="11"/>
        <v>30.716002873930677</v>
      </c>
      <c r="AZ7" s="120">
        <f t="shared" si="11"/>
        <v>32.743259063610104</v>
      </c>
      <c r="BA7" s="120">
        <f t="shared" si="11"/>
        <v>34.90431416180837</v>
      </c>
      <c r="BB7" s="120">
        <f t="shared" si="11"/>
        <v>37.20799889648773</v>
      </c>
      <c r="BC7" s="120">
        <f t="shared" si="11"/>
        <v>39.66372682365592</v>
      </c>
      <c r="BD7" s="120">
        <f t="shared" si="11"/>
        <v>42.28153279401722</v>
      </c>
      <c r="BE7" s="120">
        <f t="shared" si="11"/>
        <v>45.07211395842236</v>
      </c>
      <c r="BF7" s="120">
        <f t="shared" si="11"/>
        <v>48.04687347967823</v>
      </c>
      <c r="BG7" s="120">
        <f t="shared" si="11"/>
        <v>51.217967129337</v>
      </c>
      <c r="BH7" s="120">
        <f t="shared" si="11"/>
        <v>54.598352959873246</v>
      </c>
      <c r="BI7" s="120">
        <f t="shared" si="11"/>
        <v>58.201844255224884</v>
      </c>
      <c r="BJ7" s="120">
        <f t="shared" si="11"/>
        <v>62.04316597606973</v>
      </c>
      <c r="BK7" s="120">
        <f t="shared" si="11"/>
        <v>66.13801493049034</v>
      </c>
      <c r="BL7" s="120">
        <f t="shared" si="11"/>
        <v>70.5031239159027</v>
      </c>
      <c r="BM7" s="120">
        <f t="shared" si="11"/>
        <v>75.15633009435228</v>
      </c>
      <c r="BN7" s="120">
        <f t="shared" si="11"/>
        <v>80.11664788057954</v>
      </c>
      <c r="BO7" s="120">
        <f t="shared" si="11"/>
        <v>85.4043466406978</v>
      </c>
      <c r="BP7" s="120">
        <f t="shared" si="11"/>
        <v>91.04103351898385</v>
      </c>
      <c r="BQ7" s="120">
        <f t="shared" si="11"/>
        <v>97.0497417312368</v>
      </c>
      <c r="BR7" s="120">
        <f t="shared" si="11"/>
        <v>103.45502468549843</v>
      </c>
      <c r="BS7" s="120">
        <f t="shared" si="11"/>
        <v>110.28305631474133</v>
      </c>
      <c r="BT7" s="120">
        <f t="shared" si="11"/>
        <v>117.56173803151427</v>
      </c>
      <c r="BU7" s="120">
        <f t="shared" si="11"/>
        <v>125.32081274159421</v>
      </c>
      <c r="BV7" s="120">
        <f t="shared" si="11"/>
        <v>133.59198638253943</v>
      </c>
      <c r="BW7" s="120">
        <f t="shared" si="11"/>
        <v>142.40905748378705</v>
      </c>
      <c r="BX7" s="120">
        <f t="shared" si="11"/>
        <v>151.80805527771702</v>
      </c>
      <c r="BY7" s="120">
        <f aca="true" t="shared" si="12" ref="BY7:EJ7">BX7*(1+$M$3)</f>
        <v>161.82738692604636</v>
      </c>
      <c r="BZ7" s="120">
        <f t="shared" si="12"/>
        <v>172.50799446316543</v>
      </c>
      <c r="CA7" s="120">
        <f t="shared" si="12"/>
        <v>183.89352209773435</v>
      </c>
      <c r="CB7" s="120">
        <f t="shared" si="12"/>
        <v>196.03049455618483</v>
      </c>
      <c r="CC7" s="120">
        <f t="shared" si="12"/>
        <v>208.96850719689306</v>
      </c>
      <c r="CD7" s="120">
        <f t="shared" si="12"/>
        <v>222.760428671888</v>
      </c>
      <c r="CE7" s="120">
        <f t="shared" si="12"/>
        <v>237.46261696423264</v>
      </c>
      <c r="CF7" s="120">
        <f t="shared" si="12"/>
        <v>253.13514968387202</v>
      </c>
      <c r="CG7" s="120">
        <f t="shared" si="12"/>
        <v>269.84206956300756</v>
      </c>
      <c r="CH7" s="120">
        <f t="shared" si="12"/>
        <v>287.6516461541661</v>
      </c>
      <c r="CI7" s="120">
        <f t="shared" si="12"/>
        <v>306.6366548003411</v>
      </c>
      <c r="CJ7" s="120">
        <f t="shared" si="12"/>
        <v>326.8746740171636</v>
      </c>
      <c r="CK7" s="120">
        <f t="shared" si="12"/>
        <v>348.4484025022964</v>
      </c>
      <c r="CL7" s="120">
        <f t="shared" si="12"/>
        <v>371.445997067448</v>
      </c>
      <c r="CM7" s="120">
        <f t="shared" si="12"/>
        <v>395.9614328738996</v>
      </c>
      <c r="CN7" s="120">
        <f t="shared" si="12"/>
        <v>422.09488744357697</v>
      </c>
      <c r="CO7" s="120">
        <f t="shared" si="12"/>
        <v>449.95315001485307</v>
      </c>
      <c r="CP7" s="120">
        <f t="shared" si="12"/>
        <v>479.6500579158334</v>
      </c>
      <c r="CQ7" s="120">
        <f t="shared" si="12"/>
        <v>511.3069617382784</v>
      </c>
      <c r="CR7" s="120">
        <f t="shared" si="12"/>
        <v>545.0532212130048</v>
      </c>
      <c r="CS7" s="120">
        <f t="shared" si="12"/>
        <v>581.0267338130632</v>
      </c>
      <c r="CT7" s="120">
        <f t="shared" si="12"/>
        <v>619.3744982447254</v>
      </c>
      <c r="CU7" s="120">
        <f t="shared" si="12"/>
        <v>660.2532151288773</v>
      </c>
      <c r="CV7" s="120">
        <f t="shared" si="12"/>
        <v>703.8299273273832</v>
      </c>
      <c r="CW7" s="120">
        <f t="shared" si="12"/>
        <v>750.2827025309905</v>
      </c>
      <c r="CX7" s="120">
        <f t="shared" si="12"/>
        <v>799.8013608980359</v>
      </c>
      <c r="CY7" s="120">
        <f t="shared" si="12"/>
        <v>852.5882507173063</v>
      </c>
      <c r="CZ7" s="120">
        <f t="shared" si="12"/>
        <v>908.8590752646486</v>
      </c>
      <c r="DA7" s="120">
        <f t="shared" si="12"/>
        <v>968.8437742321155</v>
      </c>
      <c r="DB7" s="120">
        <f t="shared" si="12"/>
        <v>1032.7874633314352</v>
      </c>
      <c r="DC7" s="120">
        <f t="shared" si="12"/>
        <v>1100.95143591131</v>
      </c>
      <c r="DD7" s="120">
        <f t="shared" si="12"/>
        <v>1173.6142306814565</v>
      </c>
      <c r="DE7" s="120">
        <f t="shared" si="12"/>
        <v>1251.0727699064328</v>
      </c>
      <c r="DF7" s="120">
        <f t="shared" si="12"/>
        <v>1333.6435727202575</v>
      </c>
      <c r="DG7" s="120">
        <f t="shared" si="12"/>
        <v>1421.6640485197945</v>
      </c>
      <c r="DH7" s="120">
        <f t="shared" si="12"/>
        <v>1515.493875722101</v>
      </c>
      <c r="DI7" s="120">
        <f t="shared" si="12"/>
        <v>1615.5164715197598</v>
      </c>
      <c r="DJ7" s="120">
        <f t="shared" si="12"/>
        <v>1722.140558640064</v>
      </c>
      <c r="DK7" s="120">
        <f t="shared" si="12"/>
        <v>1835.8018355103084</v>
      </c>
      <c r="DL7" s="120">
        <f t="shared" si="12"/>
        <v>1956.9647566539888</v>
      </c>
      <c r="DM7" s="120">
        <f t="shared" si="12"/>
        <v>2086.1244305931523</v>
      </c>
      <c r="DN7" s="120">
        <f t="shared" si="12"/>
        <v>2223.8086430123003</v>
      </c>
      <c r="DO7" s="120">
        <f t="shared" si="12"/>
        <v>2370.5800134511123</v>
      </c>
      <c r="DP7" s="120">
        <f t="shared" si="12"/>
        <v>2527.038294338886</v>
      </c>
      <c r="DQ7" s="120">
        <f t="shared" si="12"/>
        <v>2693.8228217652527</v>
      </c>
      <c r="DR7" s="120">
        <f t="shared" si="12"/>
        <v>2871.6151280017593</v>
      </c>
      <c r="DS7" s="120">
        <f t="shared" si="12"/>
        <v>3061.1417264498755</v>
      </c>
      <c r="DT7" s="120">
        <f t="shared" si="12"/>
        <v>3263.1770803955674</v>
      </c>
      <c r="DU7" s="120">
        <f t="shared" si="12"/>
        <v>3478.546767701675</v>
      </c>
      <c r="DV7" s="120">
        <f t="shared" si="12"/>
        <v>3708.1308543699856</v>
      </c>
      <c r="DW7" s="120">
        <f t="shared" si="12"/>
        <v>3952.867490758405</v>
      </c>
      <c r="DX7" s="120">
        <f t="shared" si="12"/>
        <v>4213.75674514846</v>
      </c>
      <c r="DY7" s="120">
        <f t="shared" si="12"/>
        <v>4491.864690328259</v>
      </c>
      <c r="DZ7" s="120">
        <f t="shared" si="12"/>
        <v>4788.327759889924</v>
      </c>
      <c r="EA7" s="120">
        <f t="shared" si="12"/>
        <v>5104.357392042659</v>
      </c>
      <c r="EB7" s="120">
        <f t="shared" si="12"/>
        <v>5441.244979917475</v>
      </c>
      <c r="EC7" s="120">
        <f t="shared" si="12"/>
        <v>5800.367148592029</v>
      </c>
      <c r="ED7" s="120">
        <f t="shared" si="12"/>
        <v>6183.191380399103</v>
      </c>
      <c r="EE7" s="120">
        <f t="shared" si="12"/>
        <v>6591.282011505444</v>
      </c>
      <c r="EF7" s="120">
        <f t="shared" si="12"/>
        <v>7026.306624264804</v>
      </c>
      <c r="EG7" s="120">
        <f t="shared" si="12"/>
        <v>7490.0428614662815</v>
      </c>
      <c r="EH7" s="120">
        <f t="shared" si="12"/>
        <v>7984.385690323056</v>
      </c>
      <c r="EI7" s="120">
        <f t="shared" si="12"/>
        <v>8511.355145884378</v>
      </c>
      <c r="EJ7" s="120">
        <f t="shared" si="12"/>
        <v>9073.104585512747</v>
      </c>
      <c r="EK7" s="120">
        <f aca="true" t="shared" si="13" ref="EK7:FB7">EJ7*(1+$M$3)</f>
        <v>9671.92948815659</v>
      </c>
      <c r="EL7" s="120">
        <f t="shared" si="13"/>
        <v>10310.276834374925</v>
      </c>
      <c r="EM7" s="120">
        <f t="shared" si="13"/>
        <v>10990.75510544367</v>
      </c>
      <c r="EN7" s="120">
        <f t="shared" si="13"/>
        <v>11716.144942402952</v>
      </c>
      <c r="EO7" s="120">
        <f t="shared" si="13"/>
        <v>12489.410508601548</v>
      </c>
      <c r="EP7" s="120">
        <f t="shared" si="13"/>
        <v>13313.71160216925</v>
      </c>
      <c r="EQ7" s="120">
        <f t="shared" si="13"/>
        <v>14192.416567912422</v>
      </c>
      <c r="ER7" s="120">
        <f t="shared" si="13"/>
        <v>15129.116061394643</v>
      </c>
      <c r="ES7" s="120">
        <f t="shared" si="13"/>
        <v>16127.63772144669</v>
      </c>
      <c r="ET7" s="120">
        <f t="shared" si="13"/>
        <v>17192.061811062173</v>
      </c>
      <c r="EU7" s="120">
        <f t="shared" si="13"/>
        <v>18326.737890592278</v>
      </c>
      <c r="EV7" s="120">
        <f t="shared" si="13"/>
        <v>19536.302591371368</v>
      </c>
      <c r="EW7" s="120">
        <f t="shared" si="13"/>
        <v>20825.698562401878</v>
      </c>
      <c r="EX7" s="120">
        <f t="shared" si="13"/>
        <v>22200.1946675204</v>
      </c>
      <c r="EY7" s="120">
        <f t="shared" si="13"/>
        <v>23665.40751557675</v>
      </c>
      <c r="EZ7" s="120">
        <f t="shared" si="13"/>
        <v>25227.324411604815</v>
      </c>
      <c r="FA7" s="120">
        <f t="shared" si="13"/>
        <v>26892.327822770734</v>
      </c>
      <c r="FB7" s="120">
        <f t="shared" si="13"/>
        <v>28667.221459073604</v>
      </c>
    </row>
    <row r="8" spans="1:158" ht="15">
      <c r="A8" s="125">
        <f>'Page 4'!A14</f>
        <v>3</v>
      </c>
      <c r="B8" s="125" t="str">
        <f>'Page 4'!B14</f>
        <v>CH Energy Group</v>
      </c>
      <c r="C8" s="126">
        <f>'Page 4'!C14</f>
        <v>2.16</v>
      </c>
      <c r="D8" s="126">
        <f>'Page 4'!D14</f>
        <v>2.2</v>
      </c>
      <c r="E8" s="119">
        <f t="shared" si="8"/>
        <v>0.0061351227996142566</v>
      </c>
      <c r="F8" s="119"/>
      <c r="G8" s="119">
        <f>IRR(H8:FB8,0.12)</f>
        <v>0.10538287344584513</v>
      </c>
      <c r="H8" s="120">
        <f>-'Page 2'!C14</f>
        <v>-46.51166666666668</v>
      </c>
      <c r="I8" s="120">
        <f t="shared" si="9"/>
        <v>2.16</v>
      </c>
      <c r="J8" s="120">
        <f t="shared" si="3"/>
        <v>2.1733333333333333</v>
      </c>
      <c r="K8" s="120">
        <f t="shared" si="3"/>
        <v>2.1866666666666665</v>
      </c>
      <c r="L8" s="120">
        <f t="shared" si="10"/>
        <v>2.2</v>
      </c>
      <c r="M8" s="120">
        <f aca="true" t="shared" si="14" ref="M8:BX8">L8*(1+$M$3)</f>
        <v>2.3452</v>
      </c>
      <c r="N8" s="120">
        <f t="shared" si="14"/>
        <v>2.4999832000000004</v>
      </c>
      <c r="O8" s="120">
        <f t="shared" si="14"/>
        <v>2.6649820912000006</v>
      </c>
      <c r="P8" s="120">
        <f t="shared" si="14"/>
        <v>2.8408709092192006</v>
      </c>
      <c r="Q8" s="120">
        <f t="shared" si="14"/>
        <v>3.028368389227668</v>
      </c>
      <c r="R8" s="120">
        <f t="shared" si="14"/>
        <v>3.228240702916694</v>
      </c>
      <c r="S8" s="120">
        <f t="shared" si="14"/>
        <v>3.4413045893091962</v>
      </c>
      <c r="T8" s="120">
        <f t="shared" si="14"/>
        <v>3.668430692203603</v>
      </c>
      <c r="U8" s="120">
        <f t="shared" si="14"/>
        <v>3.9105471178890414</v>
      </c>
      <c r="V8" s="120">
        <f t="shared" si="14"/>
        <v>4.168643227669718</v>
      </c>
      <c r="W8" s="120">
        <f t="shared" si="14"/>
        <v>4.443773680695919</v>
      </c>
      <c r="X8" s="120">
        <f t="shared" si="14"/>
        <v>4.73706274362185</v>
      </c>
      <c r="Y8" s="120">
        <f t="shared" si="14"/>
        <v>5.049708884700893</v>
      </c>
      <c r="Z8" s="120">
        <f t="shared" si="14"/>
        <v>5.382989671091152</v>
      </c>
      <c r="AA8" s="120">
        <f t="shared" si="14"/>
        <v>5.738266989383168</v>
      </c>
      <c r="AB8" s="120">
        <f t="shared" si="14"/>
        <v>6.116992610682457</v>
      </c>
      <c r="AC8" s="120">
        <f t="shared" si="14"/>
        <v>6.5207141229875</v>
      </c>
      <c r="AD8" s="120">
        <f t="shared" si="14"/>
        <v>6.9510812551046754</v>
      </c>
      <c r="AE8" s="120">
        <f t="shared" si="14"/>
        <v>7.409852617941584</v>
      </c>
      <c r="AF8" s="120">
        <f t="shared" si="14"/>
        <v>7.898902890725729</v>
      </c>
      <c r="AG8" s="120">
        <f t="shared" si="14"/>
        <v>8.420230481513627</v>
      </c>
      <c r="AH8" s="120">
        <f t="shared" si="14"/>
        <v>8.975965693293528</v>
      </c>
      <c r="AI8" s="120">
        <f t="shared" si="14"/>
        <v>9.568379429050902</v>
      </c>
      <c r="AJ8" s="120">
        <f t="shared" si="14"/>
        <v>10.199892471368262</v>
      </c>
      <c r="AK8" s="120">
        <f t="shared" si="14"/>
        <v>10.873085374478569</v>
      </c>
      <c r="AL8" s="120">
        <f t="shared" si="14"/>
        <v>11.590709009194155</v>
      </c>
      <c r="AM8" s="120">
        <f t="shared" si="14"/>
        <v>12.35569580380097</v>
      </c>
      <c r="AN8" s="120">
        <f t="shared" si="14"/>
        <v>13.171171726851835</v>
      </c>
      <c r="AO8" s="120">
        <f t="shared" si="14"/>
        <v>14.040469060824057</v>
      </c>
      <c r="AP8" s="120">
        <f t="shared" si="14"/>
        <v>14.967140018838446</v>
      </c>
      <c r="AQ8" s="120">
        <f t="shared" si="14"/>
        <v>15.954971260081784</v>
      </c>
      <c r="AR8" s="120">
        <f t="shared" si="14"/>
        <v>17.007999363247183</v>
      </c>
      <c r="AS8" s="120">
        <f t="shared" si="14"/>
        <v>18.1305273212215</v>
      </c>
      <c r="AT8" s="120">
        <f t="shared" si="14"/>
        <v>19.32714212442212</v>
      </c>
      <c r="AU8" s="120">
        <f t="shared" si="14"/>
        <v>20.60273350463398</v>
      </c>
      <c r="AV8" s="120">
        <f t="shared" si="14"/>
        <v>21.962513915939827</v>
      </c>
      <c r="AW8" s="120">
        <f t="shared" si="14"/>
        <v>23.412039834391855</v>
      </c>
      <c r="AX8" s="120">
        <f t="shared" si="14"/>
        <v>24.95723446346172</v>
      </c>
      <c r="AY8" s="120">
        <f t="shared" si="14"/>
        <v>26.604411938050195</v>
      </c>
      <c r="AZ8" s="120">
        <f t="shared" si="14"/>
        <v>28.360303125961508</v>
      </c>
      <c r="BA8" s="120">
        <f t="shared" si="14"/>
        <v>30.23208313227497</v>
      </c>
      <c r="BB8" s="120">
        <f t="shared" si="14"/>
        <v>32.22740061900512</v>
      </c>
      <c r="BC8" s="120">
        <f t="shared" si="14"/>
        <v>34.35440905985946</v>
      </c>
      <c r="BD8" s="120">
        <f t="shared" si="14"/>
        <v>36.621800057810184</v>
      </c>
      <c r="BE8" s="120">
        <f t="shared" si="14"/>
        <v>39.038838861625656</v>
      </c>
      <c r="BF8" s="120">
        <f t="shared" si="14"/>
        <v>41.615402226492954</v>
      </c>
      <c r="BG8" s="120">
        <f t="shared" si="14"/>
        <v>44.36201877344149</v>
      </c>
      <c r="BH8" s="120">
        <f t="shared" si="14"/>
        <v>47.289912012488635</v>
      </c>
      <c r="BI8" s="120">
        <f t="shared" si="14"/>
        <v>50.411046205312886</v>
      </c>
      <c r="BJ8" s="120">
        <f t="shared" si="14"/>
        <v>53.73817525486354</v>
      </c>
      <c r="BK8" s="120">
        <f t="shared" si="14"/>
        <v>57.28489482168454</v>
      </c>
      <c r="BL8" s="120">
        <f t="shared" si="14"/>
        <v>61.065697879915724</v>
      </c>
      <c r="BM8" s="120">
        <f t="shared" si="14"/>
        <v>65.09603393999016</v>
      </c>
      <c r="BN8" s="120">
        <f t="shared" si="14"/>
        <v>69.39237218002953</v>
      </c>
      <c r="BO8" s="120">
        <f t="shared" si="14"/>
        <v>73.97226874391148</v>
      </c>
      <c r="BP8" s="120">
        <f t="shared" si="14"/>
        <v>78.85443848100965</v>
      </c>
      <c r="BQ8" s="120">
        <f t="shared" si="14"/>
        <v>84.05883142075629</v>
      </c>
      <c r="BR8" s="120">
        <f t="shared" si="14"/>
        <v>89.60671429452621</v>
      </c>
      <c r="BS8" s="120">
        <f t="shared" si="14"/>
        <v>95.52075743796495</v>
      </c>
      <c r="BT8" s="120">
        <f t="shared" si="14"/>
        <v>101.82512742887064</v>
      </c>
      <c r="BU8" s="120">
        <f t="shared" si="14"/>
        <v>108.54558583917611</v>
      </c>
      <c r="BV8" s="120">
        <f t="shared" si="14"/>
        <v>115.70959450456174</v>
      </c>
      <c r="BW8" s="120">
        <f t="shared" si="14"/>
        <v>123.34642774186281</v>
      </c>
      <c r="BX8" s="120">
        <f t="shared" si="14"/>
        <v>131.48729197282577</v>
      </c>
      <c r="BY8" s="120">
        <f aca="true" t="shared" si="15" ref="BY8:EJ8">BX8*(1+$M$3)</f>
        <v>140.1654532430323</v>
      </c>
      <c r="BZ8" s="120">
        <f t="shared" si="15"/>
        <v>149.41637315707243</v>
      </c>
      <c r="CA8" s="120">
        <f t="shared" si="15"/>
        <v>159.27785378543922</v>
      </c>
      <c r="CB8" s="120">
        <f t="shared" si="15"/>
        <v>169.7901921352782</v>
      </c>
      <c r="CC8" s="120">
        <f t="shared" si="15"/>
        <v>180.99634481620657</v>
      </c>
      <c r="CD8" s="120">
        <f t="shared" si="15"/>
        <v>192.9421035740762</v>
      </c>
      <c r="CE8" s="120">
        <f t="shared" si="15"/>
        <v>205.67628240996527</v>
      </c>
      <c r="CF8" s="120">
        <f t="shared" si="15"/>
        <v>219.25091704902297</v>
      </c>
      <c r="CG8" s="120">
        <f t="shared" si="15"/>
        <v>233.7214775742585</v>
      </c>
      <c r="CH8" s="120">
        <f t="shared" si="15"/>
        <v>249.14709509415957</v>
      </c>
      <c r="CI8" s="120">
        <f t="shared" si="15"/>
        <v>265.5908033703741</v>
      </c>
      <c r="CJ8" s="120">
        <f t="shared" si="15"/>
        <v>283.1197963928188</v>
      </c>
      <c r="CK8" s="120">
        <f t="shared" si="15"/>
        <v>301.80570295474485</v>
      </c>
      <c r="CL8" s="120">
        <f t="shared" si="15"/>
        <v>321.724879349758</v>
      </c>
      <c r="CM8" s="120">
        <f t="shared" si="15"/>
        <v>342.95872138684206</v>
      </c>
      <c r="CN8" s="120">
        <f t="shared" si="15"/>
        <v>365.59399699837365</v>
      </c>
      <c r="CO8" s="120">
        <f t="shared" si="15"/>
        <v>389.72320080026634</v>
      </c>
      <c r="CP8" s="120">
        <f t="shared" si="15"/>
        <v>415.44493205308396</v>
      </c>
      <c r="CQ8" s="120">
        <f t="shared" si="15"/>
        <v>442.8642975685875</v>
      </c>
      <c r="CR8" s="120">
        <f t="shared" si="15"/>
        <v>472.09334120811434</v>
      </c>
      <c r="CS8" s="120">
        <f t="shared" si="15"/>
        <v>503.2515017278499</v>
      </c>
      <c r="CT8" s="120">
        <f t="shared" si="15"/>
        <v>536.4661008418881</v>
      </c>
      <c r="CU8" s="120">
        <f t="shared" si="15"/>
        <v>571.8728634974527</v>
      </c>
      <c r="CV8" s="120">
        <f t="shared" si="15"/>
        <v>609.6164724882847</v>
      </c>
      <c r="CW8" s="120">
        <f t="shared" si="15"/>
        <v>649.8511596725115</v>
      </c>
      <c r="CX8" s="120">
        <f t="shared" si="15"/>
        <v>692.7413362108973</v>
      </c>
      <c r="CY8" s="120">
        <f t="shared" si="15"/>
        <v>738.4622644008166</v>
      </c>
      <c r="CZ8" s="120">
        <f t="shared" si="15"/>
        <v>787.2007738512706</v>
      </c>
      <c r="DA8" s="120">
        <f t="shared" si="15"/>
        <v>839.1560249254545</v>
      </c>
      <c r="DB8" s="120">
        <f t="shared" si="15"/>
        <v>894.5403225705346</v>
      </c>
      <c r="DC8" s="120">
        <f t="shared" si="15"/>
        <v>953.5799838601899</v>
      </c>
      <c r="DD8" s="120">
        <f t="shared" si="15"/>
        <v>1016.5162627949626</v>
      </c>
      <c r="DE8" s="120">
        <f t="shared" si="15"/>
        <v>1083.6063361394301</v>
      </c>
      <c r="DF8" s="120">
        <f t="shared" si="15"/>
        <v>1155.1243543246326</v>
      </c>
      <c r="DG8" s="120">
        <f t="shared" si="15"/>
        <v>1231.3625617100583</v>
      </c>
      <c r="DH8" s="120">
        <f t="shared" si="15"/>
        <v>1312.6324907829223</v>
      </c>
      <c r="DI8" s="120">
        <f t="shared" si="15"/>
        <v>1399.2662351745953</v>
      </c>
      <c r="DJ8" s="120">
        <f t="shared" si="15"/>
        <v>1491.6178066961186</v>
      </c>
      <c r="DK8" s="120">
        <f t="shared" si="15"/>
        <v>1590.0645819380625</v>
      </c>
      <c r="DL8" s="120">
        <f t="shared" si="15"/>
        <v>1695.0088443459747</v>
      </c>
      <c r="DM8" s="120">
        <f t="shared" si="15"/>
        <v>1806.879428072809</v>
      </c>
      <c r="DN8" s="120">
        <f t="shared" si="15"/>
        <v>1926.1334703256146</v>
      </c>
      <c r="DO8" s="120">
        <f t="shared" si="15"/>
        <v>2053.2582793671054</v>
      </c>
      <c r="DP8" s="120">
        <f t="shared" si="15"/>
        <v>2188.7733258053345</v>
      </c>
      <c r="DQ8" s="120">
        <f t="shared" si="15"/>
        <v>2333.232365308487</v>
      </c>
      <c r="DR8" s="120">
        <f t="shared" si="15"/>
        <v>2487.225701418847</v>
      </c>
      <c r="DS8" s="120">
        <f t="shared" si="15"/>
        <v>2651.382597712491</v>
      </c>
      <c r="DT8" s="120">
        <f t="shared" si="15"/>
        <v>2826.373849161516</v>
      </c>
      <c r="DU8" s="120">
        <f t="shared" si="15"/>
        <v>3012.914523206176</v>
      </c>
      <c r="DV8" s="120">
        <f t="shared" si="15"/>
        <v>3211.766881737784</v>
      </c>
      <c r="DW8" s="120">
        <f t="shared" si="15"/>
        <v>3423.743495932478</v>
      </c>
      <c r="DX8" s="120">
        <f t="shared" si="15"/>
        <v>3649.7105666640214</v>
      </c>
      <c r="DY8" s="120">
        <f t="shared" si="15"/>
        <v>3890.591464063847</v>
      </c>
      <c r="DZ8" s="120">
        <f t="shared" si="15"/>
        <v>4147.370500692061</v>
      </c>
      <c r="EA8" s="120">
        <f t="shared" si="15"/>
        <v>4421.096953737737</v>
      </c>
      <c r="EB8" s="120">
        <f t="shared" si="15"/>
        <v>4712.889352684428</v>
      </c>
      <c r="EC8" s="120">
        <f t="shared" si="15"/>
        <v>5023.9400499616</v>
      </c>
      <c r="ED8" s="120">
        <f t="shared" si="15"/>
        <v>5355.520093259066</v>
      </c>
      <c r="EE8" s="120">
        <f t="shared" si="15"/>
        <v>5708.984419414165</v>
      </c>
      <c r="EF8" s="120">
        <f t="shared" si="15"/>
        <v>6085.7773910955</v>
      </c>
      <c r="EG8" s="120">
        <f t="shared" si="15"/>
        <v>6487.438698907804</v>
      </c>
      <c r="EH8" s="120">
        <f t="shared" si="15"/>
        <v>6915.609653035719</v>
      </c>
      <c r="EI8" s="120">
        <f t="shared" si="15"/>
        <v>7372.039890136077</v>
      </c>
      <c r="EJ8" s="120">
        <f t="shared" si="15"/>
        <v>7858.594522885059</v>
      </c>
      <c r="EK8" s="120">
        <f aca="true" t="shared" si="16" ref="EK8:FB8">EJ8*(1+$M$3)</f>
        <v>8377.261761395474</v>
      </c>
      <c r="EL8" s="120">
        <f t="shared" si="16"/>
        <v>8930.161037647575</v>
      </c>
      <c r="EM8" s="120">
        <f t="shared" si="16"/>
        <v>9519.551666132314</v>
      </c>
      <c r="EN8" s="120">
        <f t="shared" si="16"/>
        <v>10147.842076097048</v>
      </c>
      <c r="EO8" s="120">
        <f t="shared" si="16"/>
        <v>10817.599653119454</v>
      </c>
      <c r="EP8" s="120">
        <f t="shared" si="16"/>
        <v>11531.56123022534</v>
      </c>
      <c r="EQ8" s="120">
        <f t="shared" si="16"/>
        <v>12292.644271420213</v>
      </c>
      <c r="ER8" s="120">
        <f t="shared" si="16"/>
        <v>13103.958793333948</v>
      </c>
      <c r="ES8" s="120">
        <f t="shared" si="16"/>
        <v>13968.820073693989</v>
      </c>
      <c r="ET8" s="120">
        <f t="shared" si="16"/>
        <v>14890.762198557793</v>
      </c>
      <c r="EU8" s="120">
        <f t="shared" si="16"/>
        <v>15873.55250366261</v>
      </c>
      <c r="EV8" s="120">
        <f t="shared" si="16"/>
        <v>16921.206968904342</v>
      </c>
      <c r="EW8" s="120">
        <f t="shared" si="16"/>
        <v>18038.00662885203</v>
      </c>
      <c r="EX8" s="120">
        <f t="shared" si="16"/>
        <v>19228.515066356264</v>
      </c>
      <c r="EY8" s="120">
        <f t="shared" si="16"/>
        <v>20497.597060735778</v>
      </c>
      <c r="EZ8" s="120">
        <f t="shared" si="16"/>
        <v>21850.43846674434</v>
      </c>
      <c r="FA8" s="120">
        <f t="shared" si="16"/>
        <v>23292.567405549467</v>
      </c>
      <c r="FB8" s="120">
        <f t="shared" si="16"/>
        <v>24829.876854315735</v>
      </c>
    </row>
    <row r="9" spans="1:158" ht="15">
      <c r="A9" s="125">
        <f>'Page 4'!A15</f>
        <v>4</v>
      </c>
      <c r="B9" s="125" t="str">
        <f>'Page 4'!B15</f>
        <v>Con. Edison</v>
      </c>
      <c r="C9" s="126">
        <f>'Page 4'!C15</f>
        <v>2.3</v>
      </c>
      <c r="D9" s="126">
        <f>'Page 4'!D15</f>
        <v>2.36</v>
      </c>
      <c r="E9" s="119">
        <f t="shared" si="8"/>
        <v>0.00862111496648077</v>
      </c>
      <c r="F9" s="119"/>
      <c r="G9" s="119">
        <f>IRR(H9:FB9,0.12)</f>
        <v>0.10889708118937119</v>
      </c>
      <c r="H9" s="120">
        <f>-'Page 2'!C15</f>
        <v>-45.901666666666664</v>
      </c>
      <c r="I9" s="120">
        <f t="shared" si="9"/>
        <v>2.3</v>
      </c>
      <c r="J9" s="120">
        <f t="shared" si="3"/>
        <v>2.32</v>
      </c>
      <c r="K9" s="120">
        <f t="shared" si="3"/>
        <v>2.34</v>
      </c>
      <c r="L9" s="120">
        <f t="shared" si="10"/>
        <v>2.36</v>
      </c>
      <c r="M9" s="120">
        <f aca="true" t="shared" si="17" ref="M9:BX9">L9*(1+$M$3)</f>
        <v>2.51576</v>
      </c>
      <c r="N9" s="120">
        <f t="shared" si="17"/>
        <v>2.6818001600000003</v>
      </c>
      <c r="O9" s="120">
        <f t="shared" si="17"/>
        <v>2.8587989705600005</v>
      </c>
      <c r="P9" s="120">
        <f t="shared" si="17"/>
        <v>3.0474797026169607</v>
      </c>
      <c r="Q9" s="120">
        <f t="shared" si="17"/>
        <v>3.2486133629896803</v>
      </c>
      <c r="R9" s="120">
        <f t="shared" si="17"/>
        <v>3.4630218449469994</v>
      </c>
      <c r="S9" s="120">
        <f t="shared" si="17"/>
        <v>3.6915812867135016</v>
      </c>
      <c r="T9" s="120">
        <f t="shared" si="17"/>
        <v>3.935225651636593</v>
      </c>
      <c r="U9" s="120">
        <f t="shared" si="17"/>
        <v>4.194950544644608</v>
      </c>
      <c r="V9" s="120">
        <f t="shared" si="17"/>
        <v>4.471817280591153</v>
      </c>
      <c r="W9" s="120">
        <f t="shared" si="17"/>
        <v>4.766957221110169</v>
      </c>
      <c r="X9" s="120">
        <f t="shared" si="17"/>
        <v>5.08157639770344</v>
      </c>
      <c r="Y9" s="120">
        <f t="shared" si="17"/>
        <v>5.416960439951867</v>
      </c>
      <c r="Z9" s="120">
        <f t="shared" si="17"/>
        <v>5.7744798289886905</v>
      </c>
      <c r="AA9" s="120">
        <f t="shared" si="17"/>
        <v>6.1555954977019445</v>
      </c>
      <c r="AB9" s="120">
        <f t="shared" si="17"/>
        <v>6.561864800550273</v>
      </c>
      <c r="AC9" s="120">
        <f t="shared" si="17"/>
        <v>6.994947877386592</v>
      </c>
      <c r="AD9" s="120">
        <f t="shared" si="17"/>
        <v>7.456614437294107</v>
      </c>
      <c r="AE9" s="120">
        <f t="shared" si="17"/>
        <v>7.948750990155518</v>
      </c>
      <c r="AF9" s="120">
        <f t="shared" si="17"/>
        <v>8.473368555505782</v>
      </c>
      <c r="AG9" s="120">
        <f t="shared" si="17"/>
        <v>9.032610880169164</v>
      </c>
      <c r="AH9" s="120">
        <f t="shared" si="17"/>
        <v>9.62876319826033</v>
      </c>
      <c r="AI9" s="120">
        <f t="shared" si="17"/>
        <v>10.264261569345512</v>
      </c>
      <c r="AJ9" s="120">
        <f t="shared" si="17"/>
        <v>10.941702832922317</v>
      </c>
      <c r="AK9" s="120">
        <f t="shared" si="17"/>
        <v>11.66385521989519</v>
      </c>
      <c r="AL9" s="120">
        <f t="shared" si="17"/>
        <v>12.433669664408272</v>
      </c>
      <c r="AM9" s="120">
        <f t="shared" si="17"/>
        <v>13.254291862259219</v>
      </c>
      <c r="AN9" s="120">
        <f t="shared" si="17"/>
        <v>14.129075125168328</v>
      </c>
      <c r="AO9" s="120">
        <f t="shared" si="17"/>
        <v>15.061594083429439</v>
      </c>
      <c r="AP9" s="120">
        <f t="shared" si="17"/>
        <v>16.055659292935783</v>
      </c>
      <c r="AQ9" s="120">
        <f t="shared" si="17"/>
        <v>17.115332806269546</v>
      </c>
      <c r="AR9" s="120">
        <f t="shared" si="17"/>
        <v>18.244944771483336</v>
      </c>
      <c r="AS9" s="120">
        <f t="shared" si="17"/>
        <v>19.449111126401238</v>
      </c>
      <c r="AT9" s="120">
        <f t="shared" si="17"/>
        <v>20.732752460743722</v>
      </c>
      <c r="AU9" s="120">
        <f t="shared" si="17"/>
        <v>22.101114123152808</v>
      </c>
      <c r="AV9" s="120">
        <f t="shared" si="17"/>
        <v>23.559787655280896</v>
      </c>
      <c r="AW9" s="120">
        <f t="shared" si="17"/>
        <v>25.114733640529437</v>
      </c>
      <c r="AX9" s="120">
        <f t="shared" si="17"/>
        <v>26.772306060804382</v>
      </c>
      <c r="AY9" s="120">
        <f t="shared" si="17"/>
        <v>28.539278260817472</v>
      </c>
      <c r="AZ9" s="120">
        <f t="shared" si="17"/>
        <v>30.422870626031425</v>
      </c>
      <c r="BA9" s="120">
        <f t="shared" si="17"/>
        <v>32.430780087349504</v>
      </c>
      <c r="BB9" s="120">
        <f t="shared" si="17"/>
        <v>34.571211573114574</v>
      </c>
      <c r="BC9" s="120">
        <f t="shared" si="17"/>
        <v>36.85291153694014</v>
      </c>
      <c r="BD9" s="120">
        <f t="shared" si="17"/>
        <v>39.28520369837819</v>
      </c>
      <c r="BE9" s="120">
        <f t="shared" si="17"/>
        <v>41.878027142471154</v>
      </c>
      <c r="BF9" s="120">
        <f t="shared" si="17"/>
        <v>44.641976933874254</v>
      </c>
      <c r="BG9" s="120">
        <f t="shared" si="17"/>
        <v>47.58834741150996</v>
      </c>
      <c r="BH9" s="120">
        <f t="shared" si="17"/>
        <v>50.72917834066962</v>
      </c>
      <c r="BI9" s="120">
        <f t="shared" si="17"/>
        <v>54.077304111153815</v>
      </c>
      <c r="BJ9" s="120">
        <f t="shared" si="17"/>
        <v>57.64640618248997</v>
      </c>
      <c r="BK9" s="120">
        <f t="shared" si="17"/>
        <v>61.45106899053431</v>
      </c>
      <c r="BL9" s="120">
        <f t="shared" si="17"/>
        <v>65.50683954390958</v>
      </c>
      <c r="BM9" s="120">
        <f t="shared" si="17"/>
        <v>69.83029095380762</v>
      </c>
      <c r="BN9" s="120">
        <f t="shared" si="17"/>
        <v>74.43909015675892</v>
      </c>
      <c r="BO9" s="120">
        <f t="shared" si="17"/>
        <v>79.35207010710502</v>
      </c>
      <c r="BP9" s="120">
        <f t="shared" si="17"/>
        <v>84.58930673417396</v>
      </c>
      <c r="BQ9" s="120">
        <f t="shared" si="17"/>
        <v>90.17220097862945</v>
      </c>
      <c r="BR9" s="120">
        <f t="shared" si="17"/>
        <v>96.123566243219</v>
      </c>
      <c r="BS9" s="120">
        <f t="shared" si="17"/>
        <v>102.46772161527146</v>
      </c>
      <c r="BT9" s="120">
        <f t="shared" si="17"/>
        <v>109.23059124187938</v>
      </c>
      <c r="BU9" s="120">
        <f t="shared" si="17"/>
        <v>116.43981026384343</v>
      </c>
      <c r="BV9" s="120">
        <f t="shared" si="17"/>
        <v>124.1248377412571</v>
      </c>
      <c r="BW9" s="120">
        <f t="shared" si="17"/>
        <v>132.31707703218007</v>
      </c>
      <c r="BX9" s="120">
        <f t="shared" si="17"/>
        <v>141.05000411630397</v>
      </c>
      <c r="BY9" s="120">
        <f aca="true" t="shared" si="18" ref="BY9:EJ9">BX9*(1+$M$3)</f>
        <v>150.35930438798005</v>
      </c>
      <c r="BZ9" s="120">
        <f t="shared" si="18"/>
        <v>160.28301847758675</v>
      </c>
      <c r="CA9" s="120">
        <f t="shared" si="18"/>
        <v>170.86169769710747</v>
      </c>
      <c r="CB9" s="120">
        <f t="shared" si="18"/>
        <v>182.13856974511657</v>
      </c>
      <c r="CC9" s="120">
        <f t="shared" si="18"/>
        <v>194.15971534829427</v>
      </c>
      <c r="CD9" s="120">
        <f t="shared" si="18"/>
        <v>206.9742565612817</v>
      </c>
      <c r="CE9" s="120">
        <f t="shared" si="18"/>
        <v>220.6345574943263</v>
      </c>
      <c r="CF9" s="120">
        <f t="shared" si="18"/>
        <v>235.19643828895184</v>
      </c>
      <c r="CG9" s="120">
        <f t="shared" si="18"/>
        <v>250.71940321602267</v>
      </c>
      <c r="CH9" s="120">
        <f t="shared" si="18"/>
        <v>267.2668838282802</v>
      </c>
      <c r="CI9" s="120">
        <f t="shared" si="18"/>
        <v>284.9064981609467</v>
      </c>
      <c r="CJ9" s="120">
        <f t="shared" si="18"/>
        <v>303.71032703956917</v>
      </c>
      <c r="CK9" s="120">
        <f t="shared" si="18"/>
        <v>323.75520862418074</v>
      </c>
      <c r="CL9" s="120">
        <f t="shared" si="18"/>
        <v>345.12305239337667</v>
      </c>
      <c r="CM9" s="120">
        <f t="shared" si="18"/>
        <v>367.90117385133954</v>
      </c>
      <c r="CN9" s="120">
        <f t="shared" si="18"/>
        <v>392.18265132552796</v>
      </c>
      <c r="CO9" s="120">
        <f t="shared" si="18"/>
        <v>418.06670631301284</v>
      </c>
      <c r="CP9" s="120">
        <f t="shared" si="18"/>
        <v>445.65910892967173</v>
      </c>
      <c r="CQ9" s="120">
        <f t="shared" si="18"/>
        <v>475.0726101190301</v>
      </c>
      <c r="CR9" s="120">
        <f t="shared" si="18"/>
        <v>506.4274023868861</v>
      </c>
      <c r="CS9" s="120">
        <f t="shared" si="18"/>
        <v>539.8516109444206</v>
      </c>
      <c r="CT9" s="120">
        <f t="shared" si="18"/>
        <v>575.4818172667524</v>
      </c>
      <c r="CU9" s="120">
        <f t="shared" si="18"/>
        <v>613.4636172063581</v>
      </c>
      <c r="CV9" s="120">
        <f t="shared" si="18"/>
        <v>653.9522159419778</v>
      </c>
      <c r="CW9" s="120">
        <f t="shared" si="18"/>
        <v>697.1130621941484</v>
      </c>
      <c r="CX9" s="120">
        <f t="shared" si="18"/>
        <v>743.1225242989622</v>
      </c>
      <c r="CY9" s="120">
        <f t="shared" si="18"/>
        <v>792.1686109026937</v>
      </c>
      <c r="CZ9" s="120">
        <f t="shared" si="18"/>
        <v>844.4517392222715</v>
      </c>
      <c r="DA9" s="120">
        <f t="shared" si="18"/>
        <v>900.1855540109415</v>
      </c>
      <c r="DB9" s="120">
        <f t="shared" si="18"/>
        <v>959.5978005756637</v>
      </c>
      <c r="DC9" s="120">
        <f t="shared" si="18"/>
        <v>1022.9312554136575</v>
      </c>
      <c r="DD9" s="120">
        <f t="shared" si="18"/>
        <v>1090.444718270959</v>
      </c>
      <c r="DE9" s="120">
        <f t="shared" si="18"/>
        <v>1162.4140696768422</v>
      </c>
      <c r="DF9" s="120">
        <f t="shared" si="18"/>
        <v>1239.1333982755139</v>
      </c>
      <c r="DG9" s="120">
        <f t="shared" si="18"/>
        <v>1320.916202561698</v>
      </c>
      <c r="DH9" s="120">
        <f t="shared" si="18"/>
        <v>1408.09667193077</v>
      </c>
      <c r="DI9" s="120">
        <f t="shared" si="18"/>
        <v>1501.031052278201</v>
      </c>
      <c r="DJ9" s="120">
        <f t="shared" si="18"/>
        <v>1600.0991017285623</v>
      </c>
      <c r="DK9" s="120">
        <f t="shared" si="18"/>
        <v>1705.7056424426476</v>
      </c>
      <c r="DL9" s="120">
        <f t="shared" si="18"/>
        <v>1818.2822148438624</v>
      </c>
      <c r="DM9" s="120">
        <f t="shared" si="18"/>
        <v>1938.2888410235576</v>
      </c>
      <c r="DN9" s="120">
        <f t="shared" si="18"/>
        <v>2066.2159045311123</v>
      </c>
      <c r="DO9" s="120">
        <f t="shared" si="18"/>
        <v>2202.586154230166</v>
      </c>
      <c r="DP9" s="120">
        <f t="shared" si="18"/>
        <v>2347.956840409357</v>
      </c>
      <c r="DQ9" s="120">
        <f t="shared" si="18"/>
        <v>2502.9219918763747</v>
      </c>
      <c r="DR9" s="120">
        <f t="shared" si="18"/>
        <v>2668.1148433402154</v>
      </c>
      <c r="DS9" s="120">
        <f t="shared" si="18"/>
        <v>2844.21042300067</v>
      </c>
      <c r="DT9" s="120">
        <f t="shared" si="18"/>
        <v>3031.928310918714</v>
      </c>
      <c r="DU9" s="120">
        <f t="shared" si="18"/>
        <v>3232.0355794393495</v>
      </c>
      <c r="DV9" s="120">
        <f t="shared" si="18"/>
        <v>3445.349927682347</v>
      </c>
      <c r="DW9" s="120">
        <f t="shared" si="18"/>
        <v>3672.743022909382</v>
      </c>
      <c r="DX9" s="120">
        <f t="shared" si="18"/>
        <v>3915.1440624214015</v>
      </c>
      <c r="DY9" s="120">
        <f t="shared" si="18"/>
        <v>4173.543570541215</v>
      </c>
      <c r="DZ9" s="120">
        <f t="shared" si="18"/>
        <v>4448.997446196935</v>
      </c>
      <c r="EA9" s="120">
        <f t="shared" si="18"/>
        <v>4742.631277645933</v>
      </c>
      <c r="EB9" s="120">
        <f t="shared" si="18"/>
        <v>5055.644941970564</v>
      </c>
      <c r="EC9" s="120">
        <f t="shared" si="18"/>
        <v>5389.317508140622</v>
      </c>
      <c r="ED9" s="120">
        <f t="shared" si="18"/>
        <v>5745.012463677903</v>
      </c>
      <c r="EE9" s="120">
        <f t="shared" si="18"/>
        <v>6124.183286280645</v>
      </c>
      <c r="EF9" s="120">
        <f t="shared" si="18"/>
        <v>6528.379383175168</v>
      </c>
      <c r="EG9" s="120">
        <f t="shared" si="18"/>
        <v>6959.2524224647295</v>
      </c>
      <c r="EH9" s="120">
        <f t="shared" si="18"/>
        <v>7418.563082347402</v>
      </c>
      <c r="EI9" s="120">
        <f t="shared" si="18"/>
        <v>7908.188245782331</v>
      </c>
      <c r="EJ9" s="120">
        <f t="shared" si="18"/>
        <v>8430.128670003965</v>
      </c>
      <c r="EK9" s="120">
        <f aca="true" t="shared" si="19" ref="EK9:FB9">EJ9*(1+$M$3)</f>
        <v>8986.517162224227</v>
      </c>
      <c r="EL9" s="120">
        <f t="shared" si="19"/>
        <v>9579.627294931026</v>
      </c>
      <c r="EM9" s="120">
        <f t="shared" si="19"/>
        <v>10211.882696396475</v>
      </c>
      <c r="EN9" s="120">
        <f t="shared" si="19"/>
        <v>10885.866954358642</v>
      </c>
      <c r="EO9" s="120">
        <f t="shared" si="19"/>
        <v>11604.334173346313</v>
      </c>
      <c r="EP9" s="120">
        <f t="shared" si="19"/>
        <v>12370.22022878717</v>
      </c>
      <c r="EQ9" s="120">
        <f t="shared" si="19"/>
        <v>13186.654763887123</v>
      </c>
      <c r="ER9" s="120">
        <f t="shared" si="19"/>
        <v>14056.973978303675</v>
      </c>
      <c r="ES9" s="120">
        <f t="shared" si="19"/>
        <v>14984.734260871719</v>
      </c>
      <c r="ET9" s="120">
        <f t="shared" si="19"/>
        <v>15973.726722089254</v>
      </c>
      <c r="EU9" s="120">
        <f t="shared" si="19"/>
        <v>17027.992685747144</v>
      </c>
      <c r="EV9" s="120">
        <f t="shared" si="19"/>
        <v>18151.840203006457</v>
      </c>
      <c r="EW9" s="120">
        <f t="shared" si="19"/>
        <v>19349.861656404886</v>
      </c>
      <c r="EX9" s="120">
        <f t="shared" si="19"/>
        <v>20626.95252572761</v>
      </c>
      <c r="EY9" s="120">
        <f t="shared" si="19"/>
        <v>21988.331392425633</v>
      </c>
      <c r="EZ9" s="120">
        <f t="shared" si="19"/>
        <v>23439.561264325726</v>
      </c>
      <c r="FA9" s="120">
        <f t="shared" si="19"/>
        <v>24986.572307771225</v>
      </c>
      <c r="FB9" s="120">
        <f t="shared" si="19"/>
        <v>26635.686080084128</v>
      </c>
    </row>
    <row r="10" spans="1:158" ht="15">
      <c r="A10" s="125">
        <f>'Page 4'!A16</f>
        <v>5</v>
      </c>
      <c r="B10" s="125" t="str">
        <f>'Page 4'!B16</f>
        <v>Empire District</v>
      </c>
      <c r="C10" s="126">
        <f>'Page 4'!C16</f>
        <v>1.28</v>
      </c>
      <c r="D10" s="126">
        <f>'Page 4'!D16</f>
        <v>1.28</v>
      </c>
      <c r="E10" s="119">
        <f t="shared" si="8"/>
        <v>0</v>
      </c>
      <c r="F10" s="119"/>
      <c r="G10" s="119">
        <f>IRR(H10:FB10,0.12)</f>
        <v>0.11754661508514196</v>
      </c>
      <c r="H10" s="120">
        <f>-'Page 2'!C16</f>
        <v>-20.861666666666665</v>
      </c>
      <c r="I10" s="120">
        <f t="shared" si="9"/>
        <v>1.28</v>
      </c>
      <c r="J10" s="120">
        <f t="shared" si="3"/>
        <v>1.28</v>
      </c>
      <c r="K10" s="120">
        <f t="shared" si="3"/>
        <v>1.28</v>
      </c>
      <c r="L10" s="120">
        <f t="shared" si="10"/>
        <v>1.28</v>
      </c>
      <c r="M10" s="120">
        <f aca="true" t="shared" si="20" ref="M10:BX10">L10*(1+$M$3)</f>
        <v>1.3644800000000001</v>
      </c>
      <c r="N10" s="120">
        <f t="shared" si="20"/>
        <v>1.4545356800000002</v>
      </c>
      <c r="O10" s="120">
        <f t="shared" si="20"/>
        <v>1.5505350348800002</v>
      </c>
      <c r="P10" s="120">
        <f t="shared" si="20"/>
        <v>1.6528703471820803</v>
      </c>
      <c r="Q10" s="120">
        <f t="shared" si="20"/>
        <v>1.7619597900960977</v>
      </c>
      <c r="R10" s="120">
        <f t="shared" si="20"/>
        <v>1.8782491362424403</v>
      </c>
      <c r="S10" s="120">
        <f t="shared" si="20"/>
        <v>2.0022135792344415</v>
      </c>
      <c r="T10" s="120">
        <f t="shared" si="20"/>
        <v>2.134359675463915</v>
      </c>
      <c r="U10" s="120">
        <f t="shared" si="20"/>
        <v>2.2752274140445334</v>
      </c>
      <c r="V10" s="120">
        <f t="shared" si="20"/>
        <v>2.425392423371473</v>
      </c>
      <c r="W10" s="120">
        <f t="shared" si="20"/>
        <v>2.5854683233139903</v>
      </c>
      <c r="X10" s="120">
        <f t="shared" si="20"/>
        <v>2.756109232652714</v>
      </c>
      <c r="Y10" s="120">
        <f t="shared" si="20"/>
        <v>2.938012442007793</v>
      </c>
      <c r="Z10" s="120">
        <f t="shared" si="20"/>
        <v>3.1319212631803075</v>
      </c>
      <c r="AA10" s="120">
        <f t="shared" si="20"/>
        <v>3.338628066550208</v>
      </c>
      <c r="AB10" s="120">
        <f t="shared" si="20"/>
        <v>3.558977518942522</v>
      </c>
      <c r="AC10" s="120">
        <f t="shared" si="20"/>
        <v>3.7938700351927284</v>
      </c>
      <c r="AD10" s="120">
        <f t="shared" si="20"/>
        <v>4.044265457515449</v>
      </c>
      <c r="AE10" s="120">
        <f t="shared" si="20"/>
        <v>4.311186977711468</v>
      </c>
      <c r="AF10" s="120">
        <f t="shared" si="20"/>
        <v>4.595725318240426</v>
      </c>
      <c r="AG10" s="120">
        <f t="shared" si="20"/>
        <v>4.899043189244294</v>
      </c>
      <c r="AH10" s="120">
        <f t="shared" si="20"/>
        <v>5.222380039734418</v>
      </c>
      <c r="AI10" s="120">
        <f t="shared" si="20"/>
        <v>5.56705712235689</v>
      </c>
      <c r="AJ10" s="120">
        <f t="shared" si="20"/>
        <v>5.934482892432445</v>
      </c>
      <c r="AK10" s="120">
        <f t="shared" si="20"/>
        <v>6.326158763332987</v>
      </c>
      <c r="AL10" s="120">
        <f t="shared" si="20"/>
        <v>6.743685241712965</v>
      </c>
      <c r="AM10" s="120">
        <f t="shared" si="20"/>
        <v>7.188768467666021</v>
      </c>
      <c r="AN10" s="120">
        <f t="shared" si="20"/>
        <v>7.663227186531979</v>
      </c>
      <c r="AO10" s="120">
        <f t="shared" si="20"/>
        <v>8.16900018084309</v>
      </c>
      <c r="AP10" s="120">
        <f t="shared" si="20"/>
        <v>8.708154192778736</v>
      </c>
      <c r="AQ10" s="120">
        <f t="shared" si="20"/>
        <v>9.282892369502132</v>
      </c>
      <c r="AR10" s="120">
        <f t="shared" si="20"/>
        <v>9.895563265889274</v>
      </c>
      <c r="AS10" s="120">
        <f t="shared" si="20"/>
        <v>10.548670441437967</v>
      </c>
      <c r="AT10" s="120">
        <f t="shared" si="20"/>
        <v>11.244882690572872</v>
      </c>
      <c r="AU10" s="120">
        <f t="shared" si="20"/>
        <v>11.987044948150682</v>
      </c>
      <c r="AV10" s="120">
        <f t="shared" si="20"/>
        <v>12.778189914728628</v>
      </c>
      <c r="AW10" s="120">
        <f t="shared" si="20"/>
        <v>13.621550449100718</v>
      </c>
      <c r="AX10" s="120">
        <f t="shared" si="20"/>
        <v>14.520572778741366</v>
      </c>
      <c r="AY10" s="120">
        <f t="shared" si="20"/>
        <v>15.478930582138297</v>
      </c>
      <c r="AZ10" s="120">
        <f t="shared" si="20"/>
        <v>16.500540000559425</v>
      </c>
      <c r="BA10" s="120">
        <f t="shared" si="20"/>
        <v>17.589575640596347</v>
      </c>
      <c r="BB10" s="120">
        <f t="shared" si="20"/>
        <v>18.750487632875707</v>
      </c>
      <c r="BC10" s="120">
        <f t="shared" si="20"/>
        <v>19.988019816645505</v>
      </c>
      <c r="BD10" s="120">
        <f t="shared" si="20"/>
        <v>21.307229124544108</v>
      </c>
      <c r="BE10" s="120">
        <f t="shared" si="20"/>
        <v>22.71350624676402</v>
      </c>
      <c r="BF10" s="120">
        <f t="shared" si="20"/>
        <v>24.212597659050445</v>
      </c>
      <c r="BG10" s="120">
        <f t="shared" si="20"/>
        <v>25.810629104547775</v>
      </c>
      <c r="BH10" s="120">
        <f t="shared" si="20"/>
        <v>27.51413062544793</v>
      </c>
      <c r="BI10" s="120">
        <f t="shared" si="20"/>
        <v>29.330063246727494</v>
      </c>
      <c r="BJ10" s="120">
        <f t="shared" si="20"/>
        <v>31.26584742101151</v>
      </c>
      <c r="BK10" s="120">
        <f t="shared" si="20"/>
        <v>33.32939335079827</v>
      </c>
      <c r="BL10" s="120">
        <f t="shared" si="20"/>
        <v>35.52913331195096</v>
      </c>
      <c r="BM10" s="120">
        <f t="shared" si="20"/>
        <v>37.87405611053972</v>
      </c>
      <c r="BN10" s="120">
        <f t="shared" si="20"/>
        <v>40.37374381383534</v>
      </c>
      <c r="BO10" s="120">
        <f t="shared" si="20"/>
        <v>43.038410905548474</v>
      </c>
      <c r="BP10" s="120">
        <f t="shared" si="20"/>
        <v>45.878946025314676</v>
      </c>
      <c r="BQ10" s="120">
        <f t="shared" si="20"/>
        <v>48.90695646298545</v>
      </c>
      <c r="BR10" s="120">
        <f t="shared" si="20"/>
        <v>52.13481558954249</v>
      </c>
      <c r="BS10" s="120">
        <f t="shared" si="20"/>
        <v>55.575713418452295</v>
      </c>
      <c r="BT10" s="120">
        <f t="shared" si="20"/>
        <v>59.24371050407015</v>
      </c>
      <c r="BU10" s="120">
        <f t="shared" si="20"/>
        <v>63.15379539733878</v>
      </c>
      <c r="BV10" s="120">
        <f t="shared" si="20"/>
        <v>67.32194589356314</v>
      </c>
      <c r="BW10" s="120">
        <f t="shared" si="20"/>
        <v>71.7651943225383</v>
      </c>
      <c r="BX10" s="120">
        <f t="shared" si="20"/>
        <v>76.50169714782584</v>
      </c>
      <c r="BY10" s="120">
        <f aca="true" t="shared" si="21" ref="BY10:EJ10">BX10*(1+$M$3)</f>
        <v>81.55080915958234</v>
      </c>
      <c r="BZ10" s="120">
        <f t="shared" si="21"/>
        <v>86.93316256411478</v>
      </c>
      <c r="CA10" s="120">
        <f t="shared" si="21"/>
        <v>92.67075129334636</v>
      </c>
      <c r="CB10" s="120">
        <f t="shared" si="21"/>
        <v>98.78702087870722</v>
      </c>
      <c r="CC10" s="120">
        <f t="shared" si="21"/>
        <v>105.3069642567019</v>
      </c>
      <c r="CD10" s="120">
        <f t="shared" si="21"/>
        <v>112.25722389764424</v>
      </c>
      <c r="CE10" s="120">
        <f t="shared" si="21"/>
        <v>119.66620067488877</v>
      </c>
      <c r="CF10" s="120">
        <f t="shared" si="21"/>
        <v>127.56416991943144</v>
      </c>
      <c r="CG10" s="120">
        <f t="shared" si="21"/>
        <v>135.98340513411392</v>
      </c>
      <c r="CH10" s="120">
        <f t="shared" si="21"/>
        <v>144.95830987296546</v>
      </c>
      <c r="CI10" s="120">
        <f t="shared" si="21"/>
        <v>154.5255583245812</v>
      </c>
      <c r="CJ10" s="120">
        <f t="shared" si="21"/>
        <v>164.72424517400356</v>
      </c>
      <c r="CK10" s="120">
        <f t="shared" si="21"/>
        <v>175.5960453554878</v>
      </c>
      <c r="CL10" s="120">
        <f t="shared" si="21"/>
        <v>187.18538434895</v>
      </c>
      <c r="CM10" s="120">
        <f t="shared" si="21"/>
        <v>199.53961971598073</v>
      </c>
      <c r="CN10" s="120">
        <f t="shared" si="21"/>
        <v>212.70923461723547</v>
      </c>
      <c r="CO10" s="120">
        <f t="shared" si="21"/>
        <v>226.74804410197302</v>
      </c>
      <c r="CP10" s="120">
        <f t="shared" si="21"/>
        <v>241.71341501270325</v>
      </c>
      <c r="CQ10" s="120">
        <f t="shared" si="21"/>
        <v>257.6665004035417</v>
      </c>
      <c r="CR10" s="120">
        <f t="shared" si="21"/>
        <v>274.67248943017546</v>
      </c>
      <c r="CS10" s="120">
        <f t="shared" si="21"/>
        <v>292.8008737325671</v>
      </c>
      <c r="CT10" s="120">
        <f t="shared" si="21"/>
        <v>312.1257313989165</v>
      </c>
      <c r="CU10" s="120">
        <f t="shared" si="21"/>
        <v>332.72602967124504</v>
      </c>
      <c r="CV10" s="120">
        <f t="shared" si="21"/>
        <v>354.68594762954723</v>
      </c>
      <c r="CW10" s="120">
        <f t="shared" si="21"/>
        <v>378.09522017309735</v>
      </c>
      <c r="CX10" s="120">
        <f t="shared" si="21"/>
        <v>403.0495047045218</v>
      </c>
      <c r="CY10" s="120">
        <f t="shared" si="21"/>
        <v>429.65077201502027</v>
      </c>
      <c r="CZ10" s="120">
        <f t="shared" si="21"/>
        <v>458.00772296801165</v>
      </c>
      <c r="DA10" s="120">
        <f t="shared" si="21"/>
        <v>488.2362326839004</v>
      </c>
      <c r="DB10" s="120">
        <f t="shared" si="21"/>
        <v>520.4598240410379</v>
      </c>
      <c r="DC10" s="120">
        <f t="shared" si="21"/>
        <v>554.8101724277465</v>
      </c>
      <c r="DD10" s="120">
        <f t="shared" si="21"/>
        <v>591.4276438079778</v>
      </c>
      <c r="DE10" s="120">
        <f t="shared" si="21"/>
        <v>630.4618682993043</v>
      </c>
      <c r="DF10" s="120">
        <f t="shared" si="21"/>
        <v>672.0723516070585</v>
      </c>
      <c r="DG10" s="120">
        <f t="shared" si="21"/>
        <v>716.4291268131244</v>
      </c>
      <c r="DH10" s="120">
        <f t="shared" si="21"/>
        <v>763.7134491827907</v>
      </c>
      <c r="DI10" s="120">
        <f t="shared" si="21"/>
        <v>814.1185368288549</v>
      </c>
      <c r="DJ10" s="120">
        <f t="shared" si="21"/>
        <v>867.8503602595594</v>
      </c>
      <c r="DK10" s="120">
        <f t="shared" si="21"/>
        <v>925.1284840366903</v>
      </c>
      <c r="DL10" s="120">
        <f t="shared" si="21"/>
        <v>986.1869639831119</v>
      </c>
      <c r="DM10" s="120">
        <f t="shared" si="21"/>
        <v>1051.2753036059974</v>
      </c>
      <c r="DN10" s="120">
        <f t="shared" si="21"/>
        <v>1120.6594736439934</v>
      </c>
      <c r="DO10" s="120">
        <f t="shared" si="21"/>
        <v>1194.622998904497</v>
      </c>
      <c r="DP10" s="120">
        <f t="shared" si="21"/>
        <v>1273.468116832194</v>
      </c>
      <c r="DQ10" s="120">
        <f t="shared" si="21"/>
        <v>1357.5170125431189</v>
      </c>
      <c r="DR10" s="120">
        <f t="shared" si="21"/>
        <v>1447.1131353709648</v>
      </c>
      <c r="DS10" s="120">
        <f t="shared" si="21"/>
        <v>1542.6226023054485</v>
      </c>
      <c r="DT10" s="120">
        <f t="shared" si="21"/>
        <v>1644.435694057608</v>
      </c>
      <c r="DU10" s="120">
        <f t="shared" si="21"/>
        <v>1752.9684498654103</v>
      </c>
      <c r="DV10" s="120">
        <f t="shared" si="21"/>
        <v>1868.6643675565274</v>
      </c>
      <c r="DW10" s="120">
        <f t="shared" si="21"/>
        <v>1991.9962158152582</v>
      </c>
      <c r="DX10" s="120">
        <f t="shared" si="21"/>
        <v>2123.4679660590655</v>
      </c>
      <c r="DY10" s="120">
        <f t="shared" si="21"/>
        <v>2263.616851818964</v>
      </c>
      <c r="DZ10" s="120">
        <f t="shared" si="21"/>
        <v>2413.0155640390158</v>
      </c>
      <c r="EA10" s="120">
        <f t="shared" si="21"/>
        <v>2572.274591265591</v>
      </c>
      <c r="EB10" s="120">
        <f t="shared" si="21"/>
        <v>2742.0447142891203</v>
      </c>
      <c r="EC10" s="120">
        <f t="shared" si="21"/>
        <v>2923.0196654322026</v>
      </c>
      <c r="ED10" s="120">
        <f t="shared" si="21"/>
        <v>3115.938963350728</v>
      </c>
      <c r="EE10" s="120">
        <f t="shared" si="21"/>
        <v>3321.5909349318763</v>
      </c>
      <c r="EF10" s="120">
        <f t="shared" si="21"/>
        <v>3540.81593663738</v>
      </c>
      <c r="EG10" s="120">
        <f t="shared" si="21"/>
        <v>3774.5097884554475</v>
      </c>
      <c r="EH10" s="120">
        <f t="shared" si="21"/>
        <v>4023.6274344935073</v>
      </c>
      <c r="EI10" s="120">
        <f t="shared" si="21"/>
        <v>4289.186845170079</v>
      </c>
      <c r="EJ10" s="120">
        <f t="shared" si="21"/>
        <v>4572.273176951305</v>
      </c>
      <c r="EK10" s="120">
        <f aca="true" t="shared" si="22" ref="EK10:FB10">EJ10*(1+$M$3)</f>
        <v>4874.043206630091</v>
      </c>
      <c r="EL10" s="120">
        <f t="shared" si="22"/>
        <v>5195.730058267677</v>
      </c>
      <c r="EM10" s="120">
        <f t="shared" si="22"/>
        <v>5538.648242113344</v>
      </c>
      <c r="EN10" s="120">
        <f t="shared" si="22"/>
        <v>5904.199026092825</v>
      </c>
      <c r="EO10" s="120">
        <f t="shared" si="22"/>
        <v>6293.876161814952</v>
      </c>
      <c r="EP10" s="120">
        <f t="shared" si="22"/>
        <v>6709.271988494739</v>
      </c>
      <c r="EQ10" s="120">
        <f t="shared" si="22"/>
        <v>7152.083939735392</v>
      </c>
      <c r="ER10" s="120">
        <f t="shared" si="22"/>
        <v>7624.121479757929</v>
      </c>
      <c r="ES10" s="120">
        <f t="shared" si="22"/>
        <v>8127.313497421952</v>
      </c>
      <c r="ET10" s="120">
        <f t="shared" si="22"/>
        <v>8663.716188251801</v>
      </c>
      <c r="EU10" s="120">
        <f t="shared" si="22"/>
        <v>9235.52145667642</v>
      </c>
      <c r="EV10" s="120">
        <f t="shared" si="22"/>
        <v>9845.065872817066</v>
      </c>
      <c r="EW10" s="120">
        <f t="shared" si="22"/>
        <v>10494.840220422993</v>
      </c>
      <c r="EX10" s="120">
        <f t="shared" si="22"/>
        <v>11187.499674970912</v>
      </c>
      <c r="EY10" s="120">
        <f t="shared" si="22"/>
        <v>11925.874653518993</v>
      </c>
      <c r="EZ10" s="120">
        <f t="shared" si="22"/>
        <v>12712.982380651247</v>
      </c>
      <c r="FA10" s="120">
        <f t="shared" si="22"/>
        <v>13552.03921777423</v>
      </c>
      <c r="FB10" s="120">
        <f t="shared" si="22"/>
        <v>14446.47380614733</v>
      </c>
    </row>
    <row r="11" spans="1:158" ht="15">
      <c r="A11" s="125">
        <f>'Page 4'!A17</f>
        <v>6</v>
      </c>
      <c r="B11" s="125" t="str">
        <f>'Page 4'!B17</f>
        <v>Energy East Corp.</v>
      </c>
      <c r="C11" s="126">
        <f>'Page 4'!C17</f>
        <v>1.18</v>
      </c>
      <c r="D11" s="126">
        <f>'Page 4'!D17</f>
        <v>1.35</v>
      </c>
      <c r="E11" s="119">
        <f t="shared" si="8"/>
        <v>0.04588496621542104</v>
      </c>
      <c r="F11" s="119"/>
      <c r="G11" s="119">
        <f>IRR(H11:FB11,0.12)</f>
        <v>0.11327778456306777</v>
      </c>
      <c r="H11" s="120">
        <f>-'Page 2'!C17</f>
        <v>-23.655</v>
      </c>
      <c r="I11" s="120">
        <f t="shared" si="9"/>
        <v>1.18</v>
      </c>
      <c r="J11" s="120">
        <f t="shared" si="3"/>
        <v>1.2366666666666666</v>
      </c>
      <c r="K11" s="120">
        <f t="shared" si="3"/>
        <v>1.2933333333333332</v>
      </c>
      <c r="L11" s="120">
        <f t="shared" si="10"/>
        <v>1.35</v>
      </c>
      <c r="M11" s="120">
        <f aca="true" t="shared" si="23" ref="M11:BX11">L11*(1+$M$3)</f>
        <v>1.4391000000000003</v>
      </c>
      <c r="N11" s="120">
        <f t="shared" si="23"/>
        <v>1.5340806000000005</v>
      </c>
      <c r="O11" s="120">
        <f t="shared" si="23"/>
        <v>1.6353299196000006</v>
      </c>
      <c r="P11" s="120">
        <f t="shared" si="23"/>
        <v>1.7432616942936008</v>
      </c>
      <c r="Q11" s="120">
        <f t="shared" si="23"/>
        <v>1.8583169661169785</v>
      </c>
      <c r="R11" s="120">
        <f t="shared" si="23"/>
        <v>1.980965885880699</v>
      </c>
      <c r="S11" s="120">
        <f t="shared" si="23"/>
        <v>2.1117096343488253</v>
      </c>
      <c r="T11" s="120">
        <f t="shared" si="23"/>
        <v>2.251082470215848</v>
      </c>
      <c r="U11" s="120">
        <f t="shared" si="23"/>
        <v>2.399653913250094</v>
      </c>
      <c r="V11" s="120">
        <f t="shared" si="23"/>
        <v>2.5580310715246</v>
      </c>
      <c r="W11" s="120">
        <f t="shared" si="23"/>
        <v>2.726861122245224</v>
      </c>
      <c r="X11" s="120">
        <f t="shared" si="23"/>
        <v>2.906833956313409</v>
      </c>
      <c r="Y11" s="120">
        <f t="shared" si="23"/>
        <v>3.0986849974300945</v>
      </c>
      <c r="Z11" s="120">
        <f t="shared" si="23"/>
        <v>3.303198207260481</v>
      </c>
      <c r="AA11" s="120">
        <f t="shared" si="23"/>
        <v>3.521209288939673</v>
      </c>
      <c r="AB11" s="120">
        <f t="shared" si="23"/>
        <v>3.7536091020096913</v>
      </c>
      <c r="AC11" s="120">
        <f t="shared" si="23"/>
        <v>4.001347302742331</v>
      </c>
      <c r="AD11" s="120">
        <f t="shared" si="23"/>
        <v>4.265436224723325</v>
      </c>
      <c r="AE11" s="120">
        <f t="shared" si="23"/>
        <v>4.546955015555064</v>
      </c>
      <c r="AF11" s="120">
        <f t="shared" si="23"/>
        <v>4.847054046581699</v>
      </c>
      <c r="AG11" s="120">
        <f t="shared" si="23"/>
        <v>5.166959613656092</v>
      </c>
      <c r="AH11" s="120">
        <f t="shared" si="23"/>
        <v>5.507978948157394</v>
      </c>
      <c r="AI11" s="120">
        <f t="shared" si="23"/>
        <v>5.871505558735782</v>
      </c>
      <c r="AJ11" s="120">
        <f t="shared" si="23"/>
        <v>6.259024925612344</v>
      </c>
      <c r="AK11" s="120">
        <f t="shared" si="23"/>
        <v>6.672120570702759</v>
      </c>
      <c r="AL11" s="120">
        <f t="shared" si="23"/>
        <v>7.112480528369142</v>
      </c>
      <c r="AM11" s="120">
        <f t="shared" si="23"/>
        <v>7.581904243241506</v>
      </c>
      <c r="AN11" s="120">
        <f t="shared" si="23"/>
        <v>8.082309923295446</v>
      </c>
      <c r="AO11" s="120">
        <f t="shared" si="23"/>
        <v>8.615742378232946</v>
      </c>
      <c r="AP11" s="120">
        <f t="shared" si="23"/>
        <v>9.184381375196322</v>
      </c>
      <c r="AQ11" s="120">
        <f t="shared" si="23"/>
        <v>9.79055054595928</v>
      </c>
      <c r="AR11" s="120">
        <f t="shared" si="23"/>
        <v>10.436726881992593</v>
      </c>
      <c r="AS11" s="120">
        <f t="shared" si="23"/>
        <v>11.125550856204105</v>
      </c>
      <c r="AT11" s="120">
        <f t="shared" si="23"/>
        <v>11.859837212713577</v>
      </c>
      <c r="AU11" s="120">
        <f t="shared" si="23"/>
        <v>12.642586468752674</v>
      </c>
      <c r="AV11" s="120">
        <f t="shared" si="23"/>
        <v>13.47699717569035</v>
      </c>
      <c r="AW11" s="120">
        <f t="shared" si="23"/>
        <v>14.366478989285914</v>
      </c>
      <c r="AX11" s="120">
        <f t="shared" si="23"/>
        <v>15.314666602578786</v>
      </c>
      <c r="AY11" s="120">
        <f t="shared" si="23"/>
        <v>16.325434598348988</v>
      </c>
      <c r="AZ11" s="120">
        <f t="shared" si="23"/>
        <v>17.40291328184002</v>
      </c>
      <c r="BA11" s="120">
        <f t="shared" si="23"/>
        <v>18.551505558441463</v>
      </c>
      <c r="BB11" s="120">
        <f t="shared" si="23"/>
        <v>19.7759049252986</v>
      </c>
      <c r="BC11" s="120">
        <f t="shared" si="23"/>
        <v>21.08111465036831</v>
      </c>
      <c r="BD11" s="120">
        <f t="shared" si="23"/>
        <v>22.47246821729262</v>
      </c>
      <c r="BE11" s="120">
        <f t="shared" si="23"/>
        <v>23.955651119633934</v>
      </c>
      <c r="BF11" s="120">
        <f t="shared" si="23"/>
        <v>25.536724093529774</v>
      </c>
      <c r="BG11" s="120">
        <f t="shared" si="23"/>
        <v>27.22214788370274</v>
      </c>
      <c r="BH11" s="120">
        <f t="shared" si="23"/>
        <v>29.018809644027122</v>
      </c>
      <c r="BI11" s="120">
        <f t="shared" si="23"/>
        <v>30.934051080532914</v>
      </c>
      <c r="BJ11" s="120">
        <f t="shared" si="23"/>
        <v>32.97569845184809</v>
      </c>
      <c r="BK11" s="120">
        <f t="shared" si="23"/>
        <v>35.15209454967007</v>
      </c>
      <c r="BL11" s="120">
        <f t="shared" si="23"/>
        <v>37.4721327899483</v>
      </c>
      <c r="BM11" s="120">
        <f t="shared" si="23"/>
        <v>39.945293554084884</v>
      </c>
      <c r="BN11" s="120">
        <f t="shared" si="23"/>
        <v>42.58168292865449</v>
      </c>
      <c r="BO11" s="120">
        <f t="shared" si="23"/>
        <v>45.39207400194569</v>
      </c>
      <c r="BP11" s="120">
        <f t="shared" si="23"/>
        <v>48.38795088607411</v>
      </c>
      <c r="BQ11" s="120">
        <f t="shared" si="23"/>
        <v>51.581555644555</v>
      </c>
      <c r="BR11" s="120">
        <f t="shared" si="23"/>
        <v>54.98593831709564</v>
      </c>
      <c r="BS11" s="120">
        <f t="shared" si="23"/>
        <v>58.61501024602395</v>
      </c>
      <c r="BT11" s="120">
        <f t="shared" si="23"/>
        <v>62.48360092226153</v>
      </c>
      <c r="BU11" s="120">
        <f t="shared" si="23"/>
        <v>66.6075185831308</v>
      </c>
      <c r="BV11" s="120">
        <f t="shared" si="23"/>
        <v>71.00361480961743</v>
      </c>
      <c r="BW11" s="120">
        <f t="shared" si="23"/>
        <v>75.68985338705218</v>
      </c>
      <c r="BX11" s="120">
        <f t="shared" si="23"/>
        <v>80.68538371059763</v>
      </c>
      <c r="BY11" s="120">
        <f aca="true" t="shared" si="24" ref="BY11:EJ11">BX11*(1+$M$3)</f>
        <v>86.01061903549709</v>
      </c>
      <c r="BZ11" s="120">
        <f t="shared" si="24"/>
        <v>91.6873198918399</v>
      </c>
      <c r="CA11" s="120">
        <f t="shared" si="24"/>
        <v>97.73868300470134</v>
      </c>
      <c r="CB11" s="120">
        <f t="shared" si="24"/>
        <v>104.18943608301164</v>
      </c>
      <c r="CC11" s="120">
        <f t="shared" si="24"/>
        <v>111.06593886449042</v>
      </c>
      <c r="CD11" s="120">
        <f t="shared" si="24"/>
        <v>118.3962908295468</v>
      </c>
      <c r="CE11" s="120">
        <f t="shared" si="24"/>
        <v>126.2104460242969</v>
      </c>
      <c r="CF11" s="120">
        <f t="shared" si="24"/>
        <v>134.5403354619005</v>
      </c>
      <c r="CG11" s="120">
        <f t="shared" si="24"/>
        <v>143.41999760238593</v>
      </c>
      <c r="CH11" s="120">
        <f t="shared" si="24"/>
        <v>152.8857174441434</v>
      </c>
      <c r="CI11" s="120">
        <f t="shared" si="24"/>
        <v>162.97617479545687</v>
      </c>
      <c r="CJ11" s="120">
        <f t="shared" si="24"/>
        <v>173.73260233195703</v>
      </c>
      <c r="CK11" s="120">
        <f t="shared" si="24"/>
        <v>185.1989540858662</v>
      </c>
      <c r="CL11" s="120">
        <f t="shared" si="24"/>
        <v>197.4220850555334</v>
      </c>
      <c r="CM11" s="120">
        <f t="shared" si="24"/>
        <v>210.45194266919862</v>
      </c>
      <c r="CN11" s="120">
        <f t="shared" si="24"/>
        <v>224.34177088536575</v>
      </c>
      <c r="CO11" s="120">
        <f t="shared" si="24"/>
        <v>239.1483277637999</v>
      </c>
      <c r="CP11" s="120">
        <f t="shared" si="24"/>
        <v>254.9321173962107</v>
      </c>
      <c r="CQ11" s="120">
        <f t="shared" si="24"/>
        <v>271.7576371443606</v>
      </c>
      <c r="CR11" s="120">
        <f t="shared" si="24"/>
        <v>289.6936411958884</v>
      </c>
      <c r="CS11" s="120">
        <f t="shared" si="24"/>
        <v>308.81342151481704</v>
      </c>
      <c r="CT11" s="120">
        <f t="shared" si="24"/>
        <v>329.19510733479495</v>
      </c>
      <c r="CU11" s="120">
        <f t="shared" si="24"/>
        <v>350.92198441889144</v>
      </c>
      <c r="CV11" s="120">
        <f t="shared" si="24"/>
        <v>374.0828353905383</v>
      </c>
      <c r="CW11" s="120">
        <f t="shared" si="24"/>
        <v>398.77230252631387</v>
      </c>
      <c r="CX11" s="120">
        <f t="shared" si="24"/>
        <v>425.0912744930506</v>
      </c>
      <c r="CY11" s="120">
        <f t="shared" si="24"/>
        <v>453.147298609592</v>
      </c>
      <c r="CZ11" s="120">
        <f t="shared" si="24"/>
        <v>483.0550203178251</v>
      </c>
      <c r="DA11" s="120">
        <f t="shared" si="24"/>
        <v>514.9366516588016</v>
      </c>
      <c r="DB11" s="120">
        <f t="shared" si="24"/>
        <v>548.9224706682825</v>
      </c>
      <c r="DC11" s="120">
        <f t="shared" si="24"/>
        <v>585.1513537323891</v>
      </c>
      <c r="DD11" s="120">
        <f t="shared" si="24"/>
        <v>623.7713430787268</v>
      </c>
      <c r="DE11" s="120">
        <f t="shared" si="24"/>
        <v>664.9402517219228</v>
      </c>
      <c r="DF11" s="120">
        <f t="shared" si="24"/>
        <v>708.8263083355697</v>
      </c>
      <c r="DG11" s="120">
        <f t="shared" si="24"/>
        <v>755.6088446857174</v>
      </c>
      <c r="DH11" s="120">
        <f t="shared" si="24"/>
        <v>805.4790284349748</v>
      </c>
      <c r="DI11" s="120">
        <f t="shared" si="24"/>
        <v>858.6406443116832</v>
      </c>
      <c r="DJ11" s="120">
        <f t="shared" si="24"/>
        <v>915.3109268362543</v>
      </c>
      <c r="DK11" s="120">
        <f t="shared" si="24"/>
        <v>975.7214480074472</v>
      </c>
      <c r="DL11" s="120">
        <f t="shared" si="24"/>
        <v>1040.1190635759388</v>
      </c>
      <c r="DM11" s="120">
        <f t="shared" si="24"/>
        <v>1108.7669217719508</v>
      </c>
      <c r="DN11" s="120">
        <f t="shared" si="24"/>
        <v>1181.9455386088996</v>
      </c>
      <c r="DO11" s="120">
        <f t="shared" si="24"/>
        <v>1259.953944157087</v>
      </c>
      <c r="DP11" s="120">
        <f t="shared" si="24"/>
        <v>1343.110904471455</v>
      </c>
      <c r="DQ11" s="120">
        <f t="shared" si="24"/>
        <v>1431.756224166571</v>
      </c>
      <c r="DR11" s="120">
        <f t="shared" si="24"/>
        <v>1526.2521349615647</v>
      </c>
      <c r="DS11" s="120">
        <f t="shared" si="24"/>
        <v>1626.984775869028</v>
      </c>
      <c r="DT11" s="120">
        <f t="shared" si="24"/>
        <v>1734.365771076384</v>
      </c>
      <c r="DU11" s="120">
        <f t="shared" si="24"/>
        <v>1848.8339119674254</v>
      </c>
      <c r="DV11" s="120">
        <f t="shared" si="24"/>
        <v>1970.8569501572756</v>
      </c>
      <c r="DW11" s="120">
        <f t="shared" si="24"/>
        <v>2100.9335088676557</v>
      </c>
      <c r="DX11" s="120">
        <f t="shared" si="24"/>
        <v>2239.595120452921</v>
      </c>
      <c r="DY11" s="120">
        <f t="shared" si="24"/>
        <v>2387.408398402814</v>
      </c>
      <c r="DZ11" s="120">
        <f t="shared" si="24"/>
        <v>2544.9773526973995</v>
      </c>
      <c r="EA11" s="120">
        <f t="shared" si="24"/>
        <v>2712.945857975428</v>
      </c>
      <c r="EB11" s="120">
        <f t="shared" si="24"/>
        <v>2892.0002846018065</v>
      </c>
      <c r="EC11" s="120">
        <f t="shared" si="24"/>
        <v>3082.872303385526</v>
      </c>
      <c r="ED11" s="120">
        <f t="shared" si="24"/>
        <v>3286.3418754089707</v>
      </c>
      <c r="EE11" s="120">
        <f t="shared" si="24"/>
        <v>3503.240439185963</v>
      </c>
      <c r="EF11" s="120">
        <f t="shared" si="24"/>
        <v>3734.454308172237</v>
      </c>
      <c r="EG11" s="120">
        <f t="shared" si="24"/>
        <v>3980.9282925116045</v>
      </c>
      <c r="EH11" s="120">
        <f t="shared" si="24"/>
        <v>4243.669559817371</v>
      </c>
      <c r="EI11" s="120">
        <f t="shared" si="24"/>
        <v>4523.751750765317</v>
      </c>
      <c r="EJ11" s="120">
        <f t="shared" si="24"/>
        <v>4822.319366315829</v>
      </c>
      <c r="EK11" s="120">
        <f aca="true" t="shared" si="25" ref="EK11:FB11">EJ11*(1+$M$3)</f>
        <v>5140.592444492674</v>
      </c>
      <c r="EL11" s="120">
        <f t="shared" si="25"/>
        <v>5479.871545829191</v>
      </c>
      <c r="EM11" s="120">
        <f t="shared" si="25"/>
        <v>5841.543067853918</v>
      </c>
      <c r="EN11" s="120">
        <f t="shared" si="25"/>
        <v>6227.084910332277</v>
      </c>
      <c r="EO11" s="120">
        <f t="shared" si="25"/>
        <v>6638.072514414208</v>
      </c>
      <c r="EP11" s="120">
        <f t="shared" si="25"/>
        <v>7076.185300365546</v>
      </c>
      <c r="EQ11" s="120">
        <f t="shared" si="25"/>
        <v>7543.213530189672</v>
      </c>
      <c r="ER11" s="120">
        <f t="shared" si="25"/>
        <v>8041.065623182191</v>
      </c>
      <c r="ES11" s="120">
        <f t="shared" si="25"/>
        <v>8571.775954312216</v>
      </c>
      <c r="ET11" s="120">
        <f t="shared" si="25"/>
        <v>9137.513167296822</v>
      </c>
      <c r="EU11" s="120">
        <f t="shared" si="25"/>
        <v>9740.589036338413</v>
      </c>
      <c r="EV11" s="120">
        <f t="shared" si="25"/>
        <v>10383.467912736749</v>
      </c>
      <c r="EW11" s="120">
        <f t="shared" si="25"/>
        <v>11068.776794977375</v>
      </c>
      <c r="EX11" s="120">
        <f t="shared" si="25"/>
        <v>11799.316063445882</v>
      </c>
      <c r="EY11" s="120">
        <f t="shared" si="25"/>
        <v>12578.070923633311</v>
      </c>
      <c r="EZ11" s="120">
        <f t="shared" si="25"/>
        <v>13408.223604593111</v>
      </c>
      <c r="FA11" s="120">
        <f t="shared" si="25"/>
        <v>14293.166362496257</v>
      </c>
      <c r="FB11" s="120">
        <f t="shared" si="25"/>
        <v>15236.515342421011</v>
      </c>
    </row>
    <row r="12" spans="1:158" ht="15">
      <c r="A12" s="125">
        <f>'Page 4'!A18</f>
        <v>7</v>
      </c>
      <c r="B12" s="125" t="str">
        <f>'Page 4'!B18</f>
        <v>MGE Energy, Inc.</v>
      </c>
      <c r="C12" s="126">
        <f>'Page 4'!C18</f>
        <v>1.38</v>
      </c>
      <c r="D12" s="126">
        <f>'Page 4'!D18</f>
        <v>1.44</v>
      </c>
      <c r="E12" s="119">
        <f t="shared" si="8"/>
        <v>0.014287644623016904</v>
      </c>
      <c r="F12" s="119"/>
      <c r="G12" s="119">
        <f>IRR(H12:FB12,0.12)</f>
        <v>0.10015818534192907</v>
      </c>
      <c r="H12" s="120">
        <f>-'Page 2'!C18</f>
        <v>-34.83</v>
      </c>
      <c r="I12" s="120">
        <f t="shared" si="9"/>
        <v>1.38</v>
      </c>
      <c r="J12" s="120">
        <f t="shared" si="3"/>
        <v>1.4</v>
      </c>
      <c r="K12" s="120">
        <f t="shared" si="3"/>
        <v>1.42</v>
      </c>
      <c r="L12" s="120">
        <f t="shared" si="10"/>
        <v>1.44</v>
      </c>
      <c r="M12" s="120">
        <f aca="true" t="shared" si="26" ref="M12:BX12">L12*(1+$M$3)</f>
        <v>1.53504</v>
      </c>
      <c r="N12" s="120">
        <f t="shared" si="26"/>
        <v>1.6363526400000001</v>
      </c>
      <c r="O12" s="120">
        <f t="shared" si="26"/>
        <v>1.7443519142400001</v>
      </c>
      <c r="P12" s="120">
        <f t="shared" si="26"/>
        <v>1.8594791405798403</v>
      </c>
      <c r="Q12" s="120">
        <f t="shared" si="26"/>
        <v>1.98220476385811</v>
      </c>
      <c r="R12" s="120">
        <f t="shared" si="26"/>
        <v>2.1130302782727455</v>
      </c>
      <c r="S12" s="120">
        <f t="shared" si="26"/>
        <v>2.252490276638747</v>
      </c>
      <c r="T12" s="120">
        <f t="shared" si="26"/>
        <v>2.4011546348969044</v>
      </c>
      <c r="U12" s="120">
        <f t="shared" si="26"/>
        <v>2.5596308408001</v>
      </c>
      <c r="V12" s="120">
        <f t="shared" si="26"/>
        <v>2.7285664762929067</v>
      </c>
      <c r="W12" s="120">
        <f t="shared" si="26"/>
        <v>2.9086518637282386</v>
      </c>
      <c r="X12" s="120">
        <f t="shared" si="26"/>
        <v>3.1006228867343024</v>
      </c>
      <c r="Y12" s="120">
        <f t="shared" si="26"/>
        <v>3.3052639972587667</v>
      </c>
      <c r="Z12" s="120">
        <f t="shared" si="26"/>
        <v>3.5234114210778453</v>
      </c>
      <c r="AA12" s="120">
        <f t="shared" si="26"/>
        <v>3.7559565748689834</v>
      </c>
      <c r="AB12" s="120">
        <f t="shared" si="26"/>
        <v>4.003849708810336</v>
      </c>
      <c r="AC12" s="120">
        <f t="shared" si="26"/>
        <v>4.268103789591819</v>
      </c>
      <c r="AD12" s="120">
        <f t="shared" si="26"/>
        <v>4.549798639704878</v>
      </c>
      <c r="AE12" s="120">
        <f t="shared" si="26"/>
        <v>4.850085349925401</v>
      </c>
      <c r="AF12" s="120">
        <f t="shared" si="26"/>
        <v>5.170190983020477</v>
      </c>
      <c r="AG12" s="120">
        <f t="shared" si="26"/>
        <v>5.511423587899829</v>
      </c>
      <c r="AH12" s="120">
        <f t="shared" si="26"/>
        <v>5.875177544701218</v>
      </c>
      <c r="AI12" s="120">
        <f t="shared" si="26"/>
        <v>6.262939262651499</v>
      </c>
      <c r="AJ12" s="120">
        <f t="shared" si="26"/>
        <v>6.676293253986499</v>
      </c>
      <c r="AK12" s="120">
        <f t="shared" si="26"/>
        <v>7.116928608749608</v>
      </c>
      <c r="AL12" s="120">
        <f t="shared" si="26"/>
        <v>7.586645896927083</v>
      </c>
      <c r="AM12" s="120">
        <f t="shared" si="26"/>
        <v>8.08736452612427</v>
      </c>
      <c r="AN12" s="120">
        <f t="shared" si="26"/>
        <v>8.621130584848473</v>
      </c>
      <c r="AO12" s="120">
        <f t="shared" si="26"/>
        <v>9.190125203448472</v>
      </c>
      <c r="AP12" s="120">
        <f t="shared" si="26"/>
        <v>9.796673466876072</v>
      </c>
      <c r="AQ12" s="120">
        <f t="shared" si="26"/>
        <v>10.443253915689894</v>
      </c>
      <c r="AR12" s="120">
        <f t="shared" si="26"/>
        <v>11.132508674125427</v>
      </c>
      <c r="AS12" s="120">
        <f t="shared" si="26"/>
        <v>11.867254246617707</v>
      </c>
      <c r="AT12" s="120">
        <f t="shared" si="26"/>
        <v>12.650493026894477</v>
      </c>
      <c r="AU12" s="120">
        <f t="shared" si="26"/>
        <v>13.485425566669512</v>
      </c>
      <c r="AV12" s="120">
        <f t="shared" si="26"/>
        <v>14.375463654069701</v>
      </c>
      <c r="AW12" s="120">
        <f t="shared" si="26"/>
        <v>15.324244255238302</v>
      </c>
      <c r="AX12" s="120">
        <f t="shared" si="26"/>
        <v>16.33564437608403</v>
      </c>
      <c r="AY12" s="120">
        <f t="shared" si="26"/>
        <v>17.413796904905578</v>
      </c>
      <c r="AZ12" s="120">
        <f t="shared" si="26"/>
        <v>18.563107500629346</v>
      </c>
      <c r="BA12" s="120">
        <f t="shared" si="26"/>
        <v>19.788272595670886</v>
      </c>
      <c r="BB12" s="120">
        <f t="shared" si="26"/>
        <v>21.094298586985165</v>
      </c>
      <c r="BC12" s="120">
        <f t="shared" si="26"/>
        <v>22.486522293726185</v>
      </c>
      <c r="BD12" s="120">
        <f t="shared" si="26"/>
        <v>23.970632765112114</v>
      </c>
      <c r="BE12" s="120">
        <f t="shared" si="26"/>
        <v>25.552694527609514</v>
      </c>
      <c r="BF12" s="120">
        <f t="shared" si="26"/>
        <v>27.239172366431742</v>
      </c>
      <c r="BG12" s="120">
        <f t="shared" si="26"/>
        <v>29.036957742616238</v>
      </c>
      <c r="BH12" s="120">
        <f t="shared" si="26"/>
        <v>30.95339695362891</v>
      </c>
      <c r="BI12" s="120">
        <f t="shared" si="26"/>
        <v>32.99632115256842</v>
      </c>
      <c r="BJ12" s="120">
        <f t="shared" si="26"/>
        <v>35.174078348637934</v>
      </c>
      <c r="BK12" s="120">
        <f t="shared" si="26"/>
        <v>37.49556751964804</v>
      </c>
      <c r="BL12" s="120">
        <f t="shared" si="26"/>
        <v>39.97027497594481</v>
      </c>
      <c r="BM12" s="120">
        <f t="shared" si="26"/>
        <v>42.608313124357174</v>
      </c>
      <c r="BN12" s="120">
        <f t="shared" si="26"/>
        <v>45.42046179056475</v>
      </c>
      <c r="BO12" s="120">
        <f t="shared" si="26"/>
        <v>48.418212268742025</v>
      </c>
      <c r="BP12" s="120">
        <f t="shared" si="26"/>
        <v>51.613814278479</v>
      </c>
      <c r="BQ12" s="120">
        <f t="shared" si="26"/>
        <v>55.02032602085861</v>
      </c>
      <c r="BR12" s="120">
        <f t="shared" si="26"/>
        <v>58.65166753823528</v>
      </c>
      <c r="BS12" s="120">
        <f t="shared" si="26"/>
        <v>62.522677595758815</v>
      </c>
      <c r="BT12" s="120">
        <f t="shared" si="26"/>
        <v>66.6491743170789</v>
      </c>
      <c r="BU12" s="120">
        <f t="shared" si="26"/>
        <v>71.04801982200611</v>
      </c>
      <c r="BV12" s="120">
        <f t="shared" si="26"/>
        <v>75.73718913025851</v>
      </c>
      <c r="BW12" s="120">
        <f t="shared" si="26"/>
        <v>80.73584361285558</v>
      </c>
      <c r="BX12" s="120">
        <f t="shared" si="26"/>
        <v>86.06440929130405</v>
      </c>
      <c r="BY12" s="120">
        <f aca="true" t="shared" si="27" ref="BY12:EJ12">BX12*(1+$M$3)</f>
        <v>91.74466030453011</v>
      </c>
      <c r="BZ12" s="120">
        <f t="shared" si="27"/>
        <v>97.7998078846291</v>
      </c>
      <c r="CA12" s="120">
        <f t="shared" si="27"/>
        <v>104.25459520501462</v>
      </c>
      <c r="CB12" s="120">
        <f t="shared" si="27"/>
        <v>111.13539848854559</v>
      </c>
      <c r="CC12" s="120">
        <f t="shared" si="27"/>
        <v>118.4703347887896</v>
      </c>
      <c r="CD12" s="120">
        <f t="shared" si="27"/>
        <v>126.28937688484972</v>
      </c>
      <c r="CE12" s="120">
        <f t="shared" si="27"/>
        <v>134.6244757592498</v>
      </c>
      <c r="CF12" s="120">
        <f t="shared" si="27"/>
        <v>143.5096911593603</v>
      </c>
      <c r="CG12" s="120">
        <f t="shared" si="27"/>
        <v>152.9813307758781</v>
      </c>
      <c r="CH12" s="120">
        <f t="shared" si="27"/>
        <v>163.07809860708605</v>
      </c>
      <c r="CI12" s="120">
        <f t="shared" si="27"/>
        <v>173.84125311515373</v>
      </c>
      <c r="CJ12" s="120">
        <f t="shared" si="27"/>
        <v>185.31477582075388</v>
      </c>
      <c r="CK12" s="120">
        <f t="shared" si="27"/>
        <v>197.54555102492364</v>
      </c>
      <c r="CL12" s="120">
        <f t="shared" si="27"/>
        <v>210.58355739256862</v>
      </c>
      <c r="CM12" s="120">
        <f t="shared" si="27"/>
        <v>224.48207218047816</v>
      </c>
      <c r="CN12" s="120">
        <f t="shared" si="27"/>
        <v>239.29788894438974</v>
      </c>
      <c r="CO12" s="120">
        <f t="shared" si="27"/>
        <v>255.09154961471947</v>
      </c>
      <c r="CP12" s="120">
        <f t="shared" si="27"/>
        <v>271.92759188929097</v>
      </c>
      <c r="CQ12" s="120">
        <f t="shared" si="27"/>
        <v>289.8748129539842</v>
      </c>
      <c r="CR12" s="120">
        <f t="shared" si="27"/>
        <v>309.0065506089472</v>
      </c>
      <c r="CS12" s="120">
        <f t="shared" si="27"/>
        <v>329.4009829491377</v>
      </c>
      <c r="CT12" s="120">
        <f t="shared" si="27"/>
        <v>351.1414478237808</v>
      </c>
      <c r="CU12" s="120">
        <f t="shared" si="27"/>
        <v>374.31678338015035</v>
      </c>
      <c r="CV12" s="120">
        <f t="shared" si="27"/>
        <v>399.0216910832403</v>
      </c>
      <c r="CW12" s="120">
        <f t="shared" si="27"/>
        <v>425.3571226947342</v>
      </c>
      <c r="CX12" s="120">
        <f t="shared" si="27"/>
        <v>453.4306927925867</v>
      </c>
      <c r="CY12" s="120">
        <f t="shared" si="27"/>
        <v>483.35711851689746</v>
      </c>
      <c r="CZ12" s="120">
        <f t="shared" si="27"/>
        <v>515.2586883390127</v>
      </c>
      <c r="DA12" s="120">
        <f t="shared" si="27"/>
        <v>549.2657617693875</v>
      </c>
      <c r="DB12" s="120">
        <f t="shared" si="27"/>
        <v>585.5173020461671</v>
      </c>
      <c r="DC12" s="120">
        <f t="shared" si="27"/>
        <v>624.1614439812141</v>
      </c>
      <c r="DD12" s="120">
        <f t="shared" si="27"/>
        <v>665.3560992839743</v>
      </c>
      <c r="DE12" s="120">
        <f t="shared" si="27"/>
        <v>709.2696018367167</v>
      </c>
      <c r="DF12" s="120">
        <f t="shared" si="27"/>
        <v>756.08139555794</v>
      </c>
      <c r="DG12" s="120">
        <f t="shared" si="27"/>
        <v>805.9827676647641</v>
      </c>
      <c r="DH12" s="120">
        <f t="shared" si="27"/>
        <v>859.1776303306385</v>
      </c>
      <c r="DI12" s="120">
        <f t="shared" si="27"/>
        <v>915.8833539324608</v>
      </c>
      <c r="DJ12" s="120">
        <f t="shared" si="27"/>
        <v>976.3316552920032</v>
      </c>
      <c r="DK12" s="120">
        <f t="shared" si="27"/>
        <v>1040.7695445412755</v>
      </c>
      <c r="DL12" s="120">
        <f t="shared" si="27"/>
        <v>1109.4603344809998</v>
      </c>
      <c r="DM12" s="120">
        <f t="shared" si="27"/>
        <v>1182.6847165567458</v>
      </c>
      <c r="DN12" s="120">
        <f t="shared" si="27"/>
        <v>1260.741907849491</v>
      </c>
      <c r="DO12" s="120">
        <f t="shared" si="27"/>
        <v>1343.9508737675576</v>
      </c>
      <c r="DP12" s="120">
        <f t="shared" si="27"/>
        <v>1432.6516314362166</v>
      </c>
      <c r="DQ12" s="120">
        <f t="shared" si="27"/>
        <v>1527.206639111007</v>
      </c>
      <c r="DR12" s="120">
        <f t="shared" si="27"/>
        <v>1628.0022772923335</v>
      </c>
      <c r="DS12" s="120">
        <f t="shared" si="27"/>
        <v>1735.4504275936276</v>
      </c>
      <c r="DT12" s="120">
        <f t="shared" si="27"/>
        <v>1849.9901558148072</v>
      </c>
      <c r="DU12" s="120">
        <f t="shared" si="27"/>
        <v>1972.0895060985845</v>
      </c>
      <c r="DV12" s="120">
        <f t="shared" si="27"/>
        <v>2102.247413501091</v>
      </c>
      <c r="DW12" s="120">
        <f t="shared" si="27"/>
        <v>2240.995742792163</v>
      </c>
      <c r="DX12" s="120">
        <f t="shared" si="27"/>
        <v>2388.901461816446</v>
      </c>
      <c r="DY12" s="120">
        <f t="shared" si="27"/>
        <v>2546.5689582963314</v>
      </c>
      <c r="DZ12" s="120">
        <f t="shared" si="27"/>
        <v>2714.6425095438894</v>
      </c>
      <c r="EA12" s="120">
        <f t="shared" si="27"/>
        <v>2893.8089151737863</v>
      </c>
      <c r="EB12" s="120">
        <f t="shared" si="27"/>
        <v>3084.8003035752563</v>
      </c>
      <c r="EC12" s="120">
        <f t="shared" si="27"/>
        <v>3288.3971236112234</v>
      </c>
      <c r="ED12" s="120">
        <f t="shared" si="27"/>
        <v>3505.4313337695644</v>
      </c>
      <c r="EE12" s="120">
        <f t="shared" si="27"/>
        <v>3736.7898017983557</v>
      </c>
      <c r="EF12" s="120">
        <f t="shared" si="27"/>
        <v>3983.4179287170473</v>
      </c>
      <c r="EG12" s="120">
        <f t="shared" si="27"/>
        <v>4246.323512012373</v>
      </c>
      <c r="EH12" s="120">
        <f t="shared" si="27"/>
        <v>4526.580863805189</v>
      </c>
      <c r="EI12" s="120">
        <f t="shared" si="27"/>
        <v>4825.335200816332</v>
      </c>
      <c r="EJ12" s="120">
        <f t="shared" si="27"/>
        <v>5143.807324070211</v>
      </c>
      <c r="EK12" s="120">
        <f aca="true" t="shared" si="28" ref="EK12:FB12">EJ12*(1+$M$3)</f>
        <v>5483.298607458844</v>
      </c>
      <c r="EL12" s="120">
        <f t="shared" si="28"/>
        <v>5845.1963155511285</v>
      </c>
      <c r="EM12" s="120">
        <f t="shared" si="28"/>
        <v>6230.979272377504</v>
      </c>
      <c r="EN12" s="120">
        <f t="shared" si="28"/>
        <v>6642.22390435442</v>
      </c>
      <c r="EO12" s="120">
        <f t="shared" si="28"/>
        <v>7080.610682041812</v>
      </c>
      <c r="EP12" s="120">
        <f t="shared" si="28"/>
        <v>7547.930987056572</v>
      </c>
      <c r="EQ12" s="120">
        <f t="shared" si="28"/>
        <v>8046.094432202306</v>
      </c>
      <c r="ER12" s="120">
        <f t="shared" si="28"/>
        <v>8577.136664727659</v>
      </c>
      <c r="ES12" s="120">
        <f t="shared" si="28"/>
        <v>9143.227684599686</v>
      </c>
      <c r="ET12" s="120">
        <f t="shared" si="28"/>
        <v>9746.680711783265</v>
      </c>
      <c r="EU12" s="120">
        <f t="shared" si="28"/>
        <v>10389.96163876096</v>
      </c>
      <c r="EV12" s="120">
        <f t="shared" si="28"/>
        <v>11075.699106919184</v>
      </c>
      <c r="EW12" s="120">
        <f t="shared" si="28"/>
        <v>11806.695247975851</v>
      </c>
      <c r="EX12" s="120">
        <f t="shared" si="28"/>
        <v>12585.937134342257</v>
      </c>
      <c r="EY12" s="120">
        <f t="shared" si="28"/>
        <v>13416.608985208846</v>
      </c>
      <c r="EZ12" s="120">
        <f t="shared" si="28"/>
        <v>14302.10517823263</v>
      </c>
      <c r="FA12" s="120">
        <f t="shared" si="28"/>
        <v>15246.044119995984</v>
      </c>
      <c r="FB12" s="120">
        <f t="shared" si="28"/>
        <v>16252.28303191572</v>
      </c>
    </row>
    <row r="13" spans="1:158" ht="15">
      <c r="A13" s="125">
        <f>'Page 4'!A19</f>
        <v>8</v>
      </c>
      <c r="B13" s="125" t="str">
        <f>'Page 4'!B19</f>
        <v>NSTAR</v>
      </c>
      <c r="C13" s="126">
        <f>'Page 4'!C19</f>
        <v>1.2</v>
      </c>
      <c r="D13" s="126">
        <f>'Page 4'!D19</f>
        <v>1.32</v>
      </c>
      <c r="E13" s="119">
        <f t="shared" si="8"/>
        <v>0.03228011545636722</v>
      </c>
      <c r="F13" s="119"/>
      <c r="G13" s="119">
        <f>IRR(H13:FB13,0.12)</f>
        <v>0.10529394011533819</v>
      </c>
      <c r="H13" s="120">
        <f>-'Page 2'!C19</f>
        <v>-27.805</v>
      </c>
      <c r="I13" s="120">
        <f t="shared" si="9"/>
        <v>1.2</v>
      </c>
      <c r="J13" s="120">
        <f t="shared" si="3"/>
        <v>1.24</v>
      </c>
      <c r="K13" s="120">
        <f t="shared" si="3"/>
        <v>1.28</v>
      </c>
      <c r="L13" s="120">
        <f t="shared" si="10"/>
        <v>1.32</v>
      </c>
      <c r="M13" s="120">
        <f aca="true" t="shared" si="29" ref="M13:BX13">L13*(1+$M$3)</f>
        <v>1.4071200000000001</v>
      </c>
      <c r="N13" s="120">
        <f t="shared" si="29"/>
        <v>1.4999899200000002</v>
      </c>
      <c r="O13" s="120">
        <f t="shared" si="29"/>
        <v>1.5989892547200002</v>
      </c>
      <c r="P13" s="120">
        <f t="shared" si="29"/>
        <v>1.7045225455315203</v>
      </c>
      <c r="Q13" s="120">
        <f t="shared" si="29"/>
        <v>1.8170210335366006</v>
      </c>
      <c r="R13" s="120">
        <f t="shared" si="29"/>
        <v>1.9369444217500162</v>
      </c>
      <c r="S13" s="120">
        <f t="shared" si="29"/>
        <v>2.064782753585517</v>
      </c>
      <c r="T13" s="120">
        <f t="shared" si="29"/>
        <v>2.2010584153221613</v>
      </c>
      <c r="U13" s="120">
        <f t="shared" si="29"/>
        <v>2.346328270733424</v>
      </c>
      <c r="V13" s="120">
        <f t="shared" si="29"/>
        <v>2.50118593660183</v>
      </c>
      <c r="W13" s="120">
        <f t="shared" si="29"/>
        <v>2.6662642084175507</v>
      </c>
      <c r="X13" s="120">
        <f t="shared" si="29"/>
        <v>2.842237646173109</v>
      </c>
      <c r="Y13" s="120">
        <f t="shared" si="29"/>
        <v>3.0298253308205347</v>
      </c>
      <c r="Z13" s="120">
        <f t="shared" si="29"/>
        <v>3.22979380265469</v>
      </c>
      <c r="AA13" s="120">
        <f t="shared" si="29"/>
        <v>3.4429601936299</v>
      </c>
      <c r="AB13" s="120">
        <f t="shared" si="29"/>
        <v>3.6701955664094736</v>
      </c>
      <c r="AC13" s="120">
        <f t="shared" si="29"/>
        <v>3.9124284737924993</v>
      </c>
      <c r="AD13" s="120">
        <f t="shared" si="29"/>
        <v>4.170648753062804</v>
      </c>
      <c r="AE13" s="120">
        <f t="shared" si="29"/>
        <v>4.44591157076495</v>
      </c>
      <c r="AF13" s="120">
        <f t="shared" si="29"/>
        <v>4.7393417344354365</v>
      </c>
      <c r="AG13" s="120">
        <f t="shared" si="29"/>
        <v>5.052138288908176</v>
      </c>
      <c r="AH13" s="120">
        <f t="shared" si="29"/>
        <v>5.385579415976116</v>
      </c>
      <c r="AI13" s="120">
        <f t="shared" si="29"/>
        <v>5.741027657430539</v>
      </c>
      <c r="AJ13" s="120">
        <f t="shared" si="29"/>
        <v>6.119935482820956</v>
      </c>
      <c r="AK13" s="120">
        <f t="shared" si="29"/>
        <v>6.523851224687139</v>
      </c>
      <c r="AL13" s="120">
        <f t="shared" si="29"/>
        <v>6.95442540551649</v>
      </c>
      <c r="AM13" s="120">
        <f t="shared" si="29"/>
        <v>7.413417482280579</v>
      </c>
      <c r="AN13" s="120">
        <f t="shared" si="29"/>
        <v>7.902703036111098</v>
      </c>
      <c r="AO13" s="120">
        <f t="shared" si="29"/>
        <v>8.42428143649443</v>
      </c>
      <c r="AP13" s="120">
        <f t="shared" si="29"/>
        <v>8.980284011303063</v>
      </c>
      <c r="AQ13" s="120">
        <f t="shared" si="29"/>
        <v>9.572982756049065</v>
      </c>
      <c r="AR13" s="120">
        <f t="shared" si="29"/>
        <v>10.204799617948304</v>
      </c>
      <c r="AS13" s="120">
        <f t="shared" si="29"/>
        <v>10.878316392732891</v>
      </c>
      <c r="AT13" s="120">
        <f t="shared" si="29"/>
        <v>11.596285274653264</v>
      </c>
      <c r="AU13" s="120">
        <f t="shared" si="29"/>
        <v>12.36164010278038</v>
      </c>
      <c r="AV13" s="120">
        <f t="shared" si="29"/>
        <v>13.177508349563885</v>
      </c>
      <c r="AW13" s="120">
        <f t="shared" si="29"/>
        <v>14.047223900635101</v>
      </c>
      <c r="AX13" s="120">
        <f t="shared" si="29"/>
        <v>14.974340678077018</v>
      </c>
      <c r="AY13" s="120">
        <f t="shared" si="29"/>
        <v>15.962647162830102</v>
      </c>
      <c r="AZ13" s="120">
        <f t="shared" si="29"/>
        <v>17.01618187557689</v>
      </c>
      <c r="BA13" s="120">
        <f t="shared" si="29"/>
        <v>18.139249879364968</v>
      </c>
      <c r="BB13" s="120">
        <f t="shared" si="29"/>
        <v>19.336440371403057</v>
      </c>
      <c r="BC13" s="120">
        <f t="shared" si="29"/>
        <v>20.61264543591566</v>
      </c>
      <c r="BD13" s="120">
        <f t="shared" si="29"/>
        <v>21.973080034686095</v>
      </c>
      <c r="BE13" s="120">
        <f t="shared" si="29"/>
        <v>23.423303316975378</v>
      </c>
      <c r="BF13" s="120">
        <f t="shared" si="29"/>
        <v>24.969241335895756</v>
      </c>
      <c r="BG13" s="120">
        <f t="shared" si="29"/>
        <v>26.617211264064878</v>
      </c>
      <c r="BH13" s="120">
        <f t="shared" si="29"/>
        <v>28.37394720749316</v>
      </c>
      <c r="BI13" s="120">
        <f t="shared" si="29"/>
        <v>30.24662772318771</v>
      </c>
      <c r="BJ13" s="120">
        <f t="shared" si="29"/>
        <v>32.2429051529181</v>
      </c>
      <c r="BK13" s="120">
        <f t="shared" si="29"/>
        <v>34.37093689301069</v>
      </c>
      <c r="BL13" s="120">
        <f t="shared" si="29"/>
        <v>36.6394187279494</v>
      </c>
      <c r="BM13" s="120">
        <f t="shared" si="29"/>
        <v>39.05762036399406</v>
      </c>
      <c r="BN13" s="120">
        <f t="shared" si="29"/>
        <v>41.63542330801767</v>
      </c>
      <c r="BO13" s="120">
        <f t="shared" si="29"/>
        <v>44.38336124634684</v>
      </c>
      <c r="BP13" s="120">
        <f t="shared" si="29"/>
        <v>47.31266308860573</v>
      </c>
      <c r="BQ13" s="120">
        <f t="shared" si="29"/>
        <v>50.43529885245371</v>
      </c>
      <c r="BR13" s="120">
        <f t="shared" si="29"/>
        <v>53.76402857671566</v>
      </c>
      <c r="BS13" s="120">
        <f t="shared" si="29"/>
        <v>57.312454462778895</v>
      </c>
      <c r="BT13" s="120">
        <f t="shared" si="29"/>
        <v>61.09507645732231</v>
      </c>
      <c r="BU13" s="120">
        <f t="shared" si="29"/>
        <v>65.12735150350558</v>
      </c>
      <c r="BV13" s="120">
        <f t="shared" si="29"/>
        <v>69.42575670273695</v>
      </c>
      <c r="BW13" s="120">
        <f t="shared" si="29"/>
        <v>74.00785664511758</v>
      </c>
      <c r="BX13" s="120">
        <f t="shared" si="29"/>
        <v>78.89237518369535</v>
      </c>
      <c r="BY13" s="120">
        <f aca="true" t="shared" si="30" ref="BY13:EJ13">BX13*(1+$M$3)</f>
        <v>84.09927194581925</v>
      </c>
      <c r="BZ13" s="120">
        <f t="shared" si="30"/>
        <v>89.64982389424333</v>
      </c>
      <c r="CA13" s="120">
        <f t="shared" si="30"/>
        <v>95.56671227126338</v>
      </c>
      <c r="CB13" s="120">
        <f t="shared" si="30"/>
        <v>101.87411528116677</v>
      </c>
      <c r="CC13" s="120">
        <f t="shared" si="30"/>
        <v>108.59780688972378</v>
      </c>
      <c r="CD13" s="120">
        <f t="shared" si="30"/>
        <v>115.76526214444556</v>
      </c>
      <c r="CE13" s="120">
        <f t="shared" si="30"/>
        <v>123.40576944597898</v>
      </c>
      <c r="CF13" s="120">
        <f t="shared" si="30"/>
        <v>131.5505502294136</v>
      </c>
      <c r="CG13" s="120">
        <f t="shared" si="30"/>
        <v>140.2328865445549</v>
      </c>
      <c r="CH13" s="120">
        <f t="shared" si="30"/>
        <v>149.48825705649554</v>
      </c>
      <c r="CI13" s="120">
        <f t="shared" si="30"/>
        <v>159.35448202222426</v>
      </c>
      <c r="CJ13" s="120">
        <f t="shared" si="30"/>
        <v>169.87187783569107</v>
      </c>
      <c r="CK13" s="120">
        <f t="shared" si="30"/>
        <v>181.0834217728467</v>
      </c>
      <c r="CL13" s="120">
        <f t="shared" si="30"/>
        <v>193.03492760985458</v>
      </c>
      <c r="CM13" s="120">
        <f t="shared" si="30"/>
        <v>205.775232832105</v>
      </c>
      <c r="CN13" s="120">
        <f t="shared" si="30"/>
        <v>219.35639819902394</v>
      </c>
      <c r="CO13" s="120">
        <f t="shared" si="30"/>
        <v>233.83392048015955</v>
      </c>
      <c r="CP13" s="120">
        <f t="shared" si="30"/>
        <v>249.26695923185008</v>
      </c>
      <c r="CQ13" s="120">
        <f t="shared" si="30"/>
        <v>265.7185785411522</v>
      </c>
      <c r="CR13" s="120">
        <f t="shared" si="30"/>
        <v>283.25600472486826</v>
      </c>
      <c r="CS13" s="120">
        <f t="shared" si="30"/>
        <v>301.9509010367096</v>
      </c>
      <c r="CT13" s="120">
        <f t="shared" si="30"/>
        <v>321.87966050513245</v>
      </c>
      <c r="CU13" s="120">
        <f t="shared" si="30"/>
        <v>343.1237180984712</v>
      </c>
      <c r="CV13" s="120">
        <f t="shared" si="30"/>
        <v>365.76988349297034</v>
      </c>
      <c r="CW13" s="120">
        <f t="shared" si="30"/>
        <v>389.9106958035064</v>
      </c>
      <c r="CX13" s="120">
        <f t="shared" si="30"/>
        <v>415.6448017265379</v>
      </c>
      <c r="CY13" s="120">
        <f t="shared" si="30"/>
        <v>443.0773586404894</v>
      </c>
      <c r="CZ13" s="120">
        <f t="shared" si="30"/>
        <v>472.32046431076174</v>
      </c>
      <c r="DA13" s="120">
        <f t="shared" si="30"/>
        <v>503.49361495527205</v>
      </c>
      <c r="DB13" s="120">
        <f t="shared" si="30"/>
        <v>536.72419354232</v>
      </c>
      <c r="DC13" s="120">
        <f t="shared" si="30"/>
        <v>572.1479903161131</v>
      </c>
      <c r="DD13" s="120">
        <f t="shared" si="30"/>
        <v>609.9097576769766</v>
      </c>
      <c r="DE13" s="120">
        <f t="shared" si="30"/>
        <v>650.1638016836571</v>
      </c>
      <c r="DF13" s="120">
        <f t="shared" si="30"/>
        <v>693.0746125947785</v>
      </c>
      <c r="DG13" s="120">
        <f t="shared" si="30"/>
        <v>738.817537026034</v>
      </c>
      <c r="DH13" s="120">
        <f t="shared" si="30"/>
        <v>787.5794944697523</v>
      </c>
      <c r="DI13" s="120">
        <f t="shared" si="30"/>
        <v>839.559741104756</v>
      </c>
      <c r="DJ13" s="120">
        <f t="shared" si="30"/>
        <v>894.9706840176699</v>
      </c>
      <c r="DK13" s="120">
        <f t="shared" si="30"/>
        <v>954.0387491628362</v>
      </c>
      <c r="DL13" s="120">
        <f t="shared" si="30"/>
        <v>1017.0053066075834</v>
      </c>
      <c r="DM13" s="120">
        <f t="shared" si="30"/>
        <v>1084.127656843684</v>
      </c>
      <c r="DN13" s="120">
        <f t="shared" si="30"/>
        <v>1155.6800821953673</v>
      </c>
      <c r="DO13" s="120">
        <f t="shared" si="30"/>
        <v>1231.9549676202616</v>
      </c>
      <c r="DP13" s="120">
        <f t="shared" si="30"/>
        <v>1313.2639954831989</v>
      </c>
      <c r="DQ13" s="120">
        <f t="shared" si="30"/>
        <v>1399.9394191850902</v>
      </c>
      <c r="DR13" s="120">
        <f t="shared" si="30"/>
        <v>1492.3354208513063</v>
      </c>
      <c r="DS13" s="120">
        <f t="shared" si="30"/>
        <v>1590.8295586274926</v>
      </c>
      <c r="DT13" s="120">
        <f t="shared" si="30"/>
        <v>1695.8243094969073</v>
      </c>
      <c r="DU13" s="120">
        <f t="shared" si="30"/>
        <v>1807.7487139237032</v>
      </c>
      <c r="DV13" s="120">
        <f t="shared" si="30"/>
        <v>1927.0601290426678</v>
      </c>
      <c r="DW13" s="120">
        <f t="shared" si="30"/>
        <v>2054.246097559484</v>
      </c>
      <c r="DX13" s="120">
        <f t="shared" si="30"/>
        <v>2189.8263399984103</v>
      </c>
      <c r="DY13" s="120">
        <f t="shared" si="30"/>
        <v>2334.3548784383056</v>
      </c>
      <c r="DZ13" s="120">
        <f t="shared" si="30"/>
        <v>2488.422300415234</v>
      </c>
      <c r="EA13" s="120">
        <f t="shared" si="30"/>
        <v>2652.6581722426395</v>
      </c>
      <c r="EB13" s="120">
        <f t="shared" si="30"/>
        <v>2827.733611610654</v>
      </c>
      <c r="EC13" s="120">
        <f t="shared" si="30"/>
        <v>3014.364029976957</v>
      </c>
      <c r="ED13" s="120">
        <f t="shared" si="30"/>
        <v>3213.312055955437</v>
      </c>
      <c r="EE13" s="120">
        <f t="shared" si="30"/>
        <v>3425.390651648496</v>
      </c>
      <c r="EF13" s="120">
        <f t="shared" si="30"/>
        <v>3651.4664346572968</v>
      </c>
      <c r="EG13" s="120">
        <f t="shared" si="30"/>
        <v>3892.4632193446787</v>
      </c>
      <c r="EH13" s="120">
        <f t="shared" si="30"/>
        <v>4149.365791821428</v>
      </c>
      <c r="EI13" s="120">
        <f t="shared" si="30"/>
        <v>4423.223934081642</v>
      </c>
      <c r="EJ13" s="120">
        <f t="shared" si="30"/>
        <v>4715.156713731031</v>
      </c>
      <c r="EK13" s="120">
        <f aca="true" t="shared" si="31" ref="EK13:FB13">EJ13*(1+$M$3)</f>
        <v>5026.35705683728</v>
      </c>
      <c r="EL13" s="120">
        <f t="shared" si="31"/>
        <v>5358.09662258854</v>
      </c>
      <c r="EM13" s="120">
        <f t="shared" si="31"/>
        <v>5711.730999679385</v>
      </c>
      <c r="EN13" s="120">
        <f t="shared" si="31"/>
        <v>6088.705245658224</v>
      </c>
      <c r="EO13" s="120">
        <f t="shared" si="31"/>
        <v>6490.559791871668</v>
      </c>
      <c r="EP13" s="120">
        <f t="shared" si="31"/>
        <v>6918.936738135198</v>
      </c>
      <c r="EQ13" s="120">
        <f t="shared" si="31"/>
        <v>7375.5865628521215</v>
      </c>
      <c r="ER13" s="120">
        <f t="shared" si="31"/>
        <v>7862.375276000362</v>
      </c>
      <c r="ES13" s="120">
        <f t="shared" si="31"/>
        <v>8381.292044216387</v>
      </c>
      <c r="ET13" s="120">
        <f t="shared" si="31"/>
        <v>8934.457319134668</v>
      </c>
      <c r="EU13" s="120">
        <f t="shared" si="31"/>
        <v>9524.131502197557</v>
      </c>
      <c r="EV13" s="120">
        <f t="shared" si="31"/>
        <v>10152.724181342597</v>
      </c>
      <c r="EW13" s="120">
        <f t="shared" si="31"/>
        <v>10822.803977311209</v>
      </c>
      <c r="EX13" s="120">
        <f t="shared" si="31"/>
        <v>11537.10903981375</v>
      </c>
      <c r="EY13" s="120">
        <f t="shared" si="31"/>
        <v>12298.558236441457</v>
      </c>
      <c r="EZ13" s="120">
        <f t="shared" si="31"/>
        <v>13110.263080046594</v>
      </c>
      <c r="FA13" s="120">
        <f t="shared" si="31"/>
        <v>13975.54044332967</v>
      </c>
      <c r="FB13" s="120">
        <f t="shared" si="31"/>
        <v>14897.926112589428</v>
      </c>
    </row>
    <row r="14" spans="1:158" ht="15">
      <c r="A14" s="125">
        <f>'Page 4'!A20</f>
        <v>9</v>
      </c>
      <c r="B14" s="125" t="str">
        <f>'Page 4'!B20</f>
        <v>Progress Energy</v>
      </c>
      <c r="C14" s="126">
        <f>'Page 4'!C20</f>
        <v>2.44</v>
      </c>
      <c r="D14" s="126">
        <f>'Page 4'!D20</f>
        <v>2.5</v>
      </c>
      <c r="E14" s="119">
        <f t="shared" si="8"/>
        <v>0.008130438135637963</v>
      </c>
      <c r="F14" s="119"/>
      <c r="G14" s="119">
        <f>IRR(H14:FB14,0.12)</f>
        <v>0.11378966199442989</v>
      </c>
      <c r="H14" s="120">
        <f>-'Page 2'!C20</f>
        <v>-43.77</v>
      </c>
      <c r="I14" s="120">
        <f t="shared" si="9"/>
        <v>2.44</v>
      </c>
      <c r="J14" s="120">
        <f t="shared" si="3"/>
        <v>2.46</v>
      </c>
      <c r="K14" s="120">
        <f t="shared" si="3"/>
        <v>2.48</v>
      </c>
      <c r="L14" s="120">
        <f t="shared" si="10"/>
        <v>2.5</v>
      </c>
      <c r="M14" s="120">
        <f aca="true" t="shared" si="32" ref="M14:BX14">L14*(1+$M$3)</f>
        <v>2.665</v>
      </c>
      <c r="N14" s="120">
        <f t="shared" si="32"/>
        <v>2.8408900000000004</v>
      </c>
      <c r="O14" s="120">
        <f t="shared" si="32"/>
        <v>3.0283887400000005</v>
      </c>
      <c r="P14" s="120">
        <f t="shared" si="32"/>
        <v>3.228262396840001</v>
      </c>
      <c r="Q14" s="120">
        <f t="shared" si="32"/>
        <v>3.441327715031441</v>
      </c>
      <c r="R14" s="120">
        <f t="shared" si="32"/>
        <v>3.668455344223516</v>
      </c>
      <c r="S14" s="120">
        <f t="shared" si="32"/>
        <v>3.9105733969422682</v>
      </c>
      <c r="T14" s="120">
        <f t="shared" si="32"/>
        <v>4.1686712411404585</v>
      </c>
      <c r="U14" s="120">
        <f t="shared" si="32"/>
        <v>4.443803543055729</v>
      </c>
      <c r="V14" s="120">
        <f t="shared" si="32"/>
        <v>4.737094576897408</v>
      </c>
      <c r="W14" s="120">
        <f t="shared" si="32"/>
        <v>5.049742818972637</v>
      </c>
      <c r="X14" s="120">
        <f t="shared" si="32"/>
        <v>5.383025845024831</v>
      </c>
      <c r="Y14" s="120">
        <f t="shared" si="32"/>
        <v>5.73830555079647</v>
      </c>
      <c r="Z14" s="120">
        <f t="shared" si="32"/>
        <v>6.117033717149037</v>
      </c>
      <c r="AA14" s="120">
        <f t="shared" si="32"/>
        <v>6.520757942480874</v>
      </c>
      <c r="AB14" s="120">
        <f t="shared" si="32"/>
        <v>6.951127966684613</v>
      </c>
      <c r="AC14" s="120">
        <f t="shared" si="32"/>
        <v>7.409902412485797</v>
      </c>
      <c r="AD14" s="120">
        <f t="shared" si="32"/>
        <v>7.89895597170986</v>
      </c>
      <c r="AE14" s="120">
        <f t="shared" si="32"/>
        <v>8.420287065842711</v>
      </c>
      <c r="AF14" s="120">
        <f t="shared" si="32"/>
        <v>8.97602601218833</v>
      </c>
      <c r="AG14" s="120">
        <f t="shared" si="32"/>
        <v>9.56844372899276</v>
      </c>
      <c r="AH14" s="120">
        <f t="shared" si="32"/>
        <v>10.199961015106283</v>
      </c>
      <c r="AI14" s="120">
        <f t="shared" si="32"/>
        <v>10.873158442103298</v>
      </c>
      <c r="AJ14" s="120">
        <f t="shared" si="32"/>
        <v>11.590786899282117</v>
      </c>
      <c r="AK14" s="120">
        <f t="shared" si="32"/>
        <v>12.355778834634737</v>
      </c>
      <c r="AL14" s="120">
        <f t="shared" si="32"/>
        <v>13.171260237720631</v>
      </c>
      <c r="AM14" s="120">
        <f t="shared" si="32"/>
        <v>14.040563413410194</v>
      </c>
      <c r="AN14" s="120">
        <f t="shared" si="32"/>
        <v>14.967240598695268</v>
      </c>
      <c r="AO14" s="120">
        <f t="shared" si="32"/>
        <v>15.955078478209156</v>
      </c>
      <c r="AP14" s="120">
        <f t="shared" si="32"/>
        <v>17.008113657770963</v>
      </c>
      <c r="AQ14" s="120">
        <f t="shared" si="32"/>
        <v>18.130649159183847</v>
      </c>
      <c r="AR14" s="120">
        <f t="shared" si="32"/>
        <v>19.32727200368998</v>
      </c>
      <c r="AS14" s="120">
        <f t="shared" si="32"/>
        <v>20.60287195593352</v>
      </c>
      <c r="AT14" s="120">
        <f t="shared" si="32"/>
        <v>21.96266150502513</v>
      </c>
      <c r="AU14" s="120">
        <f t="shared" si="32"/>
        <v>23.41219716435679</v>
      </c>
      <c r="AV14" s="120">
        <f t="shared" si="32"/>
        <v>24.95740217720434</v>
      </c>
      <c r="AW14" s="120">
        <f t="shared" si="32"/>
        <v>26.60459072089983</v>
      </c>
      <c r="AX14" s="120">
        <f t="shared" si="32"/>
        <v>28.36049370847922</v>
      </c>
      <c r="AY14" s="120">
        <f t="shared" si="32"/>
        <v>30.232286293238847</v>
      </c>
      <c r="AZ14" s="120">
        <f t="shared" si="32"/>
        <v>32.22761718859261</v>
      </c>
      <c r="BA14" s="120">
        <f t="shared" si="32"/>
        <v>34.35463992303973</v>
      </c>
      <c r="BB14" s="120">
        <f t="shared" si="32"/>
        <v>36.62204615796035</v>
      </c>
      <c r="BC14" s="120">
        <f t="shared" si="32"/>
        <v>39.03910120438573</v>
      </c>
      <c r="BD14" s="120">
        <f t="shared" si="32"/>
        <v>41.61568188387519</v>
      </c>
      <c r="BE14" s="120">
        <f t="shared" si="32"/>
        <v>44.362316888210955</v>
      </c>
      <c r="BF14" s="120">
        <f t="shared" si="32"/>
        <v>47.29022980283288</v>
      </c>
      <c r="BG14" s="120">
        <f t="shared" si="32"/>
        <v>50.411384969819856</v>
      </c>
      <c r="BH14" s="120">
        <f t="shared" si="32"/>
        <v>53.73853637782797</v>
      </c>
      <c r="BI14" s="120">
        <f t="shared" si="32"/>
        <v>57.28527977876462</v>
      </c>
      <c r="BJ14" s="120">
        <f t="shared" si="32"/>
        <v>61.06610824416309</v>
      </c>
      <c r="BK14" s="120">
        <f t="shared" si="32"/>
        <v>65.09647138827786</v>
      </c>
      <c r="BL14" s="120">
        <f t="shared" si="32"/>
        <v>69.3928384999042</v>
      </c>
      <c r="BM14" s="120">
        <f t="shared" si="32"/>
        <v>73.97276584089788</v>
      </c>
      <c r="BN14" s="120">
        <f t="shared" si="32"/>
        <v>78.85496838639715</v>
      </c>
      <c r="BO14" s="120">
        <f t="shared" si="32"/>
        <v>84.05939629989936</v>
      </c>
      <c r="BP14" s="120">
        <f t="shared" si="32"/>
        <v>89.60731645569273</v>
      </c>
      <c r="BQ14" s="120">
        <f t="shared" si="32"/>
        <v>95.52139934176844</v>
      </c>
      <c r="BR14" s="120">
        <f t="shared" si="32"/>
        <v>101.82581169832517</v>
      </c>
      <c r="BS14" s="120">
        <f t="shared" si="32"/>
        <v>108.54631527041464</v>
      </c>
      <c r="BT14" s="120">
        <f t="shared" si="32"/>
        <v>115.71037207826201</v>
      </c>
      <c r="BU14" s="120">
        <f t="shared" si="32"/>
        <v>123.34725663542731</v>
      </c>
      <c r="BV14" s="120">
        <f t="shared" si="32"/>
        <v>131.48817557336554</v>
      </c>
      <c r="BW14" s="120">
        <f t="shared" si="32"/>
        <v>140.16639516120767</v>
      </c>
      <c r="BX14" s="120">
        <f t="shared" si="32"/>
        <v>149.4173772418474</v>
      </c>
      <c r="BY14" s="120">
        <f aca="true" t="shared" si="33" ref="BY14:EJ14">BX14*(1+$M$3)</f>
        <v>159.27892413980933</v>
      </c>
      <c r="BZ14" s="120">
        <f t="shared" si="33"/>
        <v>169.79133313303677</v>
      </c>
      <c r="CA14" s="120">
        <f t="shared" si="33"/>
        <v>180.99756111981722</v>
      </c>
      <c r="CB14" s="120">
        <f t="shared" si="33"/>
        <v>192.94340015372518</v>
      </c>
      <c r="CC14" s="120">
        <f t="shared" si="33"/>
        <v>205.67766456387105</v>
      </c>
      <c r="CD14" s="120">
        <f t="shared" si="33"/>
        <v>219.25239042508656</v>
      </c>
      <c r="CE14" s="120">
        <f t="shared" si="33"/>
        <v>233.7230481931423</v>
      </c>
      <c r="CF14" s="120">
        <f t="shared" si="33"/>
        <v>249.1487693738897</v>
      </c>
      <c r="CG14" s="120">
        <f t="shared" si="33"/>
        <v>265.59258815256646</v>
      </c>
      <c r="CH14" s="120">
        <f t="shared" si="33"/>
        <v>283.12169897063586</v>
      </c>
      <c r="CI14" s="120">
        <f t="shared" si="33"/>
        <v>301.80773110269786</v>
      </c>
      <c r="CJ14" s="120">
        <f t="shared" si="33"/>
        <v>321.72704135547593</v>
      </c>
      <c r="CK14" s="120">
        <f t="shared" si="33"/>
        <v>342.9610260849374</v>
      </c>
      <c r="CL14" s="120">
        <f t="shared" si="33"/>
        <v>365.59645380654325</v>
      </c>
      <c r="CM14" s="120">
        <f t="shared" si="33"/>
        <v>389.7258197577751</v>
      </c>
      <c r="CN14" s="120">
        <f t="shared" si="33"/>
        <v>415.4477238617883</v>
      </c>
      <c r="CO14" s="120">
        <f t="shared" si="33"/>
        <v>442.86727363666637</v>
      </c>
      <c r="CP14" s="120">
        <f t="shared" si="33"/>
        <v>472.0965136966864</v>
      </c>
      <c r="CQ14" s="120">
        <f t="shared" si="33"/>
        <v>503.2548836006677</v>
      </c>
      <c r="CR14" s="120">
        <f t="shared" si="33"/>
        <v>536.4697059183118</v>
      </c>
      <c r="CS14" s="120">
        <f t="shared" si="33"/>
        <v>571.8767065089204</v>
      </c>
      <c r="CT14" s="120">
        <f t="shared" si="33"/>
        <v>609.6205691385092</v>
      </c>
      <c r="CU14" s="120">
        <f t="shared" si="33"/>
        <v>649.8555267016508</v>
      </c>
      <c r="CV14" s="120">
        <f t="shared" si="33"/>
        <v>692.7459914639597</v>
      </c>
      <c r="CW14" s="120">
        <f t="shared" si="33"/>
        <v>738.4672269005811</v>
      </c>
      <c r="CX14" s="120">
        <f t="shared" si="33"/>
        <v>787.2060638760195</v>
      </c>
      <c r="CY14" s="120">
        <f t="shared" si="33"/>
        <v>839.1616640918368</v>
      </c>
      <c r="CZ14" s="120">
        <f t="shared" si="33"/>
        <v>894.546333921898</v>
      </c>
      <c r="DA14" s="120">
        <f t="shared" si="33"/>
        <v>953.5863919607434</v>
      </c>
      <c r="DB14" s="120">
        <f t="shared" si="33"/>
        <v>1016.5230938301526</v>
      </c>
      <c r="DC14" s="120">
        <f t="shared" si="33"/>
        <v>1083.6136180229428</v>
      </c>
      <c r="DD14" s="120">
        <f t="shared" si="33"/>
        <v>1155.132116812457</v>
      </c>
      <c r="DE14" s="120">
        <f t="shared" si="33"/>
        <v>1231.3708365220793</v>
      </c>
      <c r="DF14" s="120">
        <f t="shared" si="33"/>
        <v>1312.6413117325367</v>
      </c>
      <c r="DG14" s="120">
        <f t="shared" si="33"/>
        <v>1399.2756383068843</v>
      </c>
      <c r="DH14" s="120">
        <f t="shared" si="33"/>
        <v>1491.6278304351388</v>
      </c>
      <c r="DI14" s="120">
        <f t="shared" si="33"/>
        <v>1590.075267243858</v>
      </c>
      <c r="DJ14" s="120">
        <f t="shared" si="33"/>
        <v>1695.0202348819528</v>
      </c>
      <c r="DK14" s="120">
        <f t="shared" si="33"/>
        <v>1806.8915703841617</v>
      </c>
      <c r="DL14" s="120">
        <f t="shared" si="33"/>
        <v>1926.1464140295166</v>
      </c>
      <c r="DM14" s="120">
        <f t="shared" si="33"/>
        <v>2053.2720773554647</v>
      </c>
      <c r="DN14" s="120">
        <f t="shared" si="33"/>
        <v>2188.7880344609257</v>
      </c>
      <c r="DO14" s="120">
        <f t="shared" si="33"/>
        <v>2333.248044735347</v>
      </c>
      <c r="DP14" s="120">
        <f t="shared" si="33"/>
        <v>2487.24241568788</v>
      </c>
      <c r="DQ14" s="120">
        <f t="shared" si="33"/>
        <v>2651.4004151232803</v>
      </c>
      <c r="DR14" s="120">
        <f t="shared" si="33"/>
        <v>2826.3928425214167</v>
      </c>
      <c r="DS14" s="120">
        <f t="shared" si="33"/>
        <v>3012.9347701278302</v>
      </c>
      <c r="DT14" s="120">
        <f t="shared" si="33"/>
        <v>3211.788464956267</v>
      </c>
      <c r="DU14" s="120">
        <f t="shared" si="33"/>
        <v>3423.766503643381</v>
      </c>
      <c r="DV14" s="120">
        <f t="shared" si="33"/>
        <v>3649.735092883844</v>
      </c>
      <c r="DW14" s="120">
        <f t="shared" si="33"/>
        <v>3890.617609014178</v>
      </c>
      <c r="DX14" s="120">
        <f t="shared" si="33"/>
        <v>4147.398371209114</v>
      </c>
      <c r="DY14" s="120">
        <f t="shared" si="33"/>
        <v>4421.126663708916</v>
      </c>
      <c r="DZ14" s="120">
        <f t="shared" si="33"/>
        <v>4712.921023513704</v>
      </c>
      <c r="EA14" s="120">
        <f t="shared" si="33"/>
        <v>5023.973811065609</v>
      </c>
      <c r="EB14" s="120">
        <f t="shared" si="33"/>
        <v>5355.556082595939</v>
      </c>
      <c r="EC14" s="120">
        <f t="shared" si="33"/>
        <v>5709.022784047272</v>
      </c>
      <c r="ED14" s="120">
        <f t="shared" si="33"/>
        <v>6085.818287794392</v>
      </c>
      <c r="EE14" s="120">
        <f t="shared" si="33"/>
        <v>6487.482294788822</v>
      </c>
      <c r="EF14" s="120">
        <f t="shared" si="33"/>
        <v>6915.656126244885</v>
      </c>
      <c r="EG14" s="120">
        <f t="shared" si="33"/>
        <v>7372.089430577048</v>
      </c>
      <c r="EH14" s="120">
        <f t="shared" si="33"/>
        <v>7858.647332995133</v>
      </c>
      <c r="EI14" s="120">
        <f t="shared" si="33"/>
        <v>8377.318056972812</v>
      </c>
      <c r="EJ14" s="120">
        <f t="shared" si="33"/>
        <v>8930.221048733018</v>
      </c>
      <c r="EK14" s="120">
        <f aca="true" t="shared" si="34" ref="EK14:FB14">EJ14*(1+$M$3)</f>
        <v>9519.615637949397</v>
      </c>
      <c r="EL14" s="120">
        <f t="shared" si="34"/>
        <v>10147.910270054057</v>
      </c>
      <c r="EM14" s="120">
        <f t="shared" si="34"/>
        <v>10817.672347877626</v>
      </c>
      <c r="EN14" s="120">
        <f t="shared" si="34"/>
        <v>11531.63872283755</v>
      </c>
      <c r="EO14" s="120">
        <f t="shared" si="34"/>
        <v>12292.726878544829</v>
      </c>
      <c r="EP14" s="120">
        <f t="shared" si="34"/>
        <v>13104.046852528789</v>
      </c>
      <c r="EQ14" s="120">
        <f t="shared" si="34"/>
        <v>13968.91394479569</v>
      </c>
      <c r="ER14" s="120">
        <f t="shared" si="34"/>
        <v>14890.862265152206</v>
      </c>
      <c r="ES14" s="120">
        <f t="shared" si="34"/>
        <v>15873.659174652252</v>
      </c>
      <c r="ET14" s="120">
        <f t="shared" si="34"/>
        <v>16921.320680179302</v>
      </c>
      <c r="EU14" s="120">
        <f t="shared" si="34"/>
        <v>18038.127845071136</v>
      </c>
      <c r="EV14" s="120">
        <f t="shared" si="34"/>
        <v>19228.64428284583</v>
      </c>
      <c r="EW14" s="120">
        <f t="shared" si="34"/>
        <v>20497.734805513657</v>
      </c>
      <c r="EX14" s="120">
        <f t="shared" si="34"/>
        <v>21850.58530267756</v>
      </c>
      <c r="EY14" s="120">
        <f t="shared" si="34"/>
        <v>23292.72393265428</v>
      </c>
      <c r="EZ14" s="120">
        <f t="shared" si="34"/>
        <v>24830.043712209463</v>
      </c>
      <c r="FA14" s="120">
        <f t="shared" si="34"/>
        <v>26468.826597215288</v>
      </c>
      <c r="FB14" s="120">
        <f t="shared" si="34"/>
        <v>28215.7691526315</v>
      </c>
    </row>
    <row r="15" spans="1:158" ht="15">
      <c r="A15" s="125">
        <f>'Page 4'!A21</f>
        <v>10</v>
      </c>
      <c r="B15" s="125" t="str">
        <f>'Page 4'!B21</f>
        <v>SCANA Corp.</v>
      </c>
      <c r="C15" s="126">
        <f>'Page 4'!C21</f>
        <v>1.66</v>
      </c>
      <c r="D15" s="126">
        <f>'Page 4'!D21</f>
        <v>1.9</v>
      </c>
      <c r="E15" s="119">
        <f t="shared" si="8"/>
        <v>0.04604051127515274</v>
      </c>
      <c r="F15" s="119"/>
      <c r="G15" s="119">
        <f>IRR(H15:FB15,0.12)</f>
        <v>0.10517768559465078</v>
      </c>
      <c r="H15" s="120">
        <f>-'Page 2'!C21</f>
        <v>-40.02333333333333</v>
      </c>
      <c r="I15" s="120">
        <f t="shared" si="9"/>
        <v>1.66</v>
      </c>
      <c r="J15" s="120">
        <f t="shared" si="3"/>
        <v>1.74</v>
      </c>
      <c r="K15" s="120">
        <f t="shared" si="3"/>
        <v>1.82</v>
      </c>
      <c r="L15" s="120">
        <f t="shared" si="10"/>
        <v>1.9</v>
      </c>
      <c r="M15" s="120">
        <f aca="true" t="shared" si="35" ref="M15:BX15">L15*(1+$M$3)</f>
        <v>2.0254</v>
      </c>
      <c r="N15" s="120">
        <f t="shared" si="35"/>
        <v>2.1590764</v>
      </c>
      <c r="O15" s="120">
        <f t="shared" si="35"/>
        <v>2.3015754424000003</v>
      </c>
      <c r="P15" s="120">
        <f t="shared" si="35"/>
        <v>2.4534794215984004</v>
      </c>
      <c r="Q15" s="120">
        <f t="shared" si="35"/>
        <v>2.615409063423895</v>
      </c>
      <c r="R15" s="120">
        <f t="shared" si="35"/>
        <v>2.788026061609872</v>
      </c>
      <c r="S15" s="120">
        <f t="shared" si="35"/>
        <v>2.972035781676124</v>
      </c>
      <c r="T15" s="120">
        <f t="shared" si="35"/>
        <v>3.1681901432667483</v>
      </c>
      <c r="U15" s="120">
        <f t="shared" si="35"/>
        <v>3.377290692722354</v>
      </c>
      <c r="V15" s="120">
        <f t="shared" si="35"/>
        <v>3.6001918784420295</v>
      </c>
      <c r="W15" s="120">
        <f t="shared" si="35"/>
        <v>3.8378045424192035</v>
      </c>
      <c r="X15" s="120">
        <f t="shared" si="35"/>
        <v>4.091099642218871</v>
      </c>
      <c r="Y15" s="120">
        <f t="shared" si="35"/>
        <v>4.361112218605316</v>
      </c>
      <c r="Z15" s="120">
        <f t="shared" si="35"/>
        <v>4.648945625033267</v>
      </c>
      <c r="AA15" s="120">
        <f t="shared" si="35"/>
        <v>4.955776036285463</v>
      </c>
      <c r="AB15" s="120">
        <f t="shared" si="35"/>
        <v>5.282857254680303</v>
      </c>
      <c r="AC15" s="120">
        <f t="shared" si="35"/>
        <v>5.631525833489204</v>
      </c>
      <c r="AD15" s="120">
        <f t="shared" si="35"/>
        <v>6.003206538499492</v>
      </c>
      <c r="AE15" s="120">
        <f t="shared" si="35"/>
        <v>6.399418170040459</v>
      </c>
      <c r="AF15" s="120">
        <f t="shared" si="35"/>
        <v>6.82177976926313</v>
      </c>
      <c r="AG15" s="120">
        <f t="shared" si="35"/>
        <v>7.272017234034497</v>
      </c>
      <c r="AH15" s="120">
        <f t="shared" si="35"/>
        <v>7.751970371480774</v>
      </c>
      <c r="AI15" s="120">
        <f t="shared" si="35"/>
        <v>8.263600415998505</v>
      </c>
      <c r="AJ15" s="120">
        <f t="shared" si="35"/>
        <v>8.808998043454407</v>
      </c>
      <c r="AK15" s="120">
        <f t="shared" si="35"/>
        <v>9.390391914322398</v>
      </c>
      <c r="AL15" s="120">
        <f t="shared" si="35"/>
        <v>10.010157780667678</v>
      </c>
      <c r="AM15" s="120">
        <f t="shared" si="35"/>
        <v>10.670828194191746</v>
      </c>
      <c r="AN15" s="120">
        <f t="shared" si="35"/>
        <v>11.375102855008402</v>
      </c>
      <c r="AO15" s="120">
        <f t="shared" si="35"/>
        <v>12.125859643438957</v>
      </c>
      <c r="AP15" s="120">
        <f t="shared" si="35"/>
        <v>12.92616637990593</v>
      </c>
      <c r="AQ15" s="120">
        <f t="shared" si="35"/>
        <v>13.779293360979722</v>
      </c>
      <c r="AR15" s="120">
        <f t="shared" si="35"/>
        <v>14.688726722804384</v>
      </c>
      <c r="AS15" s="120">
        <f t="shared" si="35"/>
        <v>15.658182686509475</v>
      </c>
      <c r="AT15" s="120">
        <f t="shared" si="35"/>
        <v>16.691622743819103</v>
      </c>
      <c r="AU15" s="120">
        <f t="shared" si="35"/>
        <v>17.793269844911165</v>
      </c>
      <c r="AV15" s="120">
        <f t="shared" si="35"/>
        <v>18.967625654675302</v>
      </c>
      <c r="AW15" s="120">
        <f t="shared" si="35"/>
        <v>20.219488947883875</v>
      </c>
      <c r="AX15" s="120">
        <f t="shared" si="35"/>
        <v>21.55397521844421</v>
      </c>
      <c r="AY15" s="120">
        <f t="shared" si="35"/>
        <v>22.976537582861532</v>
      </c>
      <c r="AZ15" s="120">
        <f t="shared" si="35"/>
        <v>24.492989063330395</v>
      </c>
      <c r="BA15" s="120">
        <f t="shared" si="35"/>
        <v>26.109526341510204</v>
      </c>
      <c r="BB15" s="120">
        <f t="shared" si="35"/>
        <v>27.83275508004988</v>
      </c>
      <c r="BC15" s="120">
        <f t="shared" si="35"/>
        <v>29.669716915333172</v>
      </c>
      <c r="BD15" s="120">
        <f t="shared" si="35"/>
        <v>31.627918231745163</v>
      </c>
      <c r="BE15" s="120">
        <f t="shared" si="35"/>
        <v>33.71536083504034</v>
      </c>
      <c r="BF15" s="120">
        <f t="shared" si="35"/>
        <v>35.94057465015301</v>
      </c>
      <c r="BG15" s="120">
        <f t="shared" si="35"/>
        <v>38.31265257706311</v>
      </c>
      <c r="BH15" s="120">
        <f t="shared" si="35"/>
        <v>40.84128764714928</v>
      </c>
      <c r="BI15" s="120">
        <f t="shared" si="35"/>
        <v>43.53681263186113</v>
      </c>
      <c r="BJ15" s="120">
        <f t="shared" si="35"/>
        <v>46.410242265563966</v>
      </c>
      <c r="BK15" s="120">
        <f t="shared" si="35"/>
        <v>49.47331825509119</v>
      </c>
      <c r="BL15" s="120">
        <f t="shared" si="35"/>
        <v>52.73855725992721</v>
      </c>
      <c r="BM15" s="120">
        <f t="shared" si="35"/>
        <v>56.219302039082415</v>
      </c>
      <c r="BN15" s="120">
        <f t="shared" si="35"/>
        <v>59.929775973661854</v>
      </c>
      <c r="BO15" s="120">
        <f t="shared" si="35"/>
        <v>63.88514118792354</v>
      </c>
      <c r="BP15" s="120">
        <f t="shared" si="35"/>
        <v>68.10156050632649</v>
      </c>
      <c r="BQ15" s="120">
        <f t="shared" si="35"/>
        <v>72.59626349974404</v>
      </c>
      <c r="BR15" s="120">
        <f t="shared" si="35"/>
        <v>77.38761689072714</v>
      </c>
      <c r="BS15" s="120">
        <f t="shared" si="35"/>
        <v>82.49519960551514</v>
      </c>
      <c r="BT15" s="120">
        <f t="shared" si="35"/>
        <v>87.93988277947915</v>
      </c>
      <c r="BU15" s="120">
        <f t="shared" si="35"/>
        <v>93.74391504292478</v>
      </c>
      <c r="BV15" s="120">
        <f t="shared" si="35"/>
        <v>99.93101343575782</v>
      </c>
      <c r="BW15" s="120">
        <f t="shared" si="35"/>
        <v>106.52646032251783</v>
      </c>
      <c r="BX15" s="120">
        <f t="shared" si="35"/>
        <v>113.55720670380401</v>
      </c>
      <c r="BY15" s="120">
        <f aca="true" t="shared" si="36" ref="BY15:EJ15">BX15*(1+$M$3)</f>
        <v>121.05198234625509</v>
      </c>
      <c r="BZ15" s="120">
        <f t="shared" si="36"/>
        <v>129.04141318110794</v>
      </c>
      <c r="CA15" s="120">
        <f t="shared" si="36"/>
        <v>137.55814645106108</v>
      </c>
      <c r="CB15" s="120">
        <f t="shared" si="36"/>
        <v>146.63698411683112</v>
      </c>
      <c r="CC15" s="120">
        <f t="shared" si="36"/>
        <v>156.31502506854198</v>
      </c>
      <c r="CD15" s="120">
        <f t="shared" si="36"/>
        <v>166.63181672306575</v>
      </c>
      <c r="CE15" s="120">
        <f t="shared" si="36"/>
        <v>177.6295166267881</v>
      </c>
      <c r="CF15" s="120">
        <f t="shared" si="36"/>
        <v>189.35306472415613</v>
      </c>
      <c r="CG15" s="120">
        <f t="shared" si="36"/>
        <v>201.85036699595045</v>
      </c>
      <c r="CH15" s="120">
        <f t="shared" si="36"/>
        <v>215.1724912176832</v>
      </c>
      <c r="CI15" s="120">
        <f t="shared" si="36"/>
        <v>229.3738756380503</v>
      </c>
      <c r="CJ15" s="120">
        <f t="shared" si="36"/>
        <v>244.51255143016164</v>
      </c>
      <c r="CK15" s="120">
        <f t="shared" si="36"/>
        <v>260.6503798245523</v>
      </c>
      <c r="CL15" s="120">
        <f t="shared" si="36"/>
        <v>277.8533048929728</v>
      </c>
      <c r="CM15" s="120">
        <f t="shared" si="36"/>
        <v>296.19162301590904</v>
      </c>
      <c r="CN15" s="120">
        <f t="shared" si="36"/>
        <v>315.7402701349591</v>
      </c>
      <c r="CO15" s="120">
        <f t="shared" si="36"/>
        <v>336.57912796386637</v>
      </c>
      <c r="CP15" s="120">
        <f t="shared" si="36"/>
        <v>358.79335040948155</v>
      </c>
      <c r="CQ15" s="120">
        <f t="shared" si="36"/>
        <v>382.4737115365073</v>
      </c>
      <c r="CR15" s="120">
        <f t="shared" si="36"/>
        <v>407.71697649791685</v>
      </c>
      <c r="CS15" s="120">
        <f t="shared" si="36"/>
        <v>434.6262969467794</v>
      </c>
      <c r="CT15" s="120">
        <f t="shared" si="36"/>
        <v>463.3116325452669</v>
      </c>
      <c r="CU15" s="120">
        <f t="shared" si="36"/>
        <v>493.8902002932545</v>
      </c>
      <c r="CV15" s="120">
        <f t="shared" si="36"/>
        <v>526.4869535126094</v>
      </c>
      <c r="CW15" s="120">
        <f t="shared" si="36"/>
        <v>561.2350924444416</v>
      </c>
      <c r="CX15" s="120">
        <f t="shared" si="36"/>
        <v>598.2766085457748</v>
      </c>
      <c r="CY15" s="120">
        <f t="shared" si="36"/>
        <v>637.762864709796</v>
      </c>
      <c r="CZ15" s="120">
        <f t="shared" si="36"/>
        <v>679.8552137806425</v>
      </c>
      <c r="DA15" s="120">
        <f t="shared" si="36"/>
        <v>724.7256578901649</v>
      </c>
      <c r="DB15" s="120">
        <f t="shared" si="36"/>
        <v>772.5575513109159</v>
      </c>
      <c r="DC15" s="120">
        <f t="shared" si="36"/>
        <v>823.5463496974363</v>
      </c>
      <c r="DD15" s="120">
        <f t="shared" si="36"/>
        <v>877.9004087774672</v>
      </c>
      <c r="DE15" s="120">
        <f t="shared" si="36"/>
        <v>935.84183575678</v>
      </c>
      <c r="DF15" s="120">
        <f t="shared" si="36"/>
        <v>997.6073969167276</v>
      </c>
      <c r="DG15" s="120">
        <f t="shared" si="36"/>
        <v>1063.4494851132317</v>
      </c>
      <c r="DH15" s="120">
        <f t="shared" si="36"/>
        <v>1133.637151130705</v>
      </c>
      <c r="DI15" s="120">
        <f t="shared" si="36"/>
        <v>1208.4572031053315</v>
      </c>
      <c r="DJ15" s="120">
        <f t="shared" si="36"/>
        <v>1288.2153785102835</v>
      </c>
      <c r="DK15" s="120">
        <f t="shared" si="36"/>
        <v>1373.2375934919623</v>
      </c>
      <c r="DL15" s="120">
        <f t="shared" si="36"/>
        <v>1463.871274662432</v>
      </c>
      <c r="DM15" s="120">
        <f t="shared" si="36"/>
        <v>1560.4867787901526</v>
      </c>
      <c r="DN15" s="120">
        <f t="shared" si="36"/>
        <v>1663.4789061903027</v>
      </c>
      <c r="DO15" s="120">
        <f t="shared" si="36"/>
        <v>1773.2685139988628</v>
      </c>
      <c r="DP15" s="120">
        <f t="shared" si="36"/>
        <v>1890.3042359227877</v>
      </c>
      <c r="DQ15" s="120">
        <f t="shared" si="36"/>
        <v>2015.0643154936918</v>
      </c>
      <c r="DR15" s="120">
        <f t="shared" si="36"/>
        <v>2148.0585603162754</v>
      </c>
      <c r="DS15" s="120">
        <f t="shared" si="36"/>
        <v>2289.8304252971498</v>
      </c>
      <c r="DT15" s="120">
        <f t="shared" si="36"/>
        <v>2440.959233366762</v>
      </c>
      <c r="DU15" s="120">
        <f t="shared" si="36"/>
        <v>2602.0625427689683</v>
      </c>
      <c r="DV15" s="120">
        <f t="shared" si="36"/>
        <v>2773.7986705917206</v>
      </c>
      <c r="DW15" s="120">
        <f t="shared" si="36"/>
        <v>2956.8693828507744</v>
      </c>
      <c r="DX15" s="120">
        <f t="shared" si="36"/>
        <v>3152.0227621189256</v>
      </c>
      <c r="DY15" s="120">
        <f t="shared" si="36"/>
        <v>3360.056264418775</v>
      </c>
      <c r="DZ15" s="120">
        <f t="shared" si="36"/>
        <v>3581.8199778704143</v>
      </c>
      <c r="EA15" s="120">
        <f t="shared" si="36"/>
        <v>3818.220096409862</v>
      </c>
      <c r="EB15" s="120">
        <f t="shared" si="36"/>
        <v>4070.222622772913</v>
      </c>
      <c r="EC15" s="120">
        <f t="shared" si="36"/>
        <v>4338.857315875925</v>
      </c>
      <c r="ED15" s="120">
        <f t="shared" si="36"/>
        <v>4625.221898723737</v>
      </c>
      <c r="EE15" s="120">
        <f t="shared" si="36"/>
        <v>4930.486544039503</v>
      </c>
      <c r="EF15" s="120">
        <f t="shared" si="36"/>
        <v>5255.898655946111</v>
      </c>
      <c r="EG15" s="120">
        <f t="shared" si="36"/>
        <v>5602.787967238554</v>
      </c>
      <c r="EH15" s="120">
        <f t="shared" si="36"/>
        <v>5972.571973076299</v>
      </c>
      <c r="EI15" s="120">
        <f t="shared" si="36"/>
        <v>6366.761723299335</v>
      </c>
      <c r="EJ15" s="120">
        <f t="shared" si="36"/>
        <v>6786.967997037092</v>
      </c>
      <c r="EK15" s="120">
        <f aca="true" t="shared" si="37" ref="EK15:FB15">EJ15*(1+$M$3)</f>
        <v>7234.90788484154</v>
      </c>
      <c r="EL15" s="120">
        <f t="shared" si="37"/>
        <v>7712.411805241082</v>
      </c>
      <c r="EM15" s="120">
        <f t="shared" si="37"/>
        <v>8221.430984386994</v>
      </c>
      <c r="EN15" s="120">
        <f t="shared" si="37"/>
        <v>8764.045429356536</v>
      </c>
      <c r="EO15" s="120">
        <f t="shared" si="37"/>
        <v>9342.472427694069</v>
      </c>
      <c r="EP15" s="120">
        <f t="shared" si="37"/>
        <v>9959.075607921877</v>
      </c>
      <c r="EQ15" s="120">
        <f t="shared" si="37"/>
        <v>10616.374598044722</v>
      </c>
      <c r="ER15" s="120">
        <f t="shared" si="37"/>
        <v>11317.055321515674</v>
      </c>
      <c r="ES15" s="120">
        <f t="shared" si="37"/>
        <v>12063.98097273571</v>
      </c>
      <c r="ET15" s="120">
        <f t="shared" si="37"/>
        <v>12860.203716936267</v>
      </c>
      <c r="EU15" s="120">
        <f t="shared" si="37"/>
        <v>13708.977162254061</v>
      </c>
      <c r="EV15" s="120">
        <f t="shared" si="37"/>
        <v>14613.76965496283</v>
      </c>
      <c r="EW15" s="120">
        <f t="shared" si="37"/>
        <v>15578.278452190378</v>
      </c>
      <c r="EX15" s="120">
        <f t="shared" si="37"/>
        <v>16606.444830034943</v>
      </c>
      <c r="EY15" s="120">
        <f t="shared" si="37"/>
        <v>17702.47018881725</v>
      </c>
      <c r="EZ15" s="120">
        <f t="shared" si="37"/>
        <v>18870.83322127919</v>
      </c>
      <c r="FA15" s="120">
        <f t="shared" si="37"/>
        <v>20116.308213883618</v>
      </c>
      <c r="FB15" s="120">
        <f t="shared" si="37"/>
        <v>21443.984555999938</v>
      </c>
    </row>
    <row r="16" spans="1:158" ht="15">
      <c r="A16" s="125">
        <f>'Page 4'!A22</f>
        <v>11</v>
      </c>
      <c r="B16" s="125" t="str">
        <f>'Page 4'!B22</f>
        <v>Southern Co.</v>
      </c>
      <c r="C16" s="126">
        <f>'Page 4'!C22</f>
        <v>1.53</v>
      </c>
      <c r="D16" s="126">
        <f>'Page 4'!D22</f>
        <v>1.71</v>
      </c>
      <c r="E16" s="119">
        <f>(D16/C16)^(1/3)-1</f>
        <v>0.03777107043295369</v>
      </c>
      <c r="F16" s="119"/>
      <c r="G16" s="119">
        <f>IRR(H16:FB16,0.12)</f>
        <v>0.10676266128582722</v>
      </c>
      <c r="H16" s="120">
        <f>-'Page 2'!C22</f>
        <v>-34.71666666666667</v>
      </c>
      <c r="I16" s="120">
        <f>C16</f>
        <v>1.53</v>
      </c>
      <c r="J16" s="120">
        <f aca="true" t="shared" si="38" ref="J16:K18">I16+($L16-$I16)/3</f>
        <v>1.59</v>
      </c>
      <c r="K16" s="120">
        <f t="shared" si="38"/>
        <v>1.6500000000000001</v>
      </c>
      <c r="L16" s="120">
        <f>D16</f>
        <v>1.71</v>
      </c>
      <c r="M16" s="120">
        <f aca="true" t="shared" si="39" ref="M16:BX16">L16*(1+$M$3)</f>
        <v>1.8228600000000001</v>
      </c>
      <c r="N16" s="120">
        <f t="shared" si="39"/>
        <v>1.9431687600000003</v>
      </c>
      <c r="O16" s="120">
        <f t="shared" si="39"/>
        <v>2.0714178981600004</v>
      </c>
      <c r="P16" s="120">
        <f t="shared" si="39"/>
        <v>2.2081314794385607</v>
      </c>
      <c r="Q16" s="120">
        <f t="shared" si="39"/>
        <v>2.353868157081506</v>
      </c>
      <c r="R16" s="120">
        <f t="shared" si="39"/>
        <v>2.5092234554488853</v>
      </c>
      <c r="S16" s="120">
        <f t="shared" si="39"/>
        <v>2.6748322035085117</v>
      </c>
      <c r="T16" s="120">
        <f t="shared" si="39"/>
        <v>2.8513711289400736</v>
      </c>
      <c r="U16" s="120">
        <f t="shared" si="39"/>
        <v>3.0395616234501186</v>
      </c>
      <c r="V16" s="120">
        <f t="shared" si="39"/>
        <v>3.2401726905978268</v>
      </c>
      <c r="W16" s="120">
        <f t="shared" si="39"/>
        <v>3.4540240881772837</v>
      </c>
      <c r="X16" s="120">
        <f t="shared" si="39"/>
        <v>3.6819896779969845</v>
      </c>
      <c r="Y16" s="120">
        <f t="shared" si="39"/>
        <v>3.9250009967447856</v>
      </c>
      <c r="Z16" s="120">
        <f t="shared" si="39"/>
        <v>4.184051062529941</v>
      </c>
      <c r="AA16" s="120">
        <f t="shared" si="39"/>
        <v>4.4601984326569175</v>
      </c>
      <c r="AB16" s="120">
        <f t="shared" si="39"/>
        <v>4.754571529212274</v>
      </c>
      <c r="AC16" s="120">
        <f t="shared" si="39"/>
        <v>5.068373250140285</v>
      </c>
      <c r="AD16" s="120">
        <f t="shared" si="39"/>
        <v>5.402885884649544</v>
      </c>
      <c r="AE16" s="120">
        <f t="shared" si="39"/>
        <v>5.759476353036415</v>
      </c>
      <c r="AF16" s="120">
        <f t="shared" si="39"/>
        <v>6.139601792336818</v>
      </c>
      <c r="AG16" s="120">
        <f t="shared" si="39"/>
        <v>6.544815510631048</v>
      </c>
      <c r="AH16" s="120">
        <f t="shared" si="39"/>
        <v>6.976773334332698</v>
      </c>
      <c r="AI16" s="120">
        <f t="shared" si="39"/>
        <v>7.437240374398656</v>
      </c>
      <c r="AJ16" s="120">
        <f t="shared" si="39"/>
        <v>7.928098239108968</v>
      </c>
      <c r="AK16" s="120">
        <f t="shared" si="39"/>
        <v>8.45135272289016</v>
      </c>
      <c r="AL16" s="120">
        <f t="shared" si="39"/>
        <v>9.00914200260091</v>
      </c>
      <c r="AM16" s="120">
        <f t="shared" si="39"/>
        <v>9.60374537477257</v>
      </c>
      <c r="AN16" s="120">
        <f t="shared" si="39"/>
        <v>10.23759256950756</v>
      </c>
      <c r="AO16" s="120">
        <f t="shared" si="39"/>
        <v>10.91327367909506</v>
      </c>
      <c r="AP16" s="120">
        <f t="shared" si="39"/>
        <v>11.633549741915335</v>
      </c>
      <c r="AQ16" s="120">
        <f t="shared" si="39"/>
        <v>12.401364024881747</v>
      </c>
      <c r="AR16" s="120">
        <f t="shared" si="39"/>
        <v>13.219854050523944</v>
      </c>
      <c r="AS16" s="120">
        <f t="shared" si="39"/>
        <v>14.092364417858525</v>
      </c>
      <c r="AT16" s="120">
        <f t="shared" si="39"/>
        <v>15.022460469437188</v>
      </c>
      <c r="AU16" s="120">
        <f t="shared" si="39"/>
        <v>16.013942860420045</v>
      </c>
      <c r="AV16" s="120">
        <f t="shared" si="39"/>
        <v>17.07086308920777</v>
      </c>
      <c r="AW16" s="120">
        <f t="shared" si="39"/>
        <v>18.197540053095484</v>
      </c>
      <c r="AX16" s="120">
        <f t="shared" si="39"/>
        <v>19.398577696599787</v>
      </c>
      <c r="AY16" s="120">
        <f t="shared" si="39"/>
        <v>20.678883824575376</v>
      </c>
      <c r="AZ16" s="120">
        <f t="shared" si="39"/>
        <v>22.043690156997354</v>
      </c>
      <c r="BA16" s="120">
        <f t="shared" si="39"/>
        <v>23.49857370735918</v>
      </c>
      <c r="BB16" s="120">
        <f t="shared" si="39"/>
        <v>25.049479572044888</v>
      </c>
      <c r="BC16" s="120">
        <f t="shared" si="39"/>
        <v>26.70274522379985</v>
      </c>
      <c r="BD16" s="120">
        <f t="shared" si="39"/>
        <v>28.465126408570644</v>
      </c>
      <c r="BE16" s="120">
        <f t="shared" si="39"/>
        <v>30.343824751536307</v>
      </c>
      <c r="BF16" s="120">
        <f t="shared" si="39"/>
        <v>32.34651718513771</v>
      </c>
      <c r="BG16" s="120">
        <f t="shared" si="39"/>
        <v>34.4813873193568</v>
      </c>
      <c r="BH16" s="120">
        <f t="shared" si="39"/>
        <v>36.75715888243435</v>
      </c>
      <c r="BI16" s="120">
        <f t="shared" si="39"/>
        <v>39.183131368675014</v>
      </c>
      <c r="BJ16" s="120">
        <f t="shared" si="39"/>
        <v>41.76921803900757</v>
      </c>
      <c r="BK16" s="120">
        <f t="shared" si="39"/>
        <v>44.52598642958207</v>
      </c>
      <c r="BL16" s="120">
        <f t="shared" si="39"/>
        <v>47.46470153393449</v>
      </c>
      <c r="BM16" s="120">
        <f t="shared" si="39"/>
        <v>50.597371835174165</v>
      </c>
      <c r="BN16" s="120">
        <f t="shared" si="39"/>
        <v>53.93679837629566</v>
      </c>
      <c r="BO16" s="120">
        <f t="shared" si="39"/>
        <v>57.49662706913118</v>
      </c>
      <c r="BP16" s="120">
        <f t="shared" si="39"/>
        <v>61.29140445569384</v>
      </c>
      <c r="BQ16" s="120">
        <f t="shared" si="39"/>
        <v>65.33663714976964</v>
      </c>
      <c r="BR16" s="120">
        <f t="shared" si="39"/>
        <v>69.64885520165444</v>
      </c>
      <c r="BS16" s="120">
        <f t="shared" si="39"/>
        <v>74.24567964496364</v>
      </c>
      <c r="BT16" s="120">
        <f t="shared" si="39"/>
        <v>79.14589450153125</v>
      </c>
      <c r="BU16" s="120">
        <f t="shared" si="39"/>
        <v>84.36952353863231</v>
      </c>
      <c r="BV16" s="120">
        <f t="shared" si="39"/>
        <v>89.93791209218205</v>
      </c>
      <c r="BW16" s="120">
        <f t="shared" si="39"/>
        <v>95.87381429026607</v>
      </c>
      <c r="BX16" s="120">
        <f t="shared" si="39"/>
        <v>102.20148603342363</v>
      </c>
      <c r="BY16" s="120">
        <f aca="true" t="shared" si="40" ref="BY16:EJ16">BX16*(1+$M$3)</f>
        <v>108.9467841116296</v>
      </c>
      <c r="BZ16" s="120">
        <f t="shared" si="40"/>
        <v>116.13727186299715</v>
      </c>
      <c r="CA16" s="120">
        <f t="shared" si="40"/>
        <v>123.80233180595498</v>
      </c>
      <c r="CB16" s="120">
        <f t="shared" si="40"/>
        <v>131.97328570514802</v>
      </c>
      <c r="CC16" s="120">
        <f t="shared" si="40"/>
        <v>140.6835225616878</v>
      </c>
      <c r="CD16" s="120">
        <f t="shared" si="40"/>
        <v>149.9686350507592</v>
      </c>
      <c r="CE16" s="120">
        <f t="shared" si="40"/>
        <v>159.8665649641093</v>
      </c>
      <c r="CF16" s="120">
        <f t="shared" si="40"/>
        <v>170.41775825174054</v>
      </c>
      <c r="CG16" s="120">
        <f t="shared" si="40"/>
        <v>181.66533029635542</v>
      </c>
      <c r="CH16" s="120">
        <f t="shared" si="40"/>
        <v>193.6552420959149</v>
      </c>
      <c r="CI16" s="120">
        <f t="shared" si="40"/>
        <v>206.4364880742453</v>
      </c>
      <c r="CJ16" s="120">
        <f t="shared" si="40"/>
        <v>220.0612962871455</v>
      </c>
      <c r="CK16" s="120">
        <f t="shared" si="40"/>
        <v>234.5853418420971</v>
      </c>
      <c r="CL16" s="120">
        <f t="shared" si="40"/>
        <v>250.06797440367552</v>
      </c>
      <c r="CM16" s="120">
        <f t="shared" si="40"/>
        <v>266.57246071431814</v>
      </c>
      <c r="CN16" s="120">
        <f t="shared" si="40"/>
        <v>284.16624312146314</v>
      </c>
      <c r="CO16" s="120">
        <f t="shared" si="40"/>
        <v>302.9212151674797</v>
      </c>
      <c r="CP16" s="120">
        <f t="shared" si="40"/>
        <v>322.9140153685334</v>
      </c>
      <c r="CQ16" s="120">
        <f t="shared" si="40"/>
        <v>344.2263403828566</v>
      </c>
      <c r="CR16" s="120">
        <f t="shared" si="40"/>
        <v>366.94527884812516</v>
      </c>
      <c r="CS16" s="120">
        <f t="shared" si="40"/>
        <v>391.16366725210145</v>
      </c>
      <c r="CT16" s="120">
        <f t="shared" si="40"/>
        <v>416.9804692907402</v>
      </c>
      <c r="CU16" s="120">
        <f t="shared" si="40"/>
        <v>444.5011802639291</v>
      </c>
      <c r="CV16" s="120">
        <f t="shared" si="40"/>
        <v>473.83825816134845</v>
      </c>
      <c r="CW16" s="120">
        <f t="shared" si="40"/>
        <v>505.1115831999975</v>
      </c>
      <c r="CX16" s="120">
        <f t="shared" si="40"/>
        <v>538.4489476911973</v>
      </c>
      <c r="CY16" s="120">
        <f t="shared" si="40"/>
        <v>573.9865782388164</v>
      </c>
      <c r="CZ16" s="120">
        <f t="shared" si="40"/>
        <v>611.8696924025783</v>
      </c>
      <c r="DA16" s="120">
        <f t="shared" si="40"/>
        <v>652.2530921011485</v>
      </c>
      <c r="DB16" s="120">
        <f t="shared" si="40"/>
        <v>695.3017961798244</v>
      </c>
      <c r="DC16" s="120">
        <f t="shared" si="40"/>
        <v>741.1917147276928</v>
      </c>
      <c r="DD16" s="120">
        <f t="shared" si="40"/>
        <v>790.1103678997206</v>
      </c>
      <c r="DE16" s="120">
        <f t="shared" si="40"/>
        <v>842.2576521811022</v>
      </c>
      <c r="DF16" s="120">
        <f t="shared" si="40"/>
        <v>897.8466572250551</v>
      </c>
      <c r="DG16" s="120">
        <f t="shared" si="40"/>
        <v>957.1045366019088</v>
      </c>
      <c r="DH16" s="120">
        <f t="shared" si="40"/>
        <v>1020.2734360176348</v>
      </c>
      <c r="DI16" s="120">
        <f t="shared" si="40"/>
        <v>1087.6114827947988</v>
      </c>
      <c r="DJ16" s="120">
        <f t="shared" si="40"/>
        <v>1159.3938406592556</v>
      </c>
      <c r="DK16" s="120">
        <f t="shared" si="40"/>
        <v>1235.9138341427665</v>
      </c>
      <c r="DL16" s="120">
        <f t="shared" si="40"/>
        <v>1317.4841471961893</v>
      </c>
      <c r="DM16" s="120">
        <f t="shared" si="40"/>
        <v>1404.4381009111378</v>
      </c>
      <c r="DN16" s="120">
        <f t="shared" si="40"/>
        <v>1497.1310155712729</v>
      </c>
      <c r="DO16" s="120">
        <f t="shared" si="40"/>
        <v>1595.941662598977</v>
      </c>
      <c r="DP16" s="120">
        <f t="shared" si="40"/>
        <v>1701.2738123305096</v>
      </c>
      <c r="DQ16" s="120">
        <f t="shared" si="40"/>
        <v>1813.5578839443233</v>
      </c>
      <c r="DR16" s="120">
        <f t="shared" si="40"/>
        <v>1933.2527042846486</v>
      </c>
      <c r="DS16" s="120">
        <f t="shared" si="40"/>
        <v>2060.8473827674356</v>
      </c>
      <c r="DT16" s="120">
        <f t="shared" si="40"/>
        <v>2196.8633100300867</v>
      </c>
      <c r="DU16" s="120">
        <f t="shared" si="40"/>
        <v>2341.8562884920725</v>
      </c>
      <c r="DV16" s="120">
        <f t="shared" si="40"/>
        <v>2496.4188035325496</v>
      </c>
      <c r="DW16" s="120">
        <f t="shared" si="40"/>
        <v>2661.182444565698</v>
      </c>
      <c r="DX16" s="120">
        <f t="shared" si="40"/>
        <v>2836.8204859070343</v>
      </c>
      <c r="DY16" s="120">
        <f t="shared" si="40"/>
        <v>3024.0506379768985</v>
      </c>
      <c r="DZ16" s="120">
        <f t="shared" si="40"/>
        <v>3223.637980083374</v>
      </c>
      <c r="EA16" s="120">
        <f t="shared" si="40"/>
        <v>3436.3980867688765</v>
      </c>
      <c r="EB16" s="120">
        <f t="shared" si="40"/>
        <v>3663.2003604956226</v>
      </c>
      <c r="EC16" s="120">
        <f t="shared" si="40"/>
        <v>3904.971584288334</v>
      </c>
      <c r="ED16" s="120">
        <f t="shared" si="40"/>
        <v>4162.699708851364</v>
      </c>
      <c r="EE16" s="120">
        <f t="shared" si="40"/>
        <v>4437.437889635555</v>
      </c>
      <c r="EF16" s="120">
        <f t="shared" si="40"/>
        <v>4730.308790351502</v>
      </c>
      <c r="EG16" s="120">
        <f t="shared" si="40"/>
        <v>5042.509170514701</v>
      </c>
      <c r="EH16" s="120">
        <f t="shared" si="40"/>
        <v>5375.314775768671</v>
      </c>
      <c r="EI16" s="120">
        <f t="shared" si="40"/>
        <v>5730.085550969404</v>
      </c>
      <c r="EJ16" s="120">
        <f t="shared" si="40"/>
        <v>6108.271197333384</v>
      </c>
      <c r="EK16" s="120">
        <f aca="true" t="shared" si="41" ref="EK16:FB16">EJ16*(1+$M$3)</f>
        <v>6511.417096357388</v>
      </c>
      <c r="EL16" s="120">
        <f t="shared" si="41"/>
        <v>6941.170624716976</v>
      </c>
      <c r="EM16" s="120">
        <f t="shared" si="41"/>
        <v>7399.287885948297</v>
      </c>
      <c r="EN16" s="120">
        <f t="shared" si="41"/>
        <v>7887.640886420885</v>
      </c>
      <c r="EO16" s="120">
        <f t="shared" si="41"/>
        <v>8408.225184924664</v>
      </c>
      <c r="EP16" s="120">
        <f t="shared" si="41"/>
        <v>8963.168047129693</v>
      </c>
      <c r="EQ16" s="120">
        <f t="shared" si="41"/>
        <v>9554.737138240253</v>
      </c>
      <c r="ER16" s="120">
        <f t="shared" si="41"/>
        <v>10185.34978936411</v>
      </c>
      <c r="ES16" s="120">
        <f t="shared" si="41"/>
        <v>10857.582875462143</v>
      </c>
      <c r="ET16" s="120">
        <f t="shared" si="41"/>
        <v>11574.183345242645</v>
      </c>
      <c r="EU16" s="120">
        <f t="shared" si="41"/>
        <v>12338.079446028662</v>
      </c>
      <c r="EV16" s="120">
        <f t="shared" si="41"/>
        <v>13152.392689466555</v>
      </c>
      <c r="EW16" s="120">
        <f t="shared" si="41"/>
        <v>14020.450606971348</v>
      </c>
      <c r="EX16" s="120">
        <f t="shared" si="41"/>
        <v>14945.800347031458</v>
      </c>
      <c r="EY16" s="120">
        <f t="shared" si="41"/>
        <v>15932.223169935534</v>
      </c>
      <c r="EZ16" s="120">
        <f t="shared" si="41"/>
        <v>16983.74989915128</v>
      </c>
      <c r="FA16" s="120">
        <f t="shared" si="41"/>
        <v>18104.677392495265</v>
      </c>
      <c r="FB16" s="120">
        <f t="shared" si="41"/>
        <v>19299.586100399953</v>
      </c>
    </row>
    <row r="17" spans="1:158" ht="15">
      <c r="A17" s="125">
        <f>'Page 4'!A23</f>
        <v>12</v>
      </c>
      <c r="B17" s="125" t="str">
        <f>'Page 4'!B23</f>
        <v>Vectren Corp.</v>
      </c>
      <c r="C17" s="126">
        <f>'Page 4'!C23</f>
        <v>1.23</v>
      </c>
      <c r="D17" s="126">
        <f>'Page 4'!D23</f>
        <v>1.35</v>
      </c>
      <c r="E17" s="119">
        <f>(D17/C17)^(1/3)-1</f>
        <v>0.03151659438233945</v>
      </c>
      <c r="F17" s="119"/>
      <c r="G17" s="119">
        <f>IRR(H17:FB17,0.12)</f>
        <v>0.10716880822582729</v>
      </c>
      <c r="H17" s="120">
        <f>-'Page 2'!C23</f>
        <v>-27.18166666666667</v>
      </c>
      <c r="I17" s="120">
        <f>C17</f>
        <v>1.23</v>
      </c>
      <c r="J17" s="120">
        <f t="shared" si="38"/>
        <v>1.27</v>
      </c>
      <c r="K17" s="120">
        <f t="shared" si="38"/>
        <v>1.31</v>
      </c>
      <c r="L17" s="120">
        <f>D17</f>
        <v>1.35</v>
      </c>
      <c r="M17" s="120">
        <f aca="true" t="shared" si="42" ref="M17:BX17">L17*(1+$M$3)</f>
        <v>1.4391000000000003</v>
      </c>
      <c r="N17" s="120">
        <f t="shared" si="42"/>
        <v>1.5340806000000005</v>
      </c>
      <c r="O17" s="120">
        <f t="shared" si="42"/>
        <v>1.6353299196000006</v>
      </c>
      <c r="P17" s="120">
        <f t="shared" si="42"/>
        <v>1.7432616942936008</v>
      </c>
      <c r="Q17" s="120">
        <f t="shared" si="42"/>
        <v>1.8583169661169785</v>
      </c>
      <c r="R17" s="120">
        <f t="shared" si="42"/>
        <v>1.980965885880699</v>
      </c>
      <c r="S17" s="120">
        <f t="shared" si="42"/>
        <v>2.1117096343488253</v>
      </c>
      <c r="T17" s="120">
        <f t="shared" si="42"/>
        <v>2.251082470215848</v>
      </c>
      <c r="U17" s="120">
        <f t="shared" si="42"/>
        <v>2.399653913250094</v>
      </c>
      <c r="V17" s="120">
        <f t="shared" si="42"/>
        <v>2.5580310715246</v>
      </c>
      <c r="W17" s="120">
        <f t="shared" si="42"/>
        <v>2.726861122245224</v>
      </c>
      <c r="X17" s="120">
        <f t="shared" si="42"/>
        <v>2.906833956313409</v>
      </c>
      <c r="Y17" s="120">
        <f t="shared" si="42"/>
        <v>3.0986849974300945</v>
      </c>
      <c r="Z17" s="120">
        <f t="shared" si="42"/>
        <v>3.303198207260481</v>
      </c>
      <c r="AA17" s="120">
        <f t="shared" si="42"/>
        <v>3.521209288939673</v>
      </c>
      <c r="AB17" s="120">
        <f t="shared" si="42"/>
        <v>3.7536091020096913</v>
      </c>
      <c r="AC17" s="120">
        <f t="shared" si="42"/>
        <v>4.001347302742331</v>
      </c>
      <c r="AD17" s="120">
        <f t="shared" si="42"/>
        <v>4.265436224723325</v>
      </c>
      <c r="AE17" s="120">
        <f t="shared" si="42"/>
        <v>4.546955015555064</v>
      </c>
      <c r="AF17" s="120">
        <f t="shared" si="42"/>
        <v>4.847054046581699</v>
      </c>
      <c r="AG17" s="120">
        <f t="shared" si="42"/>
        <v>5.166959613656092</v>
      </c>
      <c r="AH17" s="120">
        <f t="shared" si="42"/>
        <v>5.507978948157394</v>
      </c>
      <c r="AI17" s="120">
        <f t="shared" si="42"/>
        <v>5.871505558735782</v>
      </c>
      <c r="AJ17" s="120">
        <f t="shared" si="42"/>
        <v>6.259024925612344</v>
      </c>
      <c r="AK17" s="120">
        <f t="shared" si="42"/>
        <v>6.672120570702759</v>
      </c>
      <c r="AL17" s="120">
        <f t="shared" si="42"/>
        <v>7.112480528369142</v>
      </c>
      <c r="AM17" s="120">
        <f t="shared" si="42"/>
        <v>7.581904243241506</v>
      </c>
      <c r="AN17" s="120">
        <f t="shared" si="42"/>
        <v>8.082309923295446</v>
      </c>
      <c r="AO17" s="120">
        <f t="shared" si="42"/>
        <v>8.615742378232946</v>
      </c>
      <c r="AP17" s="120">
        <f t="shared" si="42"/>
        <v>9.184381375196322</v>
      </c>
      <c r="AQ17" s="120">
        <f t="shared" si="42"/>
        <v>9.79055054595928</v>
      </c>
      <c r="AR17" s="120">
        <f t="shared" si="42"/>
        <v>10.436726881992593</v>
      </c>
      <c r="AS17" s="120">
        <f t="shared" si="42"/>
        <v>11.125550856204105</v>
      </c>
      <c r="AT17" s="120">
        <f t="shared" si="42"/>
        <v>11.859837212713577</v>
      </c>
      <c r="AU17" s="120">
        <f t="shared" si="42"/>
        <v>12.642586468752674</v>
      </c>
      <c r="AV17" s="120">
        <f t="shared" si="42"/>
        <v>13.47699717569035</v>
      </c>
      <c r="AW17" s="120">
        <f t="shared" si="42"/>
        <v>14.366478989285914</v>
      </c>
      <c r="AX17" s="120">
        <f t="shared" si="42"/>
        <v>15.314666602578786</v>
      </c>
      <c r="AY17" s="120">
        <f t="shared" si="42"/>
        <v>16.325434598348988</v>
      </c>
      <c r="AZ17" s="120">
        <f t="shared" si="42"/>
        <v>17.40291328184002</v>
      </c>
      <c r="BA17" s="120">
        <f t="shared" si="42"/>
        <v>18.551505558441463</v>
      </c>
      <c r="BB17" s="120">
        <f t="shared" si="42"/>
        <v>19.7759049252986</v>
      </c>
      <c r="BC17" s="120">
        <f t="shared" si="42"/>
        <v>21.08111465036831</v>
      </c>
      <c r="BD17" s="120">
        <f t="shared" si="42"/>
        <v>22.47246821729262</v>
      </c>
      <c r="BE17" s="120">
        <f t="shared" si="42"/>
        <v>23.955651119633934</v>
      </c>
      <c r="BF17" s="120">
        <f t="shared" si="42"/>
        <v>25.536724093529774</v>
      </c>
      <c r="BG17" s="120">
        <f t="shared" si="42"/>
        <v>27.22214788370274</v>
      </c>
      <c r="BH17" s="120">
        <f t="shared" si="42"/>
        <v>29.018809644027122</v>
      </c>
      <c r="BI17" s="120">
        <f t="shared" si="42"/>
        <v>30.934051080532914</v>
      </c>
      <c r="BJ17" s="120">
        <f t="shared" si="42"/>
        <v>32.97569845184809</v>
      </c>
      <c r="BK17" s="120">
        <f t="shared" si="42"/>
        <v>35.15209454967007</v>
      </c>
      <c r="BL17" s="120">
        <f t="shared" si="42"/>
        <v>37.4721327899483</v>
      </c>
      <c r="BM17" s="120">
        <f t="shared" si="42"/>
        <v>39.945293554084884</v>
      </c>
      <c r="BN17" s="120">
        <f t="shared" si="42"/>
        <v>42.58168292865449</v>
      </c>
      <c r="BO17" s="120">
        <f t="shared" si="42"/>
        <v>45.39207400194569</v>
      </c>
      <c r="BP17" s="120">
        <f t="shared" si="42"/>
        <v>48.38795088607411</v>
      </c>
      <c r="BQ17" s="120">
        <f t="shared" si="42"/>
        <v>51.581555644555</v>
      </c>
      <c r="BR17" s="120">
        <f t="shared" si="42"/>
        <v>54.98593831709564</v>
      </c>
      <c r="BS17" s="120">
        <f t="shared" si="42"/>
        <v>58.61501024602395</v>
      </c>
      <c r="BT17" s="120">
        <f t="shared" si="42"/>
        <v>62.48360092226153</v>
      </c>
      <c r="BU17" s="120">
        <f t="shared" si="42"/>
        <v>66.6075185831308</v>
      </c>
      <c r="BV17" s="120">
        <f t="shared" si="42"/>
        <v>71.00361480961743</v>
      </c>
      <c r="BW17" s="120">
        <f t="shared" si="42"/>
        <v>75.68985338705218</v>
      </c>
      <c r="BX17" s="120">
        <f t="shared" si="42"/>
        <v>80.68538371059763</v>
      </c>
      <c r="BY17" s="120">
        <f aca="true" t="shared" si="43" ref="BY17:EJ17">BX17*(1+$M$3)</f>
        <v>86.01061903549709</v>
      </c>
      <c r="BZ17" s="120">
        <f t="shared" si="43"/>
        <v>91.6873198918399</v>
      </c>
      <c r="CA17" s="120">
        <f t="shared" si="43"/>
        <v>97.73868300470134</v>
      </c>
      <c r="CB17" s="120">
        <f t="shared" si="43"/>
        <v>104.18943608301164</v>
      </c>
      <c r="CC17" s="120">
        <f t="shared" si="43"/>
        <v>111.06593886449042</v>
      </c>
      <c r="CD17" s="120">
        <f t="shared" si="43"/>
        <v>118.3962908295468</v>
      </c>
      <c r="CE17" s="120">
        <f t="shared" si="43"/>
        <v>126.2104460242969</v>
      </c>
      <c r="CF17" s="120">
        <f t="shared" si="43"/>
        <v>134.5403354619005</v>
      </c>
      <c r="CG17" s="120">
        <f t="shared" si="43"/>
        <v>143.41999760238593</v>
      </c>
      <c r="CH17" s="120">
        <f t="shared" si="43"/>
        <v>152.8857174441434</v>
      </c>
      <c r="CI17" s="120">
        <f t="shared" si="43"/>
        <v>162.97617479545687</v>
      </c>
      <c r="CJ17" s="120">
        <f t="shared" si="43"/>
        <v>173.73260233195703</v>
      </c>
      <c r="CK17" s="120">
        <f t="shared" si="43"/>
        <v>185.1989540858662</v>
      </c>
      <c r="CL17" s="120">
        <f t="shared" si="43"/>
        <v>197.4220850555334</v>
      </c>
      <c r="CM17" s="120">
        <f t="shared" si="43"/>
        <v>210.45194266919862</v>
      </c>
      <c r="CN17" s="120">
        <f t="shared" si="43"/>
        <v>224.34177088536575</v>
      </c>
      <c r="CO17" s="120">
        <f t="shared" si="43"/>
        <v>239.1483277637999</v>
      </c>
      <c r="CP17" s="120">
        <f t="shared" si="43"/>
        <v>254.9321173962107</v>
      </c>
      <c r="CQ17" s="120">
        <f t="shared" si="43"/>
        <v>271.7576371443606</v>
      </c>
      <c r="CR17" s="120">
        <f t="shared" si="43"/>
        <v>289.6936411958884</v>
      </c>
      <c r="CS17" s="120">
        <f t="shared" si="43"/>
        <v>308.81342151481704</v>
      </c>
      <c r="CT17" s="120">
        <f t="shared" si="43"/>
        <v>329.19510733479495</v>
      </c>
      <c r="CU17" s="120">
        <f t="shared" si="43"/>
        <v>350.92198441889144</v>
      </c>
      <c r="CV17" s="120">
        <f t="shared" si="43"/>
        <v>374.0828353905383</v>
      </c>
      <c r="CW17" s="120">
        <f t="shared" si="43"/>
        <v>398.77230252631387</v>
      </c>
      <c r="CX17" s="120">
        <f t="shared" si="43"/>
        <v>425.0912744930506</v>
      </c>
      <c r="CY17" s="120">
        <f t="shared" si="43"/>
        <v>453.147298609592</v>
      </c>
      <c r="CZ17" s="120">
        <f t="shared" si="43"/>
        <v>483.0550203178251</v>
      </c>
      <c r="DA17" s="120">
        <f t="shared" si="43"/>
        <v>514.9366516588016</v>
      </c>
      <c r="DB17" s="120">
        <f t="shared" si="43"/>
        <v>548.9224706682825</v>
      </c>
      <c r="DC17" s="120">
        <f t="shared" si="43"/>
        <v>585.1513537323891</v>
      </c>
      <c r="DD17" s="120">
        <f t="shared" si="43"/>
        <v>623.7713430787268</v>
      </c>
      <c r="DE17" s="120">
        <f t="shared" si="43"/>
        <v>664.9402517219228</v>
      </c>
      <c r="DF17" s="120">
        <f t="shared" si="43"/>
        <v>708.8263083355697</v>
      </c>
      <c r="DG17" s="120">
        <f t="shared" si="43"/>
        <v>755.6088446857174</v>
      </c>
      <c r="DH17" s="120">
        <f t="shared" si="43"/>
        <v>805.4790284349748</v>
      </c>
      <c r="DI17" s="120">
        <f t="shared" si="43"/>
        <v>858.6406443116832</v>
      </c>
      <c r="DJ17" s="120">
        <f t="shared" si="43"/>
        <v>915.3109268362543</v>
      </c>
      <c r="DK17" s="120">
        <f t="shared" si="43"/>
        <v>975.7214480074472</v>
      </c>
      <c r="DL17" s="120">
        <f t="shared" si="43"/>
        <v>1040.1190635759388</v>
      </c>
      <c r="DM17" s="120">
        <f t="shared" si="43"/>
        <v>1108.7669217719508</v>
      </c>
      <c r="DN17" s="120">
        <f t="shared" si="43"/>
        <v>1181.9455386088996</v>
      </c>
      <c r="DO17" s="120">
        <f t="shared" si="43"/>
        <v>1259.953944157087</v>
      </c>
      <c r="DP17" s="120">
        <f t="shared" si="43"/>
        <v>1343.110904471455</v>
      </c>
      <c r="DQ17" s="120">
        <f t="shared" si="43"/>
        <v>1431.756224166571</v>
      </c>
      <c r="DR17" s="120">
        <f t="shared" si="43"/>
        <v>1526.2521349615647</v>
      </c>
      <c r="DS17" s="120">
        <f t="shared" si="43"/>
        <v>1626.984775869028</v>
      </c>
      <c r="DT17" s="120">
        <f t="shared" si="43"/>
        <v>1734.365771076384</v>
      </c>
      <c r="DU17" s="120">
        <f t="shared" si="43"/>
        <v>1848.8339119674254</v>
      </c>
      <c r="DV17" s="120">
        <f t="shared" si="43"/>
        <v>1970.8569501572756</v>
      </c>
      <c r="DW17" s="120">
        <f t="shared" si="43"/>
        <v>2100.9335088676557</v>
      </c>
      <c r="DX17" s="120">
        <f t="shared" si="43"/>
        <v>2239.595120452921</v>
      </c>
      <c r="DY17" s="120">
        <f t="shared" si="43"/>
        <v>2387.408398402814</v>
      </c>
      <c r="DZ17" s="120">
        <f t="shared" si="43"/>
        <v>2544.9773526973995</v>
      </c>
      <c r="EA17" s="120">
        <f t="shared" si="43"/>
        <v>2712.945857975428</v>
      </c>
      <c r="EB17" s="120">
        <f t="shared" si="43"/>
        <v>2892.0002846018065</v>
      </c>
      <c r="EC17" s="120">
        <f t="shared" si="43"/>
        <v>3082.872303385526</v>
      </c>
      <c r="ED17" s="120">
        <f t="shared" si="43"/>
        <v>3286.3418754089707</v>
      </c>
      <c r="EE17" s="120">
        <f t="shared" si="43"/>
        <v>3503.240439185963</v>
      </c>
      <c r="EF17" s="120">
        <f t="shared" si="43"/>
        <v>3734.454308172237</v>
      </c>
      <c r="EG17" s="120">
        <f t="shared" si="43"/>
        <v>3980.9282925116045</v>
      </c>
      <c r="EH17" s="120">
        <f t="shared" si="43"/>
        <v>4243.669559817371</v>
      </c>
      <c r="EI17" s="120">
        <f t="shared" si="43"/>
        <v>4523.751750765317</v>
      </c>
      <c r="EJ17" s="120">
        <f t="shared" si="43"/>
        <v>4822.319366315829</v>
      </c>
      <c r="EK17" s="120">
        <f aca="true" t="shared" si="44" ref="EK17:FB17">EJ17*(1+$M$3)</f>
        <v>5140.592444492674</v>
      </c>
      <c r="EL17" s="120">
        <f t="shared" si="44"/>
        <v>5479.871545829191</v>
      </c>
      <c r="EM17" s="120">
        <f t="shared" si="44"/>
        <v>5841.543067853918</v>
      </c>
      <c r="EN17" s="120">
        <f t="shared" si="44"/>
        <v>6227.084910332277</v>
      </c>
      <c r="EO17" s="120">
        <f t="shared" si="44"/>
        <v>6638.072514414208</v>
      </c>
      <c r="EP17" s="120">
        <f t="shared" si="44"/>
        <v>7076.185300365546</v>
      </c>
      <c r="EQ17" s="120">
        <f t="shared" si="44"/>
        <v>7543.213530189672</v>
      </c>
      <c r="ER17" s="120">
        <f t="shared" si="44"/>
        <v>8041.065623182191</v>
      </c>
      <c r="ES17" s="120">
        <f t="shared" si="44"/>
        <v>8571.775954312216</v>
      </c>
      <c r="ET17" s="120">
        <f t="shared" si="44"/>
        <v>9137.513167296822</v>
      </c>
      <c r="EU17" s="120">
        <f t="shared" si="44"/>
        <v>9740.589036338413</v>
      </c>
      <c r="EV17" s="120">
        <f t="shared" si="44"/>
        <v>10383.467912736749</v>
      </c>
      <c r="EW17" s="120">
        <f t="shared" si="44"/>
        <v>11068.776794977375</v>
      </c>
      <c r="EX17" s="120">
        <f t="shared" si="44"/>
        <v>11799.316063445882</v>
      </c>
      <c r="EY17" s="120">
        <f t="shared" si="44"/>
        <v>12578.070923633311</v>
      </c>
      <c r="EZ17" s="120">
        <f t="shared" si="44"/>
        <v>13408.223604593111</v>
      </c>
      <c r="FA17" s="120">
        <f t="shared" si="44"/>
        <v>14293.166362496257</v>
      </c>
      <c r="FB17" s="120">
        <f t="shared" si="44"/>
        <v>15236.515342421011</v>
      </c>
    </row>
    <row r="18" spans="1:158" ht="15">
      <c r="A18" s="125">
        <f>'Page 4'!A24</f>
        <v>13</v>
      </c>
      <c r="B18" s="125" t="str">
        <f>'Page 4'!B24</f>
        <v>Xcel Energy Inc.</v>
      </c>
      <c r="C18" s="126">
        <f>'Page 4'!C24</f>
        <v>0.88</v>
      </c>
      <c r="D18" s="126">
        <f>'Page 4'!D24</f>
        <v>1.05</v>
      </c>
      <c r="E18" s="119">
        <f>(D18/C18)^(1/3)-1</f>
        <v>0.060642134415163085</v>
      </c>
      <c r="F18" s="119"/>
      <c r="G18" s="119">
        <f>IRR(H18:FB18,0.12)</f>
        <v>0.11247004882748413</v>
      </c>
      <c r="H18" s="120">
        <f>-'Page 2'!C24</f>
        <v>-18.65</v>
      </c>
      <c r="I18" s="120">
        <f>C18</f>
        <v>0.88</v>
      </c>
      <c r="J18" s="120">
        <f t="shared" si="38"/>
        <v>0.9366666666666666</v>
      </c>
      <c r="K18" s="120">
        <f t="shared" si="38"/>
        <v>0.9933333333333333</v>
      </c>
      <c r="L18" s="120">
        <f>D18</f>
        <v>1.05</v>
      </c>
      <c r="M18" s="120">
        <f aca="true" t="shared" si="45" ref="M18:BX18">L18*(1+$M$3)</f>
        <v>1.1193000000000002</v>
      </c>
      <c r="N18" s="120">
        <f t="shared" si="45"/>
        <v>1.1931738000000003</v>
      </c>
      <c r="O18" s="120">
        <f t="shared" si="45"/>
        <v>1.2719232708000003</v>
      </c>
      <c r="P18" s="120">
        <f t="shared" si="45"/>
        <v>1.3558702066728003</v>
      </c>
      <c r="Q18" s="120">
        <f t="shared" si="45"/>
        <v>1.4453576403132053</v>
      </c>
      <c r="R18" s="120">
        <f t="shared" si="45"/>
        <v>1.540751244573877</v>
      </c>
      <c r="S18" s="120">
        <f t="shared" si="45"/>
        <v>1.6424408267157529</v>
      </c>
      <c r="T18" s="120">
        <f t="shared" si="45"/>
        <v>1.7508419212789927</v>
      </c>
      <c r="U18" s="120">
        <f t="shared" si="45"/>
        <v>1.8663974880834064</v>
      </c>
      <c r="V18" s="120">
        <f t="shared" si="45"/>
        <v>1.9895797222969114</v>
      </c>
      <c r="W18" s="120">
        <f t="shared" si="45"/>
        <v>2.120891983968508</v>
      </c>
      <c r="X18" s="120">
        <f t="shared" si="45"/>
        <v>2.2608708549104297</v>
      </c>
      <c r="Y18" s="120">
        <f t="shared" si="45"/>
        <v>2.410088331334518</v>
      </c>
      <c r="Z18" s="120">
        <f t="shared" si="45"/>
        <v>2.5691541612025963</v>
      </c>
      <c r="AA18" s="120">
        <f t="shared" si="45"/>
        <v>2.738718335841968</v>
      </c>
      <c r="AB18" s="120">
        <f t="shared" si="45"/>
        <v>2.919473746007538</v>
      </c>
      <c r="AC18" s="120">
        <f t="shared" si="45"/>
        <v>3.1121590132440358</v>
      </c>
      <c r="AD18" s="120">
        <f t="shared" si="45"/>
        <v>3.317561508118142</v>
      </c>
      <c r="AE18" s="120">
        <f t="shared" si="45"/>
        <v>3.5365205676539397</v>
      </c>
      <c r="AF18" s="120">
        <f t="shared" si="45"/>
        <v>3.7699309251191</v>
      </c>
      <c r="AG18" s="120">
        <f t="shared" si="45"/>
        <v>4.018746366176961</v>
      </c>
      <c r="AH18" s="120">
        <f t="shared" si="45"/>
        <v>4.28398362634464</v>
      </c>
      <c r="AI18" s="120">
        <f t="shared" si="45"/>
        <v>4.5667265456833865</v>
      </c>
      <c r="AJ18" s="120">
        <f t="shared" si="45"/>
        <v>4.86813049769849</v>
      </c>
      <c r="AK18" s="120">
        <f t="shared" si="45"/>
        <v>5.189427110546591</v>
      </c>
      <c r="AL18" s="120">
        <f t="shared" si="45"/>
        <v>5.531929299842666</v>
      </c>
      <c r="AM18" s="120">
        <f t="shared" si="45"/>
        <v>5.897036633632283</v>
      </c>
      <c r="AN18" s="120">
        <f t="shared" si="45"/>
        <v>6.286241051452014</v>
      </c>
      <c r="AO18" s="120">
        <f t="shared" si="45"/>
        <v>6.701132960847847</v>
      </c>
      <c r="AP18" s="120">
        <f t="shared" si="45"/>
        <v>7.143407736263805</v>
      </c>
      <c r="AQ18" s="120">
        <f t="shared" si="45"/>
        <v>7.614872646857217</v>
      </c>
      <c r="AR18" s="120">
        <f t="shared" si="45"/>
        <v>8.117454241549794</v>
      </c>
      <c r="AS18" s="120">
        <f t="shared" si="45"/>
        <v>8.65320622149208</v>
      </c>
      <c r="AT18" s="120">
        <f t="shared" si="45"/>
        <v>9.22431783211056</v>
      </c>
      <c r="AU18" s="120">
        <f t="shared" si="45"/>
        <v>9.833122809029856</v>
      </c>
      <c r="AV18" s="120">
        <f t="shared" si="45"/>
        <v>10.482108914425828</v>
      </c>
      <c r="AW18" s="120">
        <f t="shared" si="45"/>
        <v>11.173928102777934</v>
      </c>
      <c r="AX18" s="120">
        <f t="shared" si="45"/>
        <v>11.911407357561279</v>
      </c>
      <c r="AY18" s="120">
        <f t="shared" si="45"/>
        <v>12.697560243160323</v>
      </c>
      <c r="AZ18" s="120">
        <f t="shared" si="45"/>
        <v>13.535599219208905</v>
      </c>
      <c r="BA18" s="120">
        <f t="shared" si="45"/>
        <v>14.428948767676694</v>
      </c>
      <c r="BB18" s="120">
        <f t="shared" si="45"/>
        <v>15.381259386343357</v>
      </c>
      <c r="BC18" s="120">
        <f t="shared" si="45"/>
        <v>16.39642250584202</v>
      </c>
      <c r="BD18" s="120">
        <f t="shared" si="45"/>
        <v>17.47858639122759</v>
      </c>
      <c r="BE18" s="120">
        <f t="shared" si="45"/>
        <v>18.632173093048614</v>
      </c>
      <c r="BF18" s="120">
        <f t="shared" si="45"/>
        <v>19.861896517189823</v>
      </c>
      <c r="BG18" s="120">
        <f t="shared" si="45"/>
        <v>21.172781687324353</v>
      </c>
      <c r="BH18" s="120">
        <f t="shared" si="45"/>
        <v>22.57018527868776</v>
      </c>
      <c r="BI18" s="120">
        <f t="shared" si="45"/>
        <v>24.059817507081153</v>
      </c>
      <c r="BJ18" s="120">
        <f t="shared" si="45"/>
        <v>25.64776546254851</v>
      </c>
      <c r="BK18" s="120">
        <f t="shared" si="45"/>
        <v>27.34051798307671</v>
      </c>
      <c r="BL18" s="120">
        <f t="shared" si="45"/>
        <v>29.144992169959778</v>
      </c>
      <c r="BM18" s="120">
        <f t="shared" si="45"/>
        <v>31.068561653177124</v>
      </c>
      <c r="BN18" s="120">
        <f t="shared" si="45"/>
        <v>33.119086722286816</v>
      </c>
      <c r="BO18" s="120">
        <f t="shared" si="45"/>
        <v>35.30494644595775</v>
      </c>
      <c r="BP18" s="120">
        <f t="shared" si="45"/>
        <v>37.63507291139096</v>
      </c>
      <c r="BQ18" s="120">
        <f t="shared" si="45"/>
        <v>40.11898772354276</v>
      </c>
      <c r="BR18" s="120">
        <f t="shared" si="45"/>
        <v>42.76684091329658</v>
      </c>
      <c r="BS18" s="120">
        <f t="shared" si="45"/>
        <v>45.58945241357416</v>
      </c>
      <c r="BT18" s="120">
        <f t="shared" si="45"/>
        <v>48.598356272870056</v>
      </c>
      <c r="BU18" s="120">
        <f t="shared" si="45"/>
        <v>51.80584778687948</v>
      </c>
      <c r="BV18" s="120">
        <f t="shared" si="45"/>
        <v>55.22503374081353</v>
      </c>
      <c r="BW18" s="120">
        <f t="shared" si="45"/>
        <v>58.869885967707226</v>
      </c>
      <c r="BX18" s="120">
        <f t="shared" si="45"/>
        <v>62.75529844157591</v>
      </c>
      <c r="BY18" s="120">
        <f aca="true" t="shared" si="46" ref="BY18:EJ18">BX18*(1+$M$3)</f>
        <v>66.89714813871993</v>
      </c>
      <c r="BZ18" s="120">
        <f t="shared" si="46"/>
        <v>71.31235991587545</v>
      </c>
      <c r="CA18" s="120">
        <f t="shared" si="46"/>
        <v>76.01897567032323</v>
      </c>
      <c r="CB18" s="120">
        <f t="shared" si="46"/>
        <v>81.03622806456457</v>
      </c>
      <c r="CC18" s="120">
        <f t="shared" si="46"/>
        <v>86.38461911682583</v>
      </c>
      <c r="CD18" s="120">
        <f t="shared" si="46"/>
        <v>92.08600397853634</v>
      </c>
      <c r="CE18" s="120">
        <f t="shared" si="46"/>
        <v>98.16368024111975</v>
      </c>
      <c r="CF18" s="120">
        <f t="shared" si="46"/>
        <v>104.64248313703366</v>
      </c>
      <c r="CG18" s="120">
        <f t="shared" si="46"/>
        <v>111.5488870240779</v>
      </c>
      <c r="CH18" s="120">
        <f t="shared" si="46"/>
        <v>118.91111356766704</v>
      </c>
      <c r="CI18" s="120">
        <f t="shared" si="46"/>
        <v>126.75924706313307</v>
      </c>
      <c r="CJ18" s="120">
        <f t="shared" si="46"/>
        <v>135.12535736929988</v>
      </c>
      <c r="CK18" s="120">
        <f t="shared" si="46"/>
        <v>144.04363095567368</v>
      </c>
      <c r="CL18" s="120">
        <f t="shared" si="46"/>
        <v>153.55051059874816</v>
      </c>
      <c r="CM18" s="120">
        <f t="shared" si="46"/>
        <v>163.68484429826555</v>
      </c>
      <c r="CN18" s="120">
        <f t="shared" si="46"/>
        <v>174.48804402195108</v>
      </c>
      <c r="CO18" s="120">
        <f t="shared" si="46"/>
        <v>186.00425492739987</v>
      </c>
      <c r="CP18" s="120">
        <f t="shared" si="46"/>
        <v>198.28053575260827</v>
      </c>
      <c r="CQ18" s="120">
        <f t="shared" si="46"/>
        <v>211.36705111228042</v>
      </c>
      <c r="CR18" s="120">
        <f t="shared" si="46"/>
        <v>225.31727648569094</v>
      </c>
      <c r="CS18" s="120">
        <f t="shared" si="46"/>
        <v>240.18821673374654</v>
      </c>
      <c r="CT18" s="120">
        <f t="shared" si="46"/>
        <v>256.0406390381738</v>
      </c>
      <c r="CU18" s="120">
        <f t="shared" si="46"/>
        <v>272.93932121469334</v>
      </c>
      <c r="CV18" s="120">
        <f t="shared" si="46"/>
        <v>290.95331641486314</v>
      </c>
      <c r="CW18" s="120">
        <f t="shared" si="46"/>
        <v>310.1562352982441</v>
      </c>
      <c r="CX18" s="120">
        <f t="shared" si="46"/>
        <v>330.6265468279282</v>
      </c>
      <c r="CY18" s="120">
        <f t="shared" si="46"/>
        <v>352.4478989185715</v>
      </c>
      <c r="CZ18" s="120">
        <f t="shared" si="46"/>
        <v>375.7094602471973</v>
      </c>
      <c r="DA18" s="120">
        <f t="shared" si="46"/>
        <v>400.50628462351233</v>
      </c>
      <c r="DB18" s="120">
        <f t="shared" si="46"/>
        <v>426.9396994086642</v>
      </c>
      <c r="DC18" s="120">
        <f t="shared" si="46"/>
        <v>455.11771956963605</v>
      </c>
      <c r="DD18" s="120">
        <f t="shared" si="46"/>
        <v>485.15548906123206</v>
      </c>
      <c r="DE18" s="120">
        <f t="shared" si="46"/>
        <v>517.1757513392735</v>
      </c>
      <c r="DF18" s="120">
        <f t="shared" si="46"/>
        <v>551.3093509276655</v>
      </c>
      <c r="DG18" s="120">
        <f t="shared" si="46"/>
        <v>587.6957680888914</v>
      </c>
      <c r="DH18" s="120">
        <f t="shared" si="46"/>
        <v>626.4836887827583</v>
      </c>
      <c r="DI18" s="120">
        <f t="shared" si="46"/>
        <v>667.8316122424204</v>
      </c>
      <c r="DJ18" s="120">
        <f t="shared" si="46"/>
        <v>711.9084986504203</v>
      </c>
      <c r="DK18" s="120">
        <f t="shared" si="46"/>
        <v>758.8944595613481</v>
      </c>
      <c r="DL18" s="120">
        <f t="shared" si="46"/>
        <v>808.9814938923971</v>
      </c>
      <c r="DM18" s="120">
        <f t="shared" si="46"/>
        <v>862.3742724892953</v>
      </c>
      <c r="DN18" s="120">
        <f t="shared" si="46"/>
        <v>919.2909744735889</v>
      </c>
      <c r="DO18" s="120">
        <f t="shared" si="46"/>
        <v>979.9641787888459</v>
      </c>
      <c r="DP18" s="120">
        <f t="shared" si="46"/>
        <v>1044.6418145889097</v>
      </c>
      <c r="DQ18" s="120">
        <f t="shared" si="46"/>
        <v>1113.5881743517778</v>
      </c>
      <c r="DR18" s="120">
        <f t="shared" si="46"/>
        <v>1187.0849938589952</v>
      </c>
      <c r="DS18" s="120">
        <f t="shared" si="46"/>
        <v>1265.432603453689</v>
      </c>
      <c r="DT18" s="120">
        <f t="shared" si="46"/>
        <v>1348.9511552816325</v>
      </c>
      <c r="DU18" s="120">
        <f t="shared" si="46"/>
        <v>1437.9819315302204</v>
      </c>
      <c r="DV18" s="120">
        <f t="shared" si="46"/>
        <v>1532.888739011215</v>
      </c>
      <c r="DW18" s="120">
        <f t="shared" si="46"/>
        <v>1634.0593957859553</v>
      </c>
      <c r="DX18" s="120">
        <f t="shared" si="46"/>
        <v>1741.9073159078284</v>
      </c>
      <c r="DY18" s="120">
        <f t="shared" si="46"/>
        <v>1856.8731987577453</v>
      </c>
      <c r="DZ18" s="120">
        <f t="shared" si="46"/>
        <v>1979.4268298757565</v>
      </c>
      <c r="EA18" s="120">
        <f t="shared" si="46"/>
        <v>2110.0690006475565</v>
      </c>
      <c r="EB18" s="120">
        <f t="shared" si="46"/>
        <v>2249.3335546902954</v>
      </c>
      <c r="EC18" s="120">
        <f t="shared" si="46"/>
        <v>2397.789569299855</v>
      </c>
      <c r="ED18" s="120">
        <f t="shared" si="46"/>
        <v>2556.0436808736454</v>
      </c>
      <c r="EE18" s="120">
        <f t="shared" si="46"/>
        <v>2724.742563811306</v>
      </c>
      <c r="EF18" s="120">
        <f t="shared" si="46"/>
        <v>2904.575573022852</v>
      </c>
      <c r="EG18" s="120">
        <f t="shared" si="46"/>
        <v>3096.2775608423603</v>
      </c>
      <c r="EH18" s="120">
        <f t="shared" si="46"/>
        <v>3300.6318798579564</v>
      </c>
      <c r="EI18" s="120">
        <f t="shared" si="46"/>
        <v>3518.473583928582</v>
      </c>
      <c r="EJ18" s="120">
        <f t="shared" si="46"/>
        <v>3750.6928404678683</v>
      </c>
      <c r="EK18" s="120">
        <f aca="true" t="shared" si="47" ref="EK18:FB18">EJ18*(1+$M$3)</f>
        <v>3998.238567938748</v>
      </c>
      <c r="EL18" s="120">
        <f t="shared" si="47"/>
        <v>4262.122313422706</v>
      </c>
      <c r="EM18" s="120">
        <f t="shared" si="47"/>
        <v>4543.422386108605</v>
      </c>
      <c r="EN18" s="120">
        <f t="shared" si="47"/>
        <v>4843.288263591773</v>
      </c>
      <c r="EO18" s="120">
        <f t="shared" si="47"/>
        <v>5162.945288988831</v>
      </c>
      <c r="EP18" s="120">
        <f t="shared" si="47"/>
        <v>5503.699678062094</v>
      </c>
      <c r="EQ18" s="120">
        <f t="shared" si="47"/>
        <v>5866.943856814192</v>
      </c>
      <c r="ER18" s="120">
        <f t="shared" si="47"/>
        <v>6254.162151363929</v>
      </c>
      <c r="ES18" s="120">
        <f t="shared" si="47"/>
        <v>6666.936853353949</v>
      </c>
      <c r="ET18" s="120">
        <f t="shared" si="47"/>
        <v>7106.95468567531</v>
      </c>
      <c r="EU18" s="120">
        <f t="shared" si="47"/>
        <v>7576.013694929881</v>
      </c>
      <c r="EV18" s="120">
        <f t="shared" si="47"/>
        <v>8076.030598795254</v>
      </c>
      <c r="EW18" s="120">
        <f t="shared" si="47"/>
        <v>8609.04861831574</v>
      </c>
      <c r="EX18" s="120">
        <f t="shared" si="47"/>
        <v>9177.24582712458</v>
      </c>
      <c r="EY18" s="120">
        <f t="shared" si="47"/>
        <v>9782.944051714803</v>
      </c>
      <c r="EZ18" s="120">
        <f t="shared" si="47"/>
        <v>10428.61835912798</v>
      </c>
      <c r="FA18" s="120">
        <f t="shared" si="47"/>
        <v>11116.907170830427</v>
      </c>
      <c r="FB18" s="120">
        <f t="shared" si="47"/>
        <v>11850.623044105236</v>
      </c>
    </row>
    <row r="19" spans="1:7" ht="15">
      <c r="A19" s="125"/>
      <c r="B19" s="125"/>
      <c r="C19" s="126"/>
      <c r="D19" s="126"/>
      <c r="E19" s="119"/>
      <c r="F19" s="119"/>
      <c r="G19" s="119"/>
    </row>
    <row r="20" spans="1:8" ht="15.75" thickBot="1">
      <c r="A20" s="125"/>
      <c r="B20" s="130" t="s">
        <v>7</v>
      </c>
      <c r="C20" s="127"/>
      <c r="D20" s="127"/>
      <c r="E20" s="131">
        <f>AVERAGE(E6:E19)</f>
        <v>0.024279638372893257</v>
      </c>
      <c r="F20" s="132"/>
      <c r="G20" s="136">
        <f>AVERAGE(G6:G19)</f>
        <v>0.10790868192820374</v>
      </c>
      <c r="H20" s="135" t="s">
        <v>7</v>
      </c>
    </row>
    <row r="21" spans="1:8" ht="15.75" thickTop="1">
      <c r="A21" s="125"/>
      <c r="B21" s="125"/>
      <c r="C21" s="126"/>
      <c r="D21" s="126"/>
      <c r="E21" s="119"/>
      <c r="F21" s="119"/>
      <c r="G21" s="119">
        <f>MEDIAN(G6:G19)</f>
        <v>0.10676266128582722</v>
      </c>
      <c r="H21" s="135" t="s">
        <v>50</v>
      </c>
    </row>
    <row r="23" ht="15">
      <c r="A23" s="127"/>
    </row>
  </sheetData>
  <mergeCells count="1">
    <mergeCell ref="C3:E3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27"/>
  <sheetViews>
    <sheetView showGridLines="0" zoomScale="75" zoomScaleNormal="75" workbookViewId="0" topLeftCell="A1">
      <selection activeCell="C25" sqref="C25"/>
    </sheetView>
  </sheetViews>
  <sheetFormatPr defaultColWidth="8.88671875" defaultRowHeight="15"/>
  <cols>
    <col min="1" max="1" width="4.5546875" style="108" customWidth="1"/>
    <col min="2" max="2" width="27.21484375" style="108" customWidth="1"/>
    <col min="3" max="3" width="8.88671875" style="108" customWidth="1"/>
    <col min="4" max="5" width="13.88671875" style="108" customWidth="1"/>
    <col min="6" max="14" width="8.88671875" style="108" customWidth="1"/>
    <col min="15" max="15" width="9.88671875" style="108" bestFit="1" customWidth="1"/>
    <col min="16" max="16" width="12.6640625" style="108" bestFit="1" customWidth="1"/>
    <col min="17" max="17" width="13.88671875" style="108" customWidth="1"/>
    <col min="18" max="16384" width="8.88671875" style="108" customWidth="1"/>
  </cols>
  <sheetData>
    <row r="1" spans="2:18" ht="20.25">
      <c r="B1" s="110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/>
      <c r="O1"/>
      <c r="P1"/>
      <c r="Q1" s="3"/>
      <c r="R1" s="3"/>
    </row>
    <row r="2" spans="2:18" ht="15">
      <c r="B2" s="3"/>
      <c r="C2" s="116"/>
      <c r="D2" s="116"/>
      <c r="E2" s="116"/>
      <c r="F2" s="116"/>
      <c r="Q2" s="116"/>
      <c r="R2" s="3"/>
    </row>
    <row r="3" spans="2:19" ht="15">
      <c r="B3" s="111" t="s">
        <v>44</v>
      </c>
      <c r="C3" s="111" t="s">
        <v>45</v>
      </c>
      <c r="D3" s="112" t="s">
        <v>46</v>
      </c>
      <c r="E3" s="112" t="s">
        <v>49</v>
      </c>
      <c r="F3" s="103" t="s">
        <v>36</v>
      </c>
      <c r="G3" s="113" t="s">
        <v>235</v>
      </c>
      <c r="H3" s="113" t="s">
        <v>275</v>
      </c>
      <c r="I3" s="114" t="s">
        <v>276</v>
      </c>
      <c r="J3" s="113" t="s">
        <v>236</v>
      </c>
      <c r="K3" s="113" t="s">
        <v>277</v>
      </c>
      <c r="L3" s="115" t="s">
        <v>278</v>
      </c>
      <c r="M3" s="115" t="s">
        <v>279</v>
      </c>
      <c r="N3" s="149" t="s">
        <v>280</v>
      </c>
      <c r="O3" s="115" t="s">
        <v>47</v>
      </c>
      <c r="P3" s="115" t="s">
        <v>48</v>
      </c>
      <c r="Q3" s="146" t="s">
        <v>227</v>
      </c>
      <c r="R3" s="170" t="s">
        <v>264</v>
      </c>
      <c r="S3"/>
    </row>
    <row r="4" spans="1:24" ht="15">
      <c r="A4" s="108">
        <v>1</v>
      </c>
      <c r="B4" s="3" t="s">
        <v>286</v>
      </c>
      <c r="C4" s="3" t="s">
        <v>287</v>
      </c>
      <c r="D4" s="164">
        <v>7</v>
      </c>
      <c r="E4" s="164">
        <v>6</v>
      </c>
      <c r="F4" s="106">
        <v>28.13</v>
      </c>
      <c r="G4" s="100">
        <v>1.85</v>
      </c>
      <c r="H4" s="100">
        <v>2.05</v>
      </c>
      <c r="I4" s="100">
        <v>2.25</v>
      </c>
      <c r="J4" s="100">
        <v>1.05</v>
      </c>
      <c r="K4" s="100">
        <v>1.07</v>
      </c>
      <c r="L4" s="143">
        <v>1.15</v>
      </c>
      <c r="M4" s="143">
        <v>27.55</v>
      </c>
      <c r="N4" s="186">
        <v>6</v>
      </c>
      <c r="O4" s="165">
        <v>0.065</v>
      </c>
      <c r="P4" s="187">
        <v>0.037</v>
      </c>
      <c r="Q4" s="171">
        <v>0.8715990130800689</v>
      </c>
      <c r="R4" s="212">
        <v>27.77</v>
      </c>
      <c r="S4" s="171"/>
      <c r="V4" s="172"/>
      <c r="W4"/>
      <c r="X4"/>
    </row>
    <row r="5" spans="1:24" ht="15">
      <c r="A5" s="108">
        <v>2</v>
      </c>
      <c r="B5" s="3" t="s">
        <v>228</v>
      </c>
      <c r="C5" s="3" t="s">
        <v>229</v>
      </c>
      <c r="D5" s="142">
        <v>7</v>
      </c>
      <c r="E5" s="142">
        <v>6</v>
      </c>
      <c r="F5" s="106">
        <v>51.51</v>
      </c>
      <c r="G5" s="100">
        <v>2.82</v>
      </c>
      <c r="H5" s="100">
        <v>3.2</v>
      </c>
      <c r="I5" s="100">
        <v>3.35</v>
      </c>
      <c r="J5" s="100">
        <v>2.54</v>
      </c>
      <c r="K5" s="100">
        <v>2.54</v>
      </c>
      <c r="L5" s="143">
        <v>2.54</v>
      </c>
      <c r="M5" s="143">
        <v>35.2</v>
      </c>
      <c r="N5" s="186">
        <v>5</v>
      </c>
      <c r="O5" s="166">
        <v>0.025</v>
      </c>
      <c r="P5" s="173">
        <v>0.06</v>
      </c>
      <c r="Q5" s="171">
        <v>0.9988372093023256</v>
      </c>
      <c r="R5" s="212">
        <v>52.04666666666666</v>
      </c>
      <c r="S5" s="147"/>
      <c r="V5" s="172"/>
      <c r="W5"/>
      <c r="X5"/>
    </row>
    <row r="6" spans="1:24" ht="15">
      <c r="A6" s="108">
        <v>3</v>
      </c>
      <c r="B6" s="3" t="s">
        <v>237</v>
      </c>
      <c r="C6" s="3" t="s">
        <v>238</v>
      </c>
      <c r="D6" s="142">
        <v>6</v>
      </c>
      <c r="E6" s="142">
        <v>6</v>
      </c>
      <c r="F6" s="106">
        <v>46.91</v>
      </c>
      <c r="G6" s="104">
        <v>2.69</v>
      </c>
      <c r="H6" s="104">
        <v>2.7</v>
      </c>
      <c r="I6" s="104">
        <v>3.25</v>
      </c>
      <c r="J6" s="104">
        <v>2.16</v>
      </c>
      <c r="K6" s="104">
        <v>2.16</v>
      </c>
      <c r="L6" s="106">
        <v>2.2</v>
      </c>
      <c r="M6" s="106">
        <v>34.5</v>
      </c>
      <c r="N6" s="188">
        <v>3</v>
      </c>
      <c r="O6" s="107">
        <v>0.045</v>
      </c>
      <c r="P6" s="194" t="s">
        <v>239</v>
      </c>
      <c r="Q6" s="171">
        <v>0.7022066626911532</v>
      </c>
      <c r="R6" s="212">
        <v>46.51166666666668</v>
      </c>
      <c r="S6" s="150"/>
      <c r="V6" s="172"/>
      <c r="W6"/>
      <c r="X6"/>
    </row>
    <row r="7" spans="1:24" ht="15">
      <c r="A7" s="108">
        <v>4</v>
      </c>
      <c r="B7" s="191" t="s">
        <v>217</v>
      </c>
      <c r="C7" s="3" t="s">
        <v>218</v>
      </c>
      <c r="D7" s="142">
        <v>6</v>
      </c>
      <c r="E7" s="142">
        <v>5</v>
      </c>
      <c r="F7" s="106">
        <v>45.65</v>
      </c>
      <c r="G7" s="104">
        <v>2.32</v>
      </c>
      <c r="H7" s="104">
        <v>2.85</v>
      </c>
      <c r="I7" s="104">
        <v>3</v>
      </c>
      <c r="J7" s="104">
        <v>2.28</v>
      </c>
      <c r="K7" s="104">
        <v>2.3</v>
      </c>
      <c r="L7" s="106">
        <v>2.36</v>
      </c>
      <c r="M7" s="106">
        <v>32.6</v>
      </c>
      <c r="N7" s="188">
        <v>2</v>
      </c>
      <c r="O7" s="107">
        <v>0.015</v>
      </c>
      <c r="P7" s="194">
        <v>0.04</v>
      </c>
      <c r="Q7" s="171">
        <v>0.8361344537815126</v>
      </c>
      <c r="R7" s="212">
        <v>45.901666666666664</v>
      </c>
      <c r="S7" s="150"/>
      <c r="V7" s="172"/>
      <c r="W7"/>
      <c r="X7"/>
    </row>
    <row r="8" spans="1:24" ht="15">
      <c r="A8" s="108">
        <v>5</v>
      </c>
      <c r="B8" s="3" t="s">
        <v>288</v>
      </c>
      <c r="C8" s="3" t="s">
        <v>289</v>
      </c>
      <c r="D8" s="142">
        <v>7</v>
      </c>
      <c r="E8" s="142">
        <v>8</v>
      </c>
      <c r="F8" s="106">
        <v>20.5</v>
      </c>
      <c r="G8" s="104">
        <v>0.86</v>
      </c>
      <c r="H8" s="104">
        <v>0.9</v>
      </c>
      <c r="I8" s="104">
        <v>1.5</v>
      </c>
      <c r="J8" s="104">
        <v>1.28</v>
      </c>
      <c r="K8" s="104">
        <v>1.28</v>
      </c>
      <c r="L8" s="106">
        <v>1.28</v>
      </c>
      <c r="M8" s="106">
        <v>16</v>
      </c>
      <c r="N8" s="188">
        <v>6</v>
      </c>
      <c r="O8" s="107">
        <v>0.05</v>
      </c>
      <c r="P8" s="194">
        <v>0.05</v>
      </c>
      <c r="Q8" s="171">
        <v>0.9295017509369048</v>
      </c>
      <c r="R8" s="212">
        <v>20.861666666666665</v>
      </c>
      <c r="S8" s="150"/>
      <c r="V8" s="172"/>
      <c r="W8"/>
      <c r="X8"/>
    </row>
    <row r="9" spans="1:24" ht="15">
      <c r="A9" s="108">
        <v>6</v>
      </c>
      <c r="B9" s="3" t="s">
        <v>273</v>
      </c>
      <c r="C9" s="3" t="s">
        <v>274</v>
      </c>
      <c r="D9" s="192">
        <v>8</v>
      </c>
      <c r="E9" s="192">
        <v>7</v>
      </c>
      <c r="F9" s="106">
        <v>23.67</v>
      </c>
      <c r="G9" s="104">
        <v>1.62</v>
      </c>
      <c r="H9" s="104">
        <v>1.75</v>
      </c>
      <c r="I9" s="104">
        <v>2</v>
      </c>
      <c r="J9" s="104">
        <v>1.12</v>
      </c>
      <c r="K9" s="104">
        <v>1.18</v>
      </c>
      <c r="L9" s="106">
        <v>1.35</v>
      </c>
      <c r="M9" s="106">
        <v>21</v>
      </c>
      <c r="N9" s="188">
        <v>3</v>
      </c>
      <c r="O9" s="193">
        <v>0.045</v>
      </c>
      <c r="P9" s="194">
        <v>0.045</v>
      </c>
      <c r="Q9" s="171">
        <v>0.9103957119779881</v>
      </c>
      <c r="R9" s="212">
        <v>23.655</v>
      </c>
      <c r="S9" s="150"/>
      <c r="V9" s="172"/>
      <c r="W9"/>
      <c r="X9"/>
    </row>
    <row r="10" spans="1:24" ht="15">
      <c r="A10" s="108">
        <v>7</v>
      </c>
      <c r="B10" s="3" t="s">
        <v>290</v>
      </c>
      <c r="C10" s="3" t="s">
        <v>291</v>
      </c>
      <c r="D10" s="142">
        <v>4</v>
      </c>
      <c r="E10" s="142">
        <v>4</v>
      </c>
      <c r="F10" s="106">
        <v>34.64</v>
      </c>
      <c r="G10" s="104">
        <v>1.77</v>
      </c>
      <c r="H10" s="104">
        <v>1.4</v>
      </c>
      <c r="I10" s="104">
        <v>2.45</v>
      </c>
      <c r="J10" s="104">
        <v>1.37</v>
      </c>
      <c r="K10" s="104">
        <v>1.38</v>
      </c>
      <c r="L10" s="106">
        <v>1.44</v>
      </c>
      <c r="M10" s="106">
        <v>18.7</v>
      </c>
      <c r="N10" s="188">
        <v>4</v>
      </c>
      <c r="O10" s="109">
        <v>0.06</v>
      </c>
      <c r="P10" s="194" t="s">
        <v>239</v>
      </c>
      <c r="Q10" s="171">
        <v>0.9935699794295828</v>
      </c>
      <c r="R10" s="212">
        <v>34.83</v>
      </c>
      <c r="S10" s="150"/>
      <c r="V10" s="172"/>
      <c r="W10"/>
      <c r="X10"/>
    </row>
    <row r="11" spans="1:24" ht="15">
      <c r="A11" s="108">
        <v>8</v>
      </c>
      <c r="B11" s="3" t="s">
        <v>219</v>
      </c>
      <c r="C11" s="3" t="s">
        <v>220</v>
      </c>
      <c r="D11" s="142">
        <v>6</v>
      </c>
      <c r="E11" s="142">
        <v>5</v>
      </c>
      <c r="F11" s="106">
        <v>27.76</v>
      </c>
      <c r="G11" s="104">
        <v>1.76</v>
      </c>
      <c r="H11" s="104">
        <v>1.85</v>
      </c>
      <c r="I11" s="104">
        <v>2</v>
      </c>
      <c r="J11" s="104">
        <v>0.87</v>
      </c>
      <c r="K11" s="104">
        <v>1.2</v>
      </c>
      <c r="L11" s="106">
        <v>1.32</v>
      </c>
      <c r="M11" s="106">
        <v>17.5</v>
      </c>
      <c r="N11" s="188">
        <v>1</v>
      </c>
      <c r="O11" s="107">
        <v>0.025</v>
      </c>
      <c r="P11" s="189">
        <v>0.048</v>
      </c>
      <c r="Q11" s="171">
        <v>0.9630881024881428</v>
      </c>
      <c r="R11" s="212">
        <v>27.805</v>
      </c>
      <c r="S11" s="150"/>
      <c r="V11" s="172"/>
      <c r="W11"/>
      <c r="X11"/>
    </row>
    <row r="12" spans="1:24" ht="15">
      <c r="A12" s="108">
        <v>9</v>
      </c>
      <c r="B12" s="3" t="s">
        <v>292</v>
      </c>
      <c r="C12" s="3" t="s">
        <v>293</v>
      </c>
      <c r="D12" s="142">
        <v>9</v>
      </c>
      <c r="E12" s="142">
        <v>6</v>
      </c>
      <c r="F12" s="106">
        <v>44.75</v>
      </c>
      <c r="G12" s="104">
        <v>3.1</v>
      </c>
      <c r="H12" s="104">
        <v>3.1</v>
      </c>
      <c r="I12" s="104">
        <v>3.4</v>
      </c>
      <c r="J12" s="104">
        <v>2.38</v>
      </c>
      <c r="K12" s="104">
        <v>2.44</v>
      </c>
      <c r="L12" s="106">
        <v>2.5</v>
      </c>
      <c r="M12" s="106">
        <v>34.5</v>
      </c>
      <c r="N12" s="188">
        <v>6</v>
      </c>
      <c r="O12" s="107">
        <v>0</v>
      </c>
      <c r="P12" s="189">
        <v>0.042</v>
      </c>
      <c r="Q12" s="171">
        <v>0.7319893573475236</v>
      </c>
      <c r="R12" s="212">
        <v>43.77</v>
      </c>
      <c r="S12" s="150"/>
      <c r="V12" s="172"/>
      <c r="W12"/>
      <c r="X12"/>
    </row>
    <row r="13" spans="1:22" ht="15">
      <c r="A13" s="108">
        <v>10</v>
      </c>
      <c r="B13" s="3" t="s">
        <v>221</v>
      </c>
      <c r="C13" s="3" t="s">
        <v>222</v>
      </c>
      <c r="D13" s="142">
        <v>7</v>
      </c>
      <c r="E13" s="142">
        <v>5</v>
      </c>
      <c r="F13" s="143">
        <v>39.45</v>
      </c>
      <c r="G13" s="100">
        <v>2.67</v>
      </c>
      <c r="H13" s="100">
        <v>2.75</v>
      </c>
      <c r="I13" s="100">
        <v>3.25</v>
      </c>
      <c r="J13" s="100">
        <v>1.56</v>
      </c>
      <c r="K13" s="100">
        <v>1.66</v>
      </c>
      <c r="L13" s="143">
        <v>1.9</v>
      </c>
      <c r="M13" s="143">
        <v>29.25</v>
      </c>
      <c r="N13" s="186">
        <v>4</v>
      </c>
      <c r="O13" s="165">
        <v>0.045</v>
      </c>
      <c r="P13" s="173">
        <v>0.048</v>
      </c>
      <c r="Q13" s="171">
        <v>0.7243243243243244</v>
      </c>
      <c r="R13" s="212">
        <v>40.02333333333333</v>
      </c>
      <c r="S13" s="147"/>
      <c r="V13" s="172"/>
    </row>
    <row r="14" spans="1:22" ht="15">
      <c r="A14" s="108">
        <v>11</v>
      </c>
      <c r="B14" s="3" t="s">
        <v>223</v>
      </c>
      <c r="C14" s="3" t="s">
        <v>224</v>
      </c>
      <c r="D14" s="142">
        <v>5</v>
      </c>
      <c r="E14" s="142">
        <v>5</v>
      </c>
      <c r="F14" s="143">
        <v>34.58</v>
      </c>
      <c r="G14" s="100">
        <v>2.06</v>
      </c>
      <c r="H14" s="100">
        <v>2.12</v>
      </c>
      <c r="I14" s="100">
        <v>2.5</v>
      </c>
      <c r="J14" s="100">
        <v>1.48</v>
      </c>
      <c r="K14" s="100">
        <v>1.53</v>
      </c>
      <c r="L14" s="143">
        <v>1.71</v>
      </c>
      <c r="M14" s="143">
        <v>18.15</v>
      </c>
      <c r="N14" s="186">
        <v>4</v>
      </c>
      <c r="O14" s="166">
        <v>0.04</v>
      </c>
      <c r="P14" s="187">
        <v>0.047</v>
      </c>
      <c r="Q14" s="171">
        <v>0.8176777012266846</v>
      </c>
      <c r="R14" s="212">
        <v>34.71666666666667</v>
      </c>
      <c r="S14" s="147"/>
      <c r="V14" s="172"/>
    </row>
    <row r="15" spans="1:22" ht="15">
      <c r="A15" s="108">
        <v>12</v>
      </c>
      <c r="B15" s="3" t="s">
        <v>225</v>
      </c>
      <c r="C15" s="3" t="s">
        <v>226</v>
      </c>
      <c r="D15" s="142">
        <v>6</v>
      </c>
      <c r="E15" s="142">
        <v>7</v>
      </c>
      <c r="F15" s="143">
        <v>27.31</v>
      </c>
      <c r="G15" s="100">
        <v>1.42</v>
      </c>
      <c r="H15" s="100">
        <v>1.75</v>
      </c>
      <c r="I15" s="100">
        <v>1.95</v>
      </c>
      <c r="J15" s="100">
        <v>1.19</v>
      </c>
      <c r="K15" s="100">
        <v>1.23</v>
      </c>
      <c r="L15" s="100">
        <v>1.35</v>
      </c>
      <c r="M15" s="100">
        <v>17.45</v>
      </c>
      <c r="N15" s="186">
        <v>4</v>
      </c>
      <c r="O15" s="165">
        <v>0.04</v>
      </c>
      <c r="P15" s="187">
        <v>0.046</v>
      </c>
      <c r="Q15" s="171">
        <v>0.8861995502426323</v>
      </c>
      <c r="R15" s="212">
        <v>27.18166666666667</v>
      </c>
      <c r="S15" s="147"/>
      <c r="V15" s="172"/>
    </row>
    <row r="16" spans="1:22" ht="15">
      <c r="A16" s="108">
        <v>13</v>
      </c>
      <c r="B16" s="3" t="s">
        <v>240</v>
      </c>
      <c r="C16" s="3" t="s">
        <v>241</v>
      </c>
      <c r="D16" s="142">
        <v>7</v>
      </c>
      <c r="E16" s="142">
        <v>7</v>
      </c>
      <c r="F16" s="143">
        <v>18.18</v>
      </c>
      <c r="G16" s="100">
        <v>1.27</v>
      </c>
      <c r="H16" s="100">
        <v>1.2</v>
      </c>
      <c r="I16" s="100">
        <v>1.5</v>
      </c>
      <c r="J16" s="100">
        <v>0.85</v>
      </c>
      <c r="K16" s="100">
        <v>0.88</v>
      </c>
      <c r="L16" s="100">
        <v>1.05</v>
      </c>
      <c r="M16" s="100">
        <v>15</v>
      </c>
      <c r="N16" s="186">
        <v>5</v>
      </c>
      <c r="O16" s="165">
        <v>0.075</v>
      </c>
      <c r="P16" s="187">
        <v>0.043</v>
      </c>
      <c r="Q16" s="171">
        <v>0.9807321738007173</v>
      </c>
      <c r="R16" s="212">
        <v>18.65</v>
      </c>
      <c r="S16" s="147"/>
      <c r="V16" s="172"/>
    </row>
    <row r="18" spans="3:17" ht="15">
      <c r="C18" s="116" t="s">
        <v>7</v>
      </c>
      <c r="D18" s="176">
        <f>AVERAGE(D4:D17)</f>
        <v>6.538461538461538</v>
      </c>
      <c r="E18" s="176">
        <f>AVERAGE(E4:E17)</f>
        <v>5.923076923076923</v>
      </c>
      <c r="N18" s="190"/>
      <c r="P18" s="175" t="s">
        <v>7</v>
      </c>
      <c r="Q18" s="174">
        <f>AVERAGE(Q4:Q17)</f>
        <v>0.8727889223561202</v>
      </c>
    </row>
    <row r="19" spans="4:5" ht="15">
      <c r="D19" s="185" t="s">
        <v>299</v>
      </c>
      <c r="E19" s="185" t="s">
        <v>300</v>
      </c>
    </row>
    <row r="24" ht="15">
      <c r="C24" s="108" t="s">
        <v>295</v>
      </c>
    </row>
    <row r="25" ht="15">
      <c r="C25" s="108" t="s">
        <v>302</v>
      </c>
    </row>
    <row r="27" ht="15">
      <c r="C27" s="108" t="s">
        <v>296</v>
      </c>
    </row>
  </sheetData>
  <printOptions/>
  <pageMargins left="0.75" right="0.75" top="1" bottom="1" header="0.5" footer="0.5"/>
  <pageSetup fitToHeight="1" fitToWidth="1" horizontalDpi="600" verticalDpi="600" orientation="landscape" scale="5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FINANCO, Inc.</dc:creator>
  <cp:keywords/>
  <dc:description/>
  <cp:lastModifiedBy> </cp:lastModifiedBy>
  <cp:lastPrinted>2006-02-16T14:38:16Z</cp:lastPrinted>
  <dcterms:created xsi:type="dcterms:W3CDTF">1997-03-17T15:54:26Z</dcterms:created>
  <dcterms:modified xsi:type="dcterms:W3CDTF">2006-02-16T14:38:23Z</dcterms:modified>
  <cp:category/>
  <cp:version/>
  <cp:contentType/>
  <cp:contentStatus/>
</cp:coreProperties>
</file>