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tabRatio="658" activeTab="0"/>
  </bookViews>
  <sheets>
    <sheet name="E-1 (Bal. Sheet)" sheetId="1" r:id="rId1"/>
    <sheet name="E-2 (Bal. Sheet)" sheetId="2" r:id="rId2"/>
    <sheet name="E- 3 (Journal Entries)" sheetId="3" r:id="rId3"/>
    <sheet name="F (Stmt. of Income)" sheetId="4" r:id="rId4"/>
    <sheet name="G (Sources and Uses)" sheetId="5" r:id="rId5"/>
  </sheets>
  <definedNames>
    <definedName name="\H" localSheetId="0">'E-1 (Bal. Sheet)'!$C$81</definedName>
    <definedName name="\H">#REF!</definedName>
    <definedName name="HOLDA" localSheetId="0">'E-1 (Bal. Sheet)'!$C$79:$IR$8186</definedName>
    <definedName name="HOLDA">#REF!</definedName>
    <definedName name="HOLDAA" localSheetId="0">'E-1 (Bal. Sheet)'!$IJ$3:$IL$79</definedName>
    <definedName name="HOLDAA">#REF!</definedName>
    <definedName name="_xlnm.Print_Area" localSheetId="0">'E-1 (Bal. Sheet)'!$A$1:$E$83</definedName>
    <definedName name="_xlnm.Print_Area" localSheetId="1">'E-2 (Bal. Sheet)'!$A$1:$E$84</definedName>
    <definedName name="_xlnm.Print_Area" localSheetId="3">'F (Stmt. of Income)'!$A$1:$F$73</definedName>
    <definedName name="_xlnm.Print_Area" localSheetId="4">'G (Sources and Uses)'!$A$1:$E$76</definedName>
    <definedName name="Print_Area_MI" localSheetId="0">'E-1 (Bal. Sheet)'!$A$1:$E$83</definedName>
    <definedName name="_xlnm.Print_Titles" localSheetId="2">'E- 3 (Journal Entries)'!$1:$9</definedName>
    <definedName name="TOP" localSheetId="0">'E-1 (Bal. Sheet)'!$A$6:$E$6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<sst xmlns="http://schemas.openxmlformats.org/spreadsheetml/2006/main" count="328" uniqueCount="273">
  <si>
    <t>PACIFICORP</t>
  </si>
  <si>
    <t>UNCONSOLIDATED BALANCE SHEET</t>
  </si>
  <si>
    <t xml:space="preserve">       ASSETS AND OTHER DEBITS</t>
  </si>
  <si>
    <t>TOTAL CORPORATION</t>
  </si>
  <si>
    <t>PROPOSED FINANCING</t>
  </si>
  <si>
    <t>TOTAL PROFORMA</t>
  </si>
  <si>
    <t xml:space="preserve">       UTILITY PLANT</t>
  </si>
  <si>
    <t>ELECTRIC PLANT IN SERVICE (101)</t>
  </si>
  <si>
    <t>PROPERTY UNDER CAPITAL LEASES (101.1)</t>
  </si>
  <si>
    <t>ELECTRIC PLANT PURCHASED OR SOLD (102)</t>
  </si>
  <si>
    <t>EXPERIMENTAL ELECTRIC PLANT - UNCLASSIFIED (103)</t>
  </si>
  <si>
    <t>ELECTRIC PLANT HELD FOR FUTURE USE (105)</t>
  </si>
  <si>
    <t>COMPLETED CONSTRUCTION NOT CLASSIFIED (106)</t>
  </si>
  <si>
    <t>CONSTRUCTION WORK IN PROGRESS - ELECTRIC (107)</t>
  </si>
  <si>
    <t>ELECTRIC PLANT ACQUISITION ADJUSTMENTS (114)</t>
  </si>
  <si>
    <t>OTHER UTILITY PLANT (118)</t>
  </si>
  <si>
    <t>NUCLEAR FUEL (120.1-120.4)</t>
  </si>
  <si>
    <t xml:space="preserve">  TOTAL UTILITY PLANT</t>
  </si>
  <si>
    <t>ACCUM PROV FOR DEPR OF ELECT PLANT IN SERVICE (108)</t>
  </si>
  <si>
    <t>CR</t>
  </si>
  <si>
    <t xml:space="preserve">ACCUM PROV FOR AMORT OF ELECT PLANT IN SERVICE (111) </t>
  </si>
  <si>
    <t xml:space="preserve">ACCUM PROV FOR DEPR OF OTHER UTILITY PLANT (119) </t>
  </si>
  <si>
    <t xml:space="preserve">ACCUM PROV FOR AMORT OF NUCLEAR FUEL ASSEMB (120.5) </t>
  </si>
  <si>
    <t xml:space="preserve">  UTILITY PLANT - NET</t>
  </si>
  <si>
    <t xml:space="preserve">       NONUTILITY PROPERTY AND INVESTMENTS</t>
  </si>
  <si>
    <t>NONUTILITY PROPERTY (121)</t>
  </si>
  <si>
    <t xml:space="preserve">ACCUM PROV FOR DEPR/AMORT OF NONUTILITY PROP (122) </t>
  </si>
  <si>
    <t>INVESTMENT IN ACCOCIATED COMPANIES (123)</t>
  </si>
  <si>
    <t>INVESTMENT IN SUBSIDIARY COMPANIES (123.1)</t>
  </si>
  <si>
    <t>OTHER INVESTMENTS (124)</t>
  </si>
  <si>
    <t>OTHER SPECIAL FUNDS (128)</t>
  </si>
  <si>
    <t xml:space="preserve">  TOTAL NONUTILITY PROPERTY &amp; INVESTMENTS</t>
  </si>
  <si>
    <t xml:space="preserve">       CURRENT AND ACCRUED ASSETS</t>
  </si>
  <si>
    <t>CASH (131)</t>
  </si>
  <si>
    <t>SPECIAL DEPOSITS (132-134)</t>
  </si>
  <si>
    <t>WORKING FUNDS (135)</t>
  </si>
  <si>
    <t>TEMPORARY CASH INVESTMENTS (136)</t>
  </si>
  <si>
    <t>NOTES RECEIVABLE (141)</t>
  </si>
  <si>
    <t>CUSTOMER ACCOUNTS RECEIVABLE (142)</t>
  </si>
  <si>
    <t>OTHER ACCOUNTS RECEIVABLE (143)</t>
  </si>
  <si>
    <t>ACCUMULATED PROV FOR UNCOLLECTIBLE ACCOUNTS (144)</t>
  </si>
  <si>
    <t>NOTES RECEIVABLE FROM ASSOCIATED COMPANIES (145)</t>
  </si>
  <si>
    <t>ACCOUNTS RECEIVABLE FROM ASSOCIATED COMPANIES (146)</t>
  </si>
  <si>
    <t>FUEL STOCK (151-152)</t>
  </si>
  <si>
    <t>MATERIALS AND SUPPLIES (154-163)</t>
  </si>
  <si>
    <t>PREPAYMENTS (165)</t>
  </si>
  <si>
    <t>INTEREST AND DIVIDENDS RECEIVABLE (171)</t>
  </si>
  <si>
    <t>RENTS RECEIVABLE (172)</t>
  </si>
  <si>
    <t>ACCRUED UTILITY REVENUES (173)</t>
  </si>
  <si>
    <t>MISCELLANEOUS CURRENT AND ACCRUED ASSETS (174)</t>
  </si>
  <si>
    <t xml:space="preserve">  TOTAL CURRENT AND ACCRUED ASSETS</t>
  </si>
  <si>
    <t xml:space="preserve">       DEFERRED DEBITS</t>
  </si>
  <si>
    <t>UNAMORTIZED DEBT EXPENSE (181)</t>
  </si>
  <si>
    <t>EXTRAORDINARY PROPERTY LOSSES (182.1)</t>
  </si>
  <si>
    <t>UNRECOVERED PLANT AND REGULATORY STUDY COSTS (182.2)</t>
  </si>
  <si>
    <t>OTHER REGULATORY ASSETS (182.3)</t>
  </si>
  <si>
    <t>PRELIMINARY SURVEY &amp; INVESTIGATION CHARGES (183)</t>
  </si>
  <si>
    <t>CLEARING ACCOUNTS (184)</t>
  </si>
  <si>
    <t>TEMPORARY FACILITIES (185)</t>
  </si>
  <si>
    <t>MISCELLANEOUS DEFERRED DEBITS (186)</t>
  </si>
  <si>
    <t>RESEARCH DEVELOPMENT DEMONSTRATION EXPENDITURES (188)</t>
  </si>
  <si>
    <t>UNAMORTIZED LOSS ON REACQUIRED DEBT (189)</t>
  </si>
  <si>
    <t>ACCUMULATED DEFERRED INCOME TAXES (190)</t>
  </si>
  <si>
    <t xml:space="preserve">  TOTAL DEFERRED DEBITS</t>
  </si>
  <si>
    <t xml:space="preserve">  TOTAL ASSETS AND OTHER DEBITS</t>
  </si>
  <si>
    <t xml:space="preserve">     LIABILITIES AND OTHER CREDITS</t>
  </si>
  <si>
    <t xml:space="preserve">     CAPITALIZATION</t>
  </si>
  <si>
    <t xml:space="preserve">     COMMON EQUITY</t>
  </si>
  <si>
    <t>COMMON STOCK ISSUED (201)</t>
  </si>
  <si>
    <t>COMMON STOCK LIABILITY FOR CONVERSION (203)</t>
  </si>
  <si>
    <t>PREMIUM ON CAPITAL STOCK (207)</t>
  </si>
  <si>
    <t>OTHER PAID-IN CAPITAL (208-211)</t>
  </si>
  <si>
    <t>INSTALLMENTS RECEIVED ON CAPITAL STOCK (212)</t>
  </si>
  <si>
    <t xml:space="preserve">CAPITAL STOCK EXPENSE (214) </t>
  </si>
  <si>
    <t>DR</t>
  </si>
  <si>
    <t>RETAINED EARNINGS (215.1, 216)</t>
  </si>
  <si>
    <t xml:space="preserve">REACQUIRED CAPITAL STOCK (217)                              </t>
  </si>
  <si>
    <t xml:space="preserve">  TOTAL COMMON EQUITY</t>
  </si>
  <si>
    <t>PREFERRED STOCK ISSUED (204)</t>
  </si>
  <si>
    <t xml:space="preserve">     LONG-TERM DEBT</t>
  </si>
  <si>
    <t>BONDS (221)</t>
  </si>
  <si>
    <t>POLLUTION CONTROL FUNDS ON DEPOSIT WITH TRUSTEE (221.4, 5)</t>
  </si>
  <si>
    <t>ADVANCES FROM ASSOCIATED COMPANIES (223)</t>
  </si>
  <si>
    <t>OTHER LONG-TERM DEBT (224)</t>
  </si>
  <si>
    <t>UNAMORTIZED PREMIUM ON LONG-TERM DEBT (225)</t>
  </si>
  <si>
    <t>UNAMORTIZED DISCOUNT ON LONG-TERM DEBT (226)</t>
  </si>
  <si>
    <t xml:space="preserve">  TOTAL LONG-TERM DEBT</t>
  </si>
  <si>
    <t xml:space="preserve">  TOTAL CAPITALIZATION</t>
  </si>
  <si>
    <t xml:space="preserve">     OTHER NONCURRENT LIABILITIES</t>
  </si>
  <si>
    <t>OBLIGATIONS UNDER CAPITAL LEASES (227)</t>
  </si>
  <si>
    <t>ACCUMULATED PROVISION FOR PROPERTY INSURANCE (228.1)</t>
  </si>
  <si>
    <t>ACCUMULATED PROVISION FOR INJURIES &amp; DAMAGES (228.2)</t>
  </si>
  <si>
    <t>ACCUMULATED PROVISION FOR PENSIONS &amp; BENEFITS (228.3)</t>
  </si>
  <si>
    <t>ACCUMULATED MISCELLANEOUS OPERATING PROVISIONS (228.4)</t>
  </si>
  <si>
    <t>ACCUMULATED PROVISION FOR RATE REFUNDS (229)</t>
  </si>
  <si>
    <t xml:space="preserve">  TOTAL OTHER NONCURRENT LIABILITIES</t>
  </si>
  <si>
    <t xml:space="preserve">     CURRENT AND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</si>
  <si>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</si>
  <si>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</si>
  <si>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</si>
  <si>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</si>
  <si>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</si>
  <si>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</si>
  <si>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</si>
  <si>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DIVIDENDS DECLARED (238)</t>
  </si>
  <si>
    <t>MATURED LONG-TERM DEBT (239)</t>
  </si>
  <si>
    <t>MATURED INTEREST (240)</t>
  </si>
  <si>
    <t>TAX COLLECTIONS PAYABLE (241)</t>
  </si>
  <si>
    <t>MISCELLANEOUS CURRENT AND ACCRUED LIABILITIES (242)</t>
  </si>
  <si>
    <t>OBLIGATIONS UNDER CAPITAL LEASES (243)</t>
  </si>
  <si>
    <t xml:space="preserve">  TOTAL CURRENT AND ACCRUED LIABILITIES</t>
  </si>
  <si>
    <t xml:space="preserve">     DEFERRED CREDITS</t>
  </si>
  <si>
    <t>CUSTOMER ADVANCES FOR CONSTRUCTION (252)</t>
  </si>
  <si>
    <t>OTHER DEFERRED CREDITS (253)</t>
  </si>
  <si>
    <t>OTHER REGULATORY LIABILITIES (254)</t>
  </si>
  <si>
    <t>ACCUMULATED DEFERRED INVESTMENT TAX CREDITS (255)</t>
  </si>
  <si>
    <t>UNAMORTIZED GAIN ON REACQUIRED DEBT (257)</t>
  </si>
  <si>
    <t>ACCUM DEFERRED INCOME TAXES - ACCEL AMORTIZTN (281)</t>
  </si>
  <si>
    <t>ACCUM DEFERRED INCOME TAXES-LIBRLZ DEPRECIATION (282)</t>
  </si>
  <si>
    <t>ACCUMULATED DEFERRED INCOME TAXES-OTHER (283)</t>
  </si>
  <si>
    <t xml:space="preserve">  TOTAL DEFERRED CREDITS </t>
  </si>
  <si>
    <t xml:space="preserve">  TOTAL LIABILITIES AND OTHER CREDITS</t>
  </si>
  <si>
    <t>Cash</t>
  </si>
  <si>
    <t xml:space="preserve">UNCONSOLIDATED STATEMENT OF INCOME </t>
  </si>
  <si>
    <t xml:space="preserve">TOTAL PROFORMA </t>
  </si>
  <si>
    <t>UTILITY OPERATING INCOME</t>
  </si>
  <si>
    <t xml:space="preserve">    OPERATING REVENUES</t>
  </si>
  <si>
    <t xml:space="preserve">    OPERATION AND MAINTENANCE EXPENSE</t>
  </si>
  <si>
    <t xml:space="preserve">        OPERATION</t>
  </si>
  <si>
    <t xml:space="preserve">        MAINTENANCE</t>
  </si>
  <si>
    <t xml:space="preserve">            TOTAL OPERATION AND MAINTENANCE EXPENSE</t>
  </si>
  <si>
    <t xml:space="preserve">    DEPRECIATION </t>
  </si>
  <si>
    <t xml:space="preserve">    AMORTIZATION </t>
  </si>
  <si>
    <t xml:space="preserve">    TAXES OTHER THAN INCOME TAXES</t>
  </si>
  <si>
    <t xml:space="preserve">    INCOME TAXES -- FEDERAL</t>
  </si>
  <si>
    <t xml:space="preserve">                                -- STATE</t>
  </si>
  <si>
    <t xml:space="preserve">    PROVISION FOR DEFERRED INCOME TAXES</t>
  </si>
  <si>
    <t xml:space="preserve">    INVESTMENT TAX CREDIT ADJUSTMENTS -- NET</t>
  </si>
  <si>
    <t xml:space="preserve">    GAINS FROM DISPOSITION OF UTILITY PLANT </t>
  </si>
  <si>
    <t xml:space="preserve">    LOSSES FROM DISPOSITION OF UTILITY PLANT</t>
  </si>
  <si>
    <t xml:space="preserve">    GAINS FROM DISPOSITION OF ALLOWANCES</t>
  </si>
  <si>
    <t xml:space="preserve">    OTHER UTILITY OPERATING INCOME - STEAM HTG</t>
  </si>
  <si>
    <t xml:space="preserve">        UTILITY OPERATING INCOME</t>
  </si>
  <si>
    <t>OTHER INCOME AND DEDUCTIONS</t>
  </si>
  <si>
    <t xml:space="preserve">    OTHER INCOME</t>
  </si>
  <si>
    <t xml:space="preserve">        INCOME FROM MERCHANDISING</t>
  </si>
  <si>
    <t xml:space="preserve">        INCOME FROM NONUTILITY OPERATIONS</t>
  </si>
  <si>
    <t xml:space="preserve">        NONOPERATING RENTAL INCOME</t>
  </si>
  <si>
    <t xml:space="preserve">        EQUITY IN EARNINGS OF ELECTRIC SUBSIDIARIES</t>
  </si>
  <si>
    <t xml:space="preserve">        EQUITY IN EARNINGS OF NONELECTRIC SUBSIDIARIES</t>
  </si>
  <si>
    <t xml:space="preserve">        INTEREST AND DIVIDEND INCOME</t>
  </si>
  <si>
    <t xml:space="preserve">        ALLOW FOR FUNDS USED DURING CONSTRUCTION</t>
  </si>
  <si>
    <t xml:space="preserve">        MISCELLANEOUS NONOPERATING INCOME</t>
  </si>
  <si>
    <t xml:space="preserve">        GAIN ON DISPOSITION OF PROPERTY</t>
  </si>
  <si>
    <t xml:space="preserve">            TOTAL OTHER INCOME</t>
  </si>
  <si>
    <t xml:space="preserve">    OTHER INCOME DEDUCTIONS</t>
  </si>
  <si>
    <t xml:space="preserve">        LOSS ON DISPOSITION OF PROPERTY</t>
  </si>
  <si>
    <t xml:space="preserve">        MISCELLANEOUS AMORTIZATION</t>
  </si>
  <si>
    <t xml:space="preserve">        MISCELLANEOUS INCOME DEDUCTIONS</t>
  </si>
  <si>
    <t xml:space="preserve">            TOTAL OTHER INCOME DEDUCTIONS</t>
  </si>
  <si>
    <t xml:space="preserve">    TAXES APPLIC TO OTHER INCOME &amp; DEDUCTIONS</t>
  </si>
  <si>
    <t xml:space="preserve">        TAXES OTHER THAN INCOME TAXES</t>
  </si>
  <si>
    <t xml:space="preserve">        INCOME TAXES</t>
  </si>
  <si>
    <t xml:space="preserve">        INVESTMENT TAX CREDITS</t>
  </si>
  <si>
    <t xml:space="preserve">            TOTAL TAXES APPLIC TO OTHER INC &amp; DED</t>
  </si>
  <si>
    <t xml:space="preserve">                NET OTHER INCOME AND DEDUCTIONS</t>
  </si>
  <si>
    <t xml:space="preserve">        INCOME BEFORE INTEREST CHARGES</t>
  </si>
  <si>
    <t>INTEREST CHARGES</t>
  </si>
  <si>
    <t xml:space="preserve">    INTEREST ON BONDS</t>
  </si>
  <si>
    <t xml:space="preserve">    AMORTIZATION OF DEBT DISCOUNT AND EXPENSE</t>
  </si>
  <si>
    <t xml:space="preserve">    AMORTIZATION OF LOSS ON REACQUIRED DEBT</t>
  </si>
  <si>
    <t xml:space="preserve">    AMORTIZATION OF PREMIUM ON DEBT</t>
  </si>
  <si>
    <t xml:space="preserve">    AMORTIZATION OF GAIN ON REACQUIRED DEBT</t>
  </si>
  <si>
    <t xml:space="preserve">    INTEREST ON DEBT TO ASSOCIATED COMPANIES</t>
  </si>
  <si>
    <t xml:space="preserve">    OTHER INTEREST EXPENSE</t>
  </si>
  <si>
    <t xml:space="preserve">    ALLOW FOR BRD FUNDS USED DURING CONSTR </t>
  </si>
  <si>
    <t xml:space="preserve">        NET INTEREST CHARGES</t>
  </si>
  <si>
    <t xml:space="preserve">        INCOME BEFORE EXTRAORD. ITEMS</t>
  </si>
  <si>
    <t>EXTRAORDINARY ITEMS -- NET OF INCOME TAX</t>
  </si>
  <si>
    <t>NET INCOME</t>
  </si>
  <si>
    <t xml:space="preserve">    PREFERRED DIVIDEND REQUIREMENTS</t>
  </si>
  <si>
    <t>EARNINGS AVAILABLE FOR COMMON STOCK</t>
  </si>
  <si>
    <t>PAGE 1 OF 1</t>
  </si>
  <si>
    <t xml:space="preserve">ACCUM PROV FOR ASSET ACQUISITION ADJUSTMENT (115) </t>
  </si>
  <si>
    <t xml:space="preserve">     CUMULATIVE EFFECT OF CHANGE IN ACCT. PRINCIPLE</t>
  </si>
  <si>
    <t>Notes Payable - Commercial Paper</t>
  </si>
  <si>
    <t>PAGE 1 OF 2</t>
  </si>
  <si>
    <t>PAGE 2 OF 2</t>
  </si>
  <si>
    <t>DERIVATIVE INSTRUMENT ASSETS (175)</t>
  </si>
  <si>
    <t xml:space="preserve">ACCUMULATED OTHER COMPREHENSIVE INCOME (219)                              </t>
  </si>
  <si>
    <t>ASSET RETIREMENT OBLIGATION (230)</t>
  </si>
  <si>
    <t>DERIVATIVE INSTRUMENT LIABILITIES (244)</t>
  </si>
  <si>
    <t xml:space="preserve">    DEPRECIATION EXPENSE FOR ASSET RETIREMENT COSTS</t>
  </si>
  <si>
    <t xml:space="preserve">    ACCRETION EXPENSE</t>
  </si>
  <si>
    <t xml:space="preserve">     INCOME TAX ON CUM. EFFECT OF CHANGE IN ACCT. PRINC</t>
  </si>
  <si>
    <t xml:space="preserve"> 409 / 216</t>
  </si>
  <si>
    <t>Taxes Accrued</t>
  </si>
  <si>
    <t>EXHIBIT E</t>
  </si>
  <si>
    <t>SOURCES AND USES OF TREASURY FUNDS</t>
  </si>
  <si>
    <t>TREASURY FUND USES:</t>
  </si>
  <si>
    <t xml:space="preserve">    UTILITY PLANT</t>
  </si>
  <si>
    <t xml:space="preserve">    ACCUMULATED PROVISION FOR DEPREC. AND AMORTIZATION</t>
  </si>
  <si>
    <t xml:space="preserve">        UTILITY PLANT - NET</t>
  </si>
  <si>
    <t xml:space="preserve">    INVESTMENT IN DEFERRED OR TERMINATED PROJECTS</t>
  </si>
  <si>
    <t xml:space="preserve">            TOTAL FUND USES</t>
  </si>
  <si>
    <t>TREASURY FUND SOURCES:</t>
  </si>
  <si>
    <t xml:space="preserve">    PERMANENT FINANCING ISSUANCES</t>
  </si>
  <si>
    <t xml:space="preserve">        LONG TERM DEBT</t>
  </si>
  <si>
    <t xml:space="preserve">        PREFERRED STOCK</t>
  </si>
  <si>
    <t xml:space="preserve">        COMMON STOCK</t>
  </si>
  <si>
    <t xml:space="preserve">        OBLIGATIONS UNDER CAPITAL LEASES</t>
  </si>
  <si>
    <t xml:space="preserve">            TOTAL</t>
  </si>
  <si>
    <t xml:space="preserve">    TEMPORARY FINANCING ISSUANCES</t>
  </si>
  <si>
    <t xml:space="preserve">        CURRENT PORTION OF LONG TERM DEBT</t>
  </si>
  <si>
    <t xml:space="preserve">        CURRENT PORTION OF CAPITAL LEASES</t>
  </si>
  <si>
    <t xml:space="preserve">        ADVANCES FROM SUBSIDIARIES (NET)</t>
  </si>
  <si>
    <t xml:space="preserve">            TOTAL FUND SOURCES</t>
  </si>
  <si>
    <t>BALANCE OF FUNDS OBTAINED FROM INCOME AND FROM SOURCES</t>
  </si>
  <si>
    <t>OTHER THAN SECURITIES ISSUED AND OTHER OBLIGATIONS INCURRED</t>
  </si>
  <si>
    <t>Temporary Cash Investment</t>
  </si>
  <si>
    <t>Interest Income</t>
  </si>
  <si>
    <t xml:space="preserve"> 419 / 216</t>
  </si>
  <si>
    <t>PacifiCorp</t>
  </si>
  <si>
    <t>Common Shares Issued</t>
  </si>
  <si>
    <t xml:space="preserve">        SHORT TERM DEBT (NET)</t>
  </si>
  <si>
    <t>SEPTEMBER 30, 2005</t>
  </si>
  <si>
    <t>12 MONTHS ENDED SEPTEMBER 30, 2005</t>
  </si>
  <si>
    <t>Income Taxes - Federal (33.41% effective rate)</t>
  </si>
  <si>
    <t>Income Taxes - State (4.54% effective rate)</t>
  </si>
  <si>
    <t>Proposed Journal Entries for the 12 Months Ended September 30, 2005</t>
  </si>
  <si>
    <t>Other Interest Expense</t>
  </si>
  <si>
    <t xml:space="preserve"> 431 / 216</t>
  </si>
  <si>
    <t>Unamortized Debt Expense</t>
  </si>
  <si>
    <t>Bonds</t>
  </si>
  <si>
    <t>Interest on Bonds</t>
  </si>
  <si>
    <t>427 / 216</t>
  </si>
  <si>
    <t>Proceeds of issuing 75,727,907 shares at $10.75 per share</t>
  </si>
  <si>
    <t>Transfer of cash to money market investment</t>
  </si>
  <si>
    <t>Proceeds used to retire existing short-term debt</t>
  </si>
  <si>
    <t>Interest earned on remaining balance of money market investment</t>
  </si>
  <si>
    <t>Proceeds of issuing $1.5 billion in short-term debt</t>
  </si>
  <si>
    <t>Interest expense on increased balance of short-term debt</t>
  </si>
  <si>
    <t>Proceeds of issuing $700 million in long-term debt</t>
  </si>
  <si>
    <t>Interest on $700 million bonds</t>
  </si>
  <si>
    <t>Reduced interest from $455.9 million in bonds replaced by new issuance</t>
  </si>
  <si>
    <t>Remaining bond proceeds used to retire short-term debt</t>
  </si>
  <si>
    <t>Pro Forma Assumptions:</t>
  </si>
  <si>
    <t>1)  64,100,000 shares of common stock issued in addition to 11,627,907 actually issued on December 30, 2005</t>
  </si>
  <si>
    <t>2)  Common stock issued at per share price equal to book value at November 30, 2005 of $10.75 with no stock</t>
  </si>
  <si>
    <t>issuance cost.</t>
  </si>
  <si>
    <t>(Total = 75,727,907 shares).</t>
  </si>
  <si>
    <t>3) Proceeds of $1.5 billion short-term debt issuance used to retire September 30, 2005 short-term debt balance</t>
  </si>
  <si>
    <t>with remaining proceeds invested at assumed 4.5% short-term debt rate.</t>
  </si>
  <si>
    <t>4)  Proceeds of common stock issuance used to retire short-term debt.</t>
  </si>
  <si>
    <t>5)  Proceeds of long-term debt issuance used to replace existing long-term debt with maturities through 12/31/07</t>
  </si>
  <si>
    <t>(total = $455,953,000) and then to retire short-term debt.</t>
  </si>
  <si>
    <t xml:space="preserve"> 428 / 216</t>
  </si>
  <si>
    <t>Advance of $10 million to subsidiary under umbrella loan agreement</t>
  </si>
  <si>
    <t>Notes Receivable - Affiliates</t>
  </si>
  <si>
    <t>Interest earned on note receivable from affiliate</t>
  </si>
  <si>
    <t>Net tax effect of above five interest income / interest expense amounts</t>
  </si>
  <si>
    <t>7)  Assumed umbrella loan agreement interest rate of 4.5%.</t>
  </si>
  <si>
    <t>8)  Effective federal income tax rate of 33.41% and effective state tax rate of 4.54%.</t>
  </si>
  <si>
    <t>Amortization of Debt Expense</t>
  </si>
  <si>
    <t>Proceeds of stock issuance used to retire portion of $1.5 billion short-term debt issuance</t>
  </si>
  <si>
    <t>6)  Assumed 20 year long-term debt issuance at 6.0% interest rate with 1.0% issuance costs.</t>
  </si>
  <si>
    <t>Pro Forma Issuance of 64,100,000 shares of Common Stock +</t>
  </si>
  <si>
    <t xml:space="preserve">                   Issuance of $700 million of Long-term Debt +</t>
  </si>
  <si>
    <t xml:space="preserve">                   Issuance of $1.5 billion of Short-term Debt +</t>
  </si>
  <si>
    <t xml:space="preserve">                   Advance of $10 million to Subsidiary under Umbrella Loan Agreement</t>
  </si>
  <si>
    <t>Proceeds of bond issuance used to finance long-term debt maturities (for bonds maturing through 12/31/07)</t>
  </si>
  <si>
    <t>EXHIBIT F</t>
  </si>
  <si>
    <t>EXHIBIT 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</si>
</sst>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5">
    <font>
      <sz val="10"/>
      <name val="TimesNewRomanP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u val="single"/>
      <sz val="8.7"/>
      <color indexed="12"/>
      <name val="TimesNewRomanPS"/>
      <family val="0"/>
    </font>
    <font>
      <u val="single"/>
      <sz val="8.7"/>
      <color indexed="36"/>
      <name val="TimesNewRomanPS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9">
    <xf numFmtId="39" fontId="0" fillId="0" borderId="0" xfId="0" applyAlignment="1">
      <alignment/>
    </xf>
    <xf numFmtId="39" fontId="1" fillId="0" borderId="0" xfId="0" applyFont="1" applyAlignment="1" applyProtection="1">
      <alignment horizontal="centerContinuous"/>
      <protection/>
    </xf>
    <xf numFmtId="39" fontId="4" fillId="0" borderId="0" xfId="0" applyFont="1" applyAlignment="1" applyProtection="1">
      <alignment horizontal="centerContinuous"/>
      <protection/>
    </xf>
    <xf numFmtId="39" fontId="4" fillId="0" borderId="0" xfId="0" applyFont="1" applyAlignment="1">
      <alignment/>
    </xf>
    <xf numFmtId="39" fontId="5" fillId="0" borderId="0" xfId="0" applyFont="1" applyAlignment="1" applyProtection="1">
      <alignment horizontal="centerContinuous"/>
      <protection locked="0"/>
    </xf>
    <xf numFmtId="39" fontId="6" fillId="0" borderId="0" xfId="0" applyFont="1" applyAlignment="1" applyProtection="1">
      <alignment horizontal="centerContinuous"/>
      <protection locked="0"/>
    </xf>
    <xf numFmtId="164" fontId="5" fillId="0" borderId="0" xfId="0" applyNumberFormat="1" applyFont="1" applyAlignment="1" applyProtection="1">
      <alignment horizontal="centerContinuous"/>
      <protection locked="0"/>
    </xf>
    <xf numFmtId="39" fontId="1" fillId="0" borderId="1" xfId="0" applyFont="1" applyBorder="1" applyAlignment="1" applyProtection="1">
      <alignment/>
      <protection/>
    </xf>
    <xf numFmtId="39" fontId="1" fillId="0" borderId="2" xfId="0" applyFont="1" applyBorder="1" applyAlignment="1" applyProtection="1">
      <alignment/>
      <protection/>
    </xf>
    <xf numFmtId="39" fontId="1" fillId="0" borderId="3" xfId="0" applyFont="1" applyBorder="1" applyAlignment="1" applyProtection="1">
      <alignment horizontal="center"/>
      <protection/>
    </xf>
    <xf numFmtId="39" fontId="5" fillId="0" borderId="1" xfId="0" applyFont="1" applyBorder="1" applyAlignment="1" applyProtection="1">
      <alignment/>
      <protection locked="0"/>
    </xf>
    <xf numFmtId="39" fontId="4" fillId="0" borderId="2" xfId="0" applyFont="1" applyBorder="1" applyAlignment="1" applyProtection="1">
      <alignment/>
      <protection/>
    </xf>
    <xf numFmtId="39" fontId="4" fillId="0" borderId="3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 locked="0"/>
    </xf>
    <xf numFmtId="39" fontId="4" fillId="0" borderId="3" xfId="0" applyNumberFormat="1" applyFont="1" applyBorder="1" applyAlignment="1" applyProtection="1">
      <alignment/>
      <protection/>
    </xf>
    <xf numFmtId="39" fontId="5" fillId="0" borderId="3" xfId="0" applyFont="1" applyBorder="1" applyAlignment="1" applyProtection="1">
      <alignment/>
      <protection locked="0"/>
    </xf>
    <xf numFmtId="39" fontId="4" fillId="0" borderId="0" xfId="0" applyFont="1" applyAlignment="1">
      <alignment horizontal="right"/>
    </xf>
    <xf numFmtId="39" fontId="4" fillId="0" borderId="4" xfId="0" applyFont="1" applyBorder="1" applyAlignment="1" applyProtection="1">
      <alignment/>
      <protection/>
    </xf>
    <xf numFmtId="39" fontId="1" fillId="0" borderId="4" xfId="0" applyFont="1" applyBorder="1" applyAlignment="1" applyProtection="1">
      <alignment horizontal="center"/>
      <protection/>
    </xf>
    <xf numFmtId="39" fontId="4" fillId="0" borderId="4" xfId="0" applyNumberFormat="1" applyFont="1" applyBorder="1" applyAlignment="1" applyProtection="1">
      <alignment/>
      <protection/>
    </xf>
    <xf numFmtId="39" fontId="5" fillId="0" borderId="4" xfId="0" applyFont="1" applyBorder="1" applyAlignment="1" applyProtection="1">
      <alignment/>
      <protection locked="0"/>
    </xf>
    <xf numFmtId="39" fontId="5" fillId="0" borderId="4" xfId="0" applyNumberFormat="1" applyFont="1" applyBorder="1" applyAlignment="1" applyProtection="1">
      <alignment/>
      <protection locked="0"/>
    </xf>
    <xf numFmtId="39" fontId="6" fillId="0" borderId="0" xfId="0" applyFont="1" applyAlignment="1" applyProtection="1">
      <alignment horizontal="centerContinuous"/>
      <protection locked="0"/>
    </xf>
    <xf numFmtId="37" fontId="8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>
      <alignment/>
    </xf>
    <xf numFmtId="39" fontId="9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9" fontId="4" fillId="0" borderId="1" xfId="0" applyFont="1" applyBorder="1" applyAlignment="1" applyProtection="1" quotePrefix="1">
      <alignment horizontal="left"/>
      <protection/>
    </xf>
    <xf numFmtId="39" fontId="4" fillId="0" borderId="0" xfId="0" applyFont="1" applyAlignment="1" quotePrefix="1">
      <alignment horizontal="right"/>
    </xf>
    <xf numFmtId="39" fontId="4" fillId="0" borderId="0" xfId="0" applyFont="1" applyAlignment="1" quotePrefix="1">
      <alignment horizontal="left"/>
    </xf>
    <xf numFmtId="39" fontId="9" fillId="0" borderId="0" xfId="0" applyFont="1" applyAlignment="1" applyProtection="1" quotePrefix="1">
      <alignment horizontal="left"/>
      <protection/>
    </xf>
    <xf numFmtId="39" fontId="9" fillId="0" borderId="0" xfId="0" applyFont="1" applyAlignment="1" quotePrefix="1">
      <alignment horizontal="left"/>
    </xf>
    <xf numFmtId="37" fontId="9" fillId="0" borderId="0" xfId="0" applyNumberFormat="1" applyFont="1" applyAlignment="1">
      <alignment/>
    </xf>
    <xf numFmtId="39" fontId="9" fillId="0" borderId="0" xfId="0" applyFont="1" applyAlignment="1">
      <alignment/>
    </xf>
    <xf numFmtId="37" fontId="9" fillId="0" borderId="0" xfId="0" applyNumberFormat="1" applyFont="1" applyAlignment="1" applyProtection="1" quotePrefix="1">
      <alignment/>
      <protection/>
    </xf>
    <xf numFmtId="39" fontId="5" fillId="0" borderId="3" xfId="0" applyNumberFormat="1" applyFont="1" applyFill="1" applyBorder="1" applyAlignment="1" applyProtection="1">
      <alignment/>
      <protection/>
    </xf>
    <xf numFmtId="39" fontId="5" fillId="0" borderId="3" xfId="0" applyNumberFormat="1" applyFont="1" applyFill="1" applyBorder="1" applyAlignment="1" applyProtection="1">
      <alignment/>
      <protection locked="0"/>
    </xf>
    <xf numFmtId="169" fontId="9" fillId="0" borderId="0" xfId="17" applyNumberFormat="1" applyFont="1" applyAlignment="1" applyProtection="1">
      <alignment/>
      <protection/>
    </xf>
    <xf numFmtId="39" fontId="6" fillId="0" borderId="0" xfId="0" applyFont="1" applyAlignment="1" applyProtection="1" quotePrefix="1">
      <alignment horizontal="centerContinuous"/>
      <protection locked="0"/>
    </xf>
    <xf numFmtId="39" fontId="3" fillId="0" borderId="0" xfId="0" applyFont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9" fontId="5" fillId="0" borderId="3" xfId="0" applyFont="1" applyBorder="1" applyAlignment="1" applyProtection="1">
      <alignment/>
      <protection/>
    </xf>
    <xf numFmtId="39" fontId="12" fillId="0" borderId="0" xfId="0" applyFont="1" applyAlignment="1" applyProtection="1">
      <alignment/>
      <protection/>
    </xf>
    <xf numFmtId="39" fontId="9" fillId="0" borderId="0" xfId="0" applyFont="1" applyAlignment="1" applyProtection="1" quotePrefix="1">
      <alignment/>
      <protection/>
    </xf>
    <xf numFmtId="39" fontId="9" fillId="0" borderId="0" xfId="0" applyFont="1" applyAlignment="1" quotePrefix="1">
      <alignment/>
    </xf>
    <xf numFmtId="37" fontId="9" fillId="0" borderId="0" xfId="17" applyNumberFormat="1" applyFont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37" fontId="9" fillId="0" borderId="0" xfId="17" applyNumberFormat="1" applyFont="1" applyFill="1" applyAlignment="1" applyProtection="1">
      <alignment/>
      <protection/>
    </xf>
    <xf numFmtId="169" fontId="9" fillId="0" borderId="0" xfId="17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 locked="0"/>
    </xf>
    <xf numFmtId="37" fontId="9" fillId="0" borderId="0" xfId="0" applyNumberFormat="1" applyFont="1" applyFill="1" applyAlignment="1" applyProtection="1">
      <alignment/>
      <protection locked="0"/>
    </xf>
    <xf numFmtId="39" fontId="7" fillId="0" borderId="0" xfId="0" applyFont="1" applyAlignment="1" applyProtection="1">
      <alignment horizontal="center"/>
      <protection/>
    </xf>
    <xf numFmtId="39" fontId="7" fillId="0" borderId="0" xfId="0" applyFont="1" applyAlignment="1" applyProtection="1" quotePrefix="1">
      <alignment horizontal="center"/>
      <protection/>
    </xf>
    <xf numFmtId="39" fontId="14" fillId="0" borderId="0" xfId="0" applyFont="1" applyAlignment="1">
      <alignment/>
    </xf>
    <xf numFmtId="39" fontId="13" fillId="0" borderId="0" xfId="0" applyFont="1" applyAlignment="1" applyProtection="1">
      <alignment horizontal="center"/>
      <protection/>
    </xf>
    <xf numFmtId="39" fontId="7" fillId="0" borderId="0" xfId="0" applyFont="1" applyAlignment="1" applyProtection="1">
      <alignment horizontal="left"/>
      <protection/>
    </xf>
    <xf numFmtId="39" fontId="7" fillId="0" borderId="0" xfId="0" applyFont="1" applyAlignment="1" applyProtection="1">
      <alignment horizontal="center"/>
      <protection/>
    </xf>
    <xf numFmtId="39" fontId="7" fillId="0" borderId="0" xfId="0" applyFont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83"/>
  <sheetViews>
    <sheetView tabSelected="1" defaultGridColor="0" zoomScale="87" zoomScaleNormal="87" colorId="22" workbookViewId="0" topLeftCell="A2">
      <selection activeCell="A38" sqref="A38:IV38"/>
    </sheetView>
  </sheetViews>
  <sheetFormatPr defaultColWidth="19.875" defaultRowHeight="12.75"/>
  <cols>
    <col min="1" max="1" width="70.875" style="3" customWidth="1"/>
    <col min="2" max="2" width="54.875" style="3" customWidth="1"/>
    <col min="3" max="5" width="27.875" style="3" customWidth="1"/>
    <col min="6" max="242" width="19.875" style="3" customWidth="1"/>
    <col min="243" max="243" width="9.875" style="3" customWidth="1"/>
    <col min="244" max="16384" width="19.875" style="3" customWidth="1"/>
  </cols>
  <sheetData>
    <row r="1" spans="1:5" ht="12.75" customHeight="1">
      <c r="A1" s="1" t="s">
        <v>197</v>
      </c>
      <c r="B1" s="2"/>
      <c r="C1" s="2"/>
      <c r="D1" s="2"/>
      <c r="E1" s="2"/>
    </row>
    <row r="2" spans="1:5" ht="6" customHeight="1">
      <c r="A2" s="1"/>
      <c r="B2" s="2"/>
      <c r="C2" s="2"/>
      <c r="D2" s="2"/>
      <c r="E2" s="2"/>
    </row>
    <row r="3" spans="1:5" ht="12.75" customHeight="1">
      <c r="A3" s="1" t="s">
        <v>0</v>
      </c>
      <c r="B3" s="2"/>
      <c r="C3" s="2"/>
      <c r="D3" s="2"/>
      <c r="E3" s="4"/>
    </row>
    <row r="4" spans="1:5" ht="12.75">
      <c r="A4" s="1" t="s">
        <v>1</v>
      </c>
      <c r="B4" s="2"/>
      <c r="C4" s="2"/>
      <c r="D4" s="2"/>
      <c r="E4" s="4"/>
    </row>
    <row r="5" spans="1:5" ht="12.75">
      <c r="A5" s="5" t="s">
        <v>225</v>
      </c>
      <c r="B5" s="2"/>
      <c r="C5" s="2"/>
      <c r="D5" s="2"/>
      <c r="E5" s="6"/>
    </row>
    <row r="7" spans="1:5" ht="24" customHeight="1">
      <c r="A7" s="7" t="s">
        <v>2</v>
      </c>
      <c r="B7" s="8"/>
      <c r="C7" s="9" t="s">
        <v>3</v>
      </c>
      <c r="D7" s="9" t="s">
        <v>4</v>
      </c>
      <c r="E7" s="9" t="s">
        <v>5</v>
      </c>
    </row>
    <row r="8" spans="1:5" ht="12.75">
      <c r="A8" s="10"/>
      <c r="B8" s="11"/>
      <c r="C8" s="12"/>
      <c r="D8" s="12"/>
      <c r="E8" s="12"/>
    </row>
    <row r="9" spans="1:5" ht="12.75">
      <c r="A9" s="13" t="s">
        <v>6</v>
      </c>
      <c r="B9" s="11"/>
      <c r="C9" s="12"/>
      <c r="D9" s="12"/>
      <c r="E9" s="12"/>
    </row>
    <row r="10" spans="1:5" ht="12.75">
      <c r="A10" s="13" t="s">
        <v>7</v>
      </c>
      <c r="B10" s="11"/>
      <c r="C10" s="14">
        <v>14184978769.63</v>
      </c>
      <c r="D10" s="15"/>
      <c r="E10" s="15">
        <f aca="true" t="shared" si="0" ref="E10:E19">C10+D10</f>
        <v>14184978769.63</v>
      </c>
    </row>
    <row r="11" spans="1:5" ht="12.75">
      <c r="A11" s="13" t="s">
        <v>8</v>
      </c>
      <c r="B11" s="11"/>
      <c r="C11" s="14">
        <v>36702511.33</v>
      </c>
      <c r="D11" s="15"/>
      <c r="E11" s="15">
        <f t="shared" si="0"/>
        <v>36702511.33</v>
      </c>
    </row>
    <row r="12" spans="1:5" ht="12" customHeight="1">
      <c r="A12" s="13" t="s">
        <v>9</v>
      </c>
      <c r="B12" s="11"/>
      <c r="C12" s="14">
        <v>0</v>
      </c>
      <c r="D12" s="15"/>
      <c r="E12" s="15">
        <f t="shared" si="0"/>
        <v>0</v>
      </c>
    </row>
    <row r="13" spans="1:5" ht="12.75">
      <c r="A13" s="13" t="s">
        <v>10</v>
      </c>
      <c r="B13" s="11"/>
      <c r="C13" s="14">
        <v>0</v>
      </c>
      <c r="D13" s="15"/>
      <c r="E13" s="15">
        <f t="shared" si="0"/>
        <v>0</v>
      </c>
    </row>
    <row r="14" spans="1:5" ht="12.75">
      <c r="A14" s="13" t="s">
        <v>11</v>
      </c>
      <c r="B14" s="11"/>
      <c r="C14" s="14">
        <v>3299218.48</v>
      </c>
      <c r="D14" s="15"/>
      <c r="E14" s="15">
        <f t="shared" si="0"/>
        <v>3299218.48</v>
      </c>
    </row>
    <row r="15" spans="1:5" ht="12.75">
      <c r="A15" s="13" t="s">
        <v>12</v>
      </c>
      <c r="B15" s="11"/>
      <c r="C15" s="14">
        <v>39028388.01</v>
      </c>
      <c r="D15" s="15"/>
      <c r="E15" s="15">
        <f t="shared" si="0"/>
        <v>39028388.01</v>
      </c>
    </row>
    <row r="16" spans="1:5" ht="12.75">
      <c r="A16" s="13" t="s">
        <v>13</v>
      </c>
      <c r="B16" s="11"/>
      <c r="C16" s="14">
        <v>536949670.96</v>
      </c>
      <c r="D16" s="15"/>
      <c r="E16" s="15">
        <f t="shared" si="0"/>
        <v>536949670.96</v>
      </c>
    </row>
    <row r="17" spans="1:5" ht="12.75">
      <c r="A17" s="13" t="s">
        <v>14</v>
      </c>
      <c r="B17" s="11"/>
      <c r="C17" s="14">
        <v>157193779.75</v>
      </c>
      <c r="D17" s="15"/>
      <c r="E17" s="15">
        <f t="shared" si="0"/>
        <v>157193779.75</v>
      </c>
    </row>
    <row r="18" spans="1:5" ht="12.75">
      <c r="A18" s="13" t="s">
        <v>15</v>
      </c>
      <c r="B18" s="11"/>
      <c r="C18" s="14">
        <v>0</v>
      </c>
      <c r="D18" s="15"/>
      <c r="E18" s="15">
        <f t="shared" si="0"/>
        <v>0</v>
      </c>
    </row>
    <row r="19" spans="1:5" ht="12.75">
      <c r="A19" s="13" t="s">
        <v>16</v>
      </c>
      <c r="B19" s="11"/>
      <c r="C19" s="14">
        <v>0</v>
      </c>
      <c r="D19" s="15"/>
      <c r="E19" s="15">
        <f t="shared" si="0"/>
        <v>0</v>
      </c>
    </row>
    <row r="20" spans="1:5" ht="12.75">
      <c r="A20" s="13"/>
      <c r="B20" s="11"/>
      <c r="C20" s="14"/>
      <c r="D20" s="15"/>
      <c r="E20" s="15"/>
    </row>
    <row r="21" spans="1:5" ht="12.75">
      <c r="A21" s="13" t="s">
        <v>17</v>
      </c>
      <c r="B21" s="11"/>
      <c r="C21" s="12">
        <f>SUM(C9:C20)</f>
        <v>14958152338.16</v>
      </c>
      <c r="D21" s="12">
        <f>SUM(D9:D20)</f>
        <v>0</v>
      </c>
      <c r="E21" s="12">
        <f>SUM(E9:E20)</f>
        <v>14958152338.16</v>
      </c>
    </row>
    <row r="22" spans="1:5" ht="12.75">
      <c r="A22" s="13"/>
      <c r="B22" s="11"/>
      <c r="C22" s="14"/>
      <c r="D22" s="15"/>
      <c r="E22" s="15"/>
    </row>
    <row r="23" spans="1:5" ht="12.75">
      <c r="A23" s="13" t="s">
        <v>18</v>
      </c>
      <c r="B23" s="11" t="s">
        <v>19</v>
      </c>
      <c r="C23" s="14">
        <v>5657158549.46</v>
      </c>
      <c r="D23" s="15"/>
      <c r="E23" s="15">
        <f>C23+D23</f>
        <v>5657158549.46</v>
      </c>
    </row>
    <row r="24" spans="1:5" ht="12.75">
      <c r="A24" s="13" t="s">
        <v>20</v>
      </c>
      <c r="B24" s="11" t="s">
        <v>19</v>
      </c>
      <c r="C24" s="14">
        <v>353235905.08</v>
      </c>
      <c r="D24" s="15"/>
      <c r="E24" s="15">
        <f>C24+D24</f>
        <v>353235905.08</v>
      </c>
    </row>
    <row r="25" spans="1:5" ht="12.75">
      <c r="A25" s="13" t="s">
        <v>183</v>
      </c>
      <c r="B25" s="11" t="s">
        <v>19</v>
      </c>
      <c r="C25" s="14">
        <v>73039622.99</v>
      </c>
      <c r="D25" s="15"/>
      <c r="E25" s="15">
        <f>C25+D25</f>
        <v>73039622.99</v>
      </c>
    </row>
    <row r="26" spans="1:5" ht="12.75">
      <c r="A26" s="13" t="s">
        <v>21</v>
      </c>
      <c r="B26" s="11" t="s">
        <v>19</v>
      </c>
      <c r="C26" s="14">
        <v>0</v>
      </c>
      <c r="D26" s="15"/>
      <c r="E26" s="15">
        <f>C26+D26</f>
        <v>0</v>
      </c>
    </row>
    <row r="27" spans="1:5" ht="12.75">
      <c r="A27" s="13" t="s">
        <v>22</v>
      </c>
      <c r="B27" s="11" t="s">
        <v>19</v>
      </c>
      <c r="C27" s="14">
        <v>0</v>
      </c>
      <c r="D27" s="15"/>
      <c r="E27" s="15">
        <f>C27+D27</f>
        <v>0</v>
      </c>
    </row>
    <row r="28" spans="1:5" ht="12.75">
      <c r="A28" s="13"/>
      <c r="B28" s="11"/>
      <c r="C28" s="14"/>
      <c r="D28" s="15"/>
      <c r="E28" s="15"/>
    </row>
    <row r="29" spans="1:5" ht="12.75">
      <c r="A29" s="13" t="s">
        <v>23</v>
      </c>
      <c r="B29" s="11"/>
      <c r="C29" s="12">
        <f>C21-SUM(C23:C28)</f>
        <v>8874718260.630001</v>
      </c>
      <c r="D29" s="12">
        <f>D21-SUM(D23:D28)</f>
        <v>0</v>
      </c>
      <c r="E29" s="12">
        <f>E21-SUM(E23:E28)</f>
        <v>8874718260.630001</v>
      </c>
    </row>
    <row r="30" spans="1:5" ht="12.75">
      <c r="A30" s="13"/>
      <c r="B30" s="11"/>
      <c r="C30" s="14"/>
      <c r="D30" s="15"/>
      <c r="E30" s="15"/>
    </row>
    <row r="31" spans="1:5" ht="12.75">
      <c r="A31" s="13" t="s">
        <v>24</v>
      </c>
      <c r="B31" s="11"/>
      <c r="C31" s="14"/>
      <c r="D31" s="15"/>
      <c r="E31" s="15"/>
    </row>
    <row r="32" spans="1:5" ht="12.75">
      <c r="A32" s="13" t="s">
        <v>25</v>
      </c>
      <c r="B32" s="11"/>
      <c r="C32" s="14">
        <v>8109428.66</v>
      </c>
      <c r="D32" s="15"/>
      <c r="E32" s="15">
        <f aca="true" t="shared" si="1" ref="E32:E37">C32+D32</f>
        <v>8109428.66</v>
      </c>
    </row>
    <row r="33" spans="1:5" ht="12.75">
      <c r="A33" s="13" t="s">
        <v>26</v>
      </c>
      <c r="B33" s="11" t="s">
        <v>19</v>
      </c>
      <c r="C33" s="14">
        <v>1102927.05</v>
      </c>
      <c r="D33" s="15"/>
      <c r="E33" s="15">
        <f t="shared" si="1"/>
        <v>1102927.05</v>
      </c>
    </row>
    <row r="34" spans="1:5" ht="12.75">
      <c r="A34" s="13" t="s">
        <v>27</v>
      </c>
      <c r="B34" s="11"/>
      <c r="C34" s="16">
        <v>18157277.64</v>
      </c>
      <c r="D34" s="12"/>
      <c r="E34" s="15">
        <f t="shared" si="1"/>
        <v>18157277.64</v>
      </c>
    </row>
    <row r="35" spans="1:5" ht="12.75">
      <c r="A35" s="13" t="s">
        <v>28</v>
      </c>
      <c r="B35" s="11"/>
      <c r="C35" s="14">
        <v>81748579.71</v>
      </c>
      <c r="D35" s="15"/>
      <c r="E35" s="15">
        <f t="shared" si="1"/>
        <v>81748579.71</v>
      </c>
    </row>
    <row r="36" spans="1:5" ht="12.75">
      <c r="A36" s="13" t="s">
        <v>29</v>
      </c>
      <c r="B36" s="11"/>
      <c r="C36" s="14">
        <v>88700335.8</v>
      </c>
      <c r="D36" s="15"/>
      <c r="E36" s="15">
        <f t="shared" si="1"/>
        <v>88700335.8</v>
      </c>
    </row>
    <row r="37" spans="1:5" ht="12.75">
      <c r="A37" s="13" t="s">
        <v>30</v>
      </c>
      <c r="B37" s="11"/>
      <c r="C37" s="14">
        <v>10717951.87</v>
      </c>
      <c r="D37" s="15"/>
      <c r="E37" s="15">
        <f t="shared" si="1"/>
        <v>10717951.87</v>
      </c>
    </row>
    <row r="38" spans="1:5" ht="12.75">
      <c r="A38" s="13"/>
      <c r="B38" s="11"/>
      <c r="C38" s="14"/>
      <c r="D38" s="15"/>
      <c r="E38" s="15"/>
    </row>
    <row r="39" spans="1:5" ht="12.75">
      <c r="A39" s="13" t="s">
        <v>31</v>
      </c>
      <c r="B39" s="11"/>
      <c r="C39" s="12">
        <f>SUM(C31:C38)-C33-C33</f>
        <v>206330646.63</v>
      </c>
      <c r="D39" s="12">
        <f>SUM(D31:D38)-D33-D33</f>
        <v>0</v>
      </c>
      <c r="E39" s="12">
        <f>SUM(E31:E38)-E33-E33</f>
        <v>206330646.63</v>
      </c>
    </row>
    <row r="40" spans="1:5" ht="12.75">
      <c r="A40" s="13"/>
      <c r="B40" s="11"/>
      <c r="C40" s="14"/>
      <c r="D40" s="15"/>
      <c r="E40" s="15"/>
    </row>
    <row r="41" spans="1:5" ht="12.75">
      <c r="A41" s="13" t="s">
        <v>32</v>
      </c>
      <c r="B41" s="11"/>
      <c r="C41" s="14"/>
      <c r="D41" s="15"/>
      <c r="E41" s="15"/>
    </row>
    <row r="42" spans="1:5" ht="12.75">
      <c r="A42" s="13" t="s">
        <v>33</v>
      </c>
      <c r="B42" s="11"/>
      <c r="C42" s="14">
        <v>23508348.08</v>
      </c>
      <c r="D42" s="14">
        <f>'E- 3 (Journal Entries)'!G10+'E- 3 (Journal Entries)'!G14+'E- 3 (Journal Entries)'!G18-'E- 3 (Journal Entries)'!H28-'E- 3 (Journal Entries)'!H24</f>
        <v>0</v>
      </c>
      <c r="E42" s="15">
        <f aca="true" t="shared" si="2" ref="E42:E59">C42+D42</f>
        <v>23508348.08</v>
      </c>
    </row>
    <row r="43" spans="1:5" ht="12.75">
      <c r="A43" s="13" t="s">
        <v>34</v>
      </c>
      <c r="B43" s="11"/>
      <c r="C43" s="14">
        <v>112838656.7</v>
      </c>
      <c r="D43" s="15"/>
      <c r="E43" s="15">
        <f t="shared" si="2"/>
        <v>112838656.7</v>
      </c>
    </row>
    <row r="44" spans="1:5" ht="12.75">
      <c r="A44" s="13" t="s">
        <v>35</v>
      </c>
      <c r="B44" s="11"/>
      <c r="C44" s="14">
        <v>4170</v>
      </c>
      <c r="D44" s="15"/>
      <c r="E44" s="15">
        <f t="shared" si="2"/>
        <v>4170</v>
      </c>
    </row>
    <row r="45" spans="1:5" ht="12.75">
      <c r="A45" s="13" t="s">
        <v>36</v>
      </c>
      <c r="B45" s="11"/>
      <c r="C45" s="14">
        <v>64789897.31</v>
      </c>
      <c r="D45" s="36">
        <f>'E- 3 (Journal Entries)'!G27-'E- 3 (Journal Entries)'!H32-'E- 3 (Journal Entries)'!H36-'E- 3 (Journal Entries)'!H40-'E- 3 (Journal Entries)'!H44-'E- 3 (Journal Entries)'!H48+'E- 3 (Journal Entries)'!G55+'E- 3 (Journal Entries)'!G59-'E- 3 (Journal Entries)'!H64+'E- 3 (Journal Entries)'!G67</f>
        <v>1226207620</v>
      </c>
      <c r="E45" s="15">
        <f t="shared" si="2"/>
        <v>1290997517.31</v>
      </c>
    </row>
    <row r="46" spans="1:5" ht="12.75">
      <c r="A46" s="13" t="s">
        <v>37</v>
      </c>
      <c r="B46" s="11"/>
      <c r="C46" s="14">
        <v>797320.8</v>
      </c>
      <c r="D46" s="15"/>
      <c r="E46" s="15">
        <f t="shared" si="2"/>
        <v>797320.8</v>
      </c>
    </row>
    <row r="47" spans="1:5" ht="12.75">
      <c r="A47" s="13" t="s">
        <v>38</v>
      </c>
      <c r="B47" s="11"/>
      <c r="C47" s="14">
        <v>272001420.23</v>
      </c>
      <c r="D47" s="15"/>
      <c r="E47" s="15">
        <f t="shared" si="2"/>
        <v>272001420.23</v>
      </c>
    </row>
    <row r="48" spans="1:5" ht="12.75">
      <c r="A48" s="13" t="s">
        <v>39</v>
      </c>
      <c r="B48" s="11"/>
      <c r="C48" s="14">
        <v>18502266.1</v>
      </c>
      <c r="D48" s="15"/>
      <c r="E48" s="15">
        <f t="shared" si="2"/>
        <v>18502266.1</v>
      </c>
    </row>
    <row r="49" spans="1:5" ht="12.75">
      <c r="A49" s="13" t="s">
        <v>40</v>
      </c>
      <c r="B49" s="11" t="s">
        <v>19</v>
      </c>
      <c r="C49" s="14">
        <v>-11432728.87</v>
      </c>
      <c r="D49" s="15"/>
      <c r="E49" s="15">
        <f t="shared" si="2"/>
        <v>-11432728.87</v>
      </c>
    </row>
    <row r="50" spans="1:5" ht="12.75">
      <c r="A50" s="13" t="s">
        <v>41</v>
      </c>
      <c r="B50" s="11"/>
      <c r="C50" s="14">
        <v>0</v>
      </c>
      <c r="D50" s="47">
        <f>'E- 3 (Journal Entries)'!G23</f>
        <v>10000000</v>
      </c>
      <c r="E50" s="15">
        <f t="shared" si="2"/>
        <v>10000000</v>
      </c>
    </row>
    <row r="51" spans="1:5" ht="12.75">
      <c r="A51" s="13" t="s">
        <v>42</v>
      </c>
      <c r="B51" s="11"/>
      <c r="C51" s="14">
        <v>8357527.88</v>
      </c>
      <c r="D51" s="15"/>
      <c r="E51" s="15">
        <f t="shared" si="2"/>
        <v>8357527.88</v>
      </c>
    </row>
    <row r="52" spans="1:5" ht="12.75">
      <c r="A52" s="13" t="s">
        <v>43</v>
      </c>
      <c r="B52" s="11"/>
      <c r="C52" s="14">
        <v>54012974.74</v>
      </c>
      <c r="D52" s="15"/>
      <c r="E52" s="15">
        <f t="shared" si="2"/>
        <v>54012974.74</v>
      </c>
    </row>
    <row r="53" spans="1:5" ht="12.75">
      <c r="A53" s="13" t="s">
        <v>44</v>
      </c>
      <c r="B53" s="11"/>
      <c r="C53" s="14">
        <v>115460098.45</v>
      </c>
      <c r="D53" s="15"/>
      <c r="E53" s="15">
        <f t="shared" si="2"/>
        <v>115460098.45</v>
      </c>
    </row>
    <row r="54" spans="1:5" ht="12.75">
      <c r="A54" s="13" t="s">
        <v>45</v>
      </c>
      <c r="B54" s="11"/>
      <c r="C54" s="14">
        <v>88445037.29</v>
      </c>
      <c r="D54" s="15"/>
      <c r="E54" s="15">
        <f t="shared" si="2"/>
        <v>88445037.29</v>
      </c>
    </row>
    <row r="55" spans="1:5" ht="12.75">
      <c r="A55" s="13" t="s">
        <v>46</v>
      </c>
      <c r="B55" s="11"/>
      <c r="C55" s="14">
        <v>105668.2</v>
      </c>
      <c r="D55" s="15"/>
      <c r="E55" s="15">
        <f t="shared" si="2"/>
        <v>105668.2</v>
      </c>
    </row>
    <row r="56" spans="1:5" ht="12.75">
      <c r="A56" s="13" t="s">
        <v>47</v>
      </c>
      <c r="B56" s="11"/>
      <c r="C56" s="14">
        <v>6908162.15</v>
      </c>
      <c r="D56" s="15"/>
      <c r="E56" s="15">
        <f t="shared" si="2"/>
        <v>6908162.15</v>
      </c>
    </row>
    <row r="57" spans="1:5" ht="12.75">
      <c r="A57" s="13" t="s">
        <v>48</v>
      </c>
      <c r="B57" s="11"/>
      <c r="C57" s="14">
        <v>159635000</v>
      </c>
      <c r="D57" s="15"/>
      <c r="E57" s="15">
        <f t="shared" si="2"/>
        <v>159635000</v>
      </c>
    </row>
    <row r="58" spans="1:5" ht="12.75">
      <c r="A58" s="13" t="s">
        <v>49</v>
      </c>
      <c r="B58" s="11"/>
      <c r="C58" s="14">
        <v>0</v>
      </c>
      <c r="D58" s="15"/>
      <c r="E58" s="15">
        <f t="shared" si="2"/>
        <v>0</v>
      </c>
    </row>
    <row r="59" spans="1:5" ht="12.75">
      <c r="A59" s="13" t="s">
        <v>188</v>
      </c>
      <c r="B59" s="11"/>
      <c r="C59" s="14">
        <v>1001991999.56</v>
      </c>
      <c r="D59" s="15"/>
      <c r="E59" s="15">
        <f t="shared" si="2"/>
        <v>1001991999.56</v>
      </c>
    </row>
    <row r="60" spans="1:5" ht="12.75">
      <c r="A60" s="13"/>
      <c r="B60" s="11"/>
      <c r="C60" s="14"/>
      <c r="D60" s="15"/>
      <c r="E60" s="15"/>
    </row>
    <row r="61" spans="1:5" ht="12.75">
      <c r="A61" s="13" t="s">
        <v>50</v>
      </c>
      <c r="B61" s="11"/>
      <c r="C61" s="12">
        <f>SUM(C41:C60)</f>
        <v>1915925818.62</v>
      </c>
      <c r="D61" s="12">
        <f>SUM(D41:D60)</f>
        <v>1236207620</v>
      </c>
      <c r="E61" s="12">
        <f>SUM(E41:E60)</f>
        <v>3152133438.6200004</v>
      </c>
    </row>
    <row r="62" spans="1:5" ht="12.75">
      <c r="A62" s="13"/>
      <c r="B62" s="11"/>
      <c r="C62" s="14"/>
      <c r="D62" s="15"/>
      <c r="E62" s="15"/>
    </row>
    <row r="63" spans="1:5" ht="12.75">
      <c r="A63" s="13" t="s">
        <v>51</v>
      </c>
      <c r="B63" s="11"/>
      <c r="C63" s="14"/>
      <c r="D63" s="15"/>
      <c r="E63" s="15"/>
    </row>
    <row r="64" spans="1:5" ht="12.75">
      <c r="A64" s="13" t="s">
        <v>52</v>
      </c>
      <c r="B64" s="11"/>
      <c r="C64" s="14">
        <v>24819559.7</v>
      </c>
      <c r="D64" s="14">
        <f>'E- 3 (Journal Entries)'!G19-'E- 3 (Journal Entries)'!H52</f>
        <v>6650000</v>
      </c>
      <c r="E64" s="15">
        <f aca="true" t="shared" si="3" ref="E64:E74">C64+D64</f>
        <v>31469559.7</v>
      </c>
    </row>
    <row r="65" spans="1:5" ht="12.75">
      <c r="A65" s="13" t="s">
        <v>53</v>
      </c>
      <c r="B65" s="11"/>
      <c r="C65" s="14">
        <v>0</v>
      </c>
      <c r="D65" s="15"/>
      <c r="E65" s="15">
        <f t="shared" si="3"/>
        <v>0</v>
      </c>
    </row>
    <row r="66" spans="1:5" ht="12.75">
      <c r="A66" s="13" t="s">
        <v>54</v>
      </c>
      <c r="B66" s="11"/>
      <c r="C66" s="14">
        <v>11584653.52</v>
      </c>
      <c r="D66" s="15"/>
      <c r="E66" s="15">
        <f t="shared" si="3"/>
        <v>11584653.52</v>
      </c>
    </row>
    <row r="67" spans="1:5" ht="12.75">
      <c r="A67" s="13" t="s">
        <v>55</v>
      </c>
      <c r="B67" s="11"/>
      <c r="C67" s="16">
        <v>892595942.14</v>
      </c>
      <c r="D67" s="16"/>
      <c r="E67" s="15">
        <f t="shared" si="3"/>
        <v>892595942.14</v>
      </c>
    </row>
    <row r="68" spans="1:5" ht="12.75">
      <c r="A68" s="13" t="s">
        <v>56</v>
      </c>
      <c r="B68" s="11"/>
      <c r="C68" s="14">
        <v>2351933.92</v>
      </c>
      <c r="D68" s="15"/>
      <c r="E68" s="15">
        <f t="shared" si="3"/>
        <v>2351933.92</v>
      </c>
    </row>
    <row r="69" spans="1:5" ht="12.75">
      <c r="A69" s="13" t="s">
        <v>57</v>
      </c>
      <c r="B69" s="11"/>
      <c r="C69" s="14">
        <v>-27129.65</v>
      </c>
      <c r="D69" s="15"/>
      <c r="E69" s="15">
        <f t="shared" si="3"/>
        <v>-27129.65</v>
      </c>
    </row>
    <row r="70" spans="1:5" ht="12.75">
      <c r="A70" s="13" t="s">
        <v>58</v>
      </c>
      <c r="B70" s="11"/>
      <c r="C70" s="14">
        <v>116800.76</v>
      </c>
      <c r="D70" s="15"/>
      <c r="E70" s="15">
        <f t="shared" si="3"/>
        <v>116800.76</v>
      </c>
    </row>
    <row r="71" spans="1:5" ht="12.75">
      <c r="A71" s="13" t="s">
        <v>59</v>
      </c>
      <c r="B71" s="11"/>
      <c r="C71" s="14">
        <v>65388963.81</v>
      </c>
      <c r="D71" s="14"/>
      <c r="E71" s="15">
        <f t="shared" si="3"/>
        <v>65388963.81</v>
      </c>
    </row>
    <row r="72" spans="1:5" ht="12.75">
      <c r="A72" s="13" t="s">
        <v>60</v>
      </c>
      <c r="B72" s="11"/>
      <c r="C72" s="14">
        <v>0</v>
      </c>
      <c r="D72" s="15"/>
      <c r="E72" s="15">
        <f t="shared" si="3"/>
        <v>0</v>
      </c>
    </row>
    <row r="73" spans="1:5" ht="12.75">
      <c r="A73" s="13" t="s">
        <v>61</v>
      </c>
      <c r="B73" s="11"/>
      <c r="C73" s="14">
        <v>31644061.32</v>
      </c>
      <c r="D73" s="14"/>
      <c r="E73" s="15">
        <f t="shared" si="3"/>
        <v>31644061.32</v>
      </c>
    </row>
    <row r="74" spans="1:5" ht="12.75">
      <c r="A74" s="13" t="s">
        <v>62</v>
      </c>
      <c r="B74" s="11"/>
      <c r="C74" s="14">
        <v>740579705.6</v>
      </c>
      <c r="D74" s="15"/>
      <c r="E74" s="15">
        <f t="shared" si="3"/>
        <v>740579705.6</v>
      </c>
    </row>
    <row r="75" spans="1:5" ht="12.75">
      <c r="A75" s="13"/>
      <c r="B75" s="11"/>
      <c r="C75" s="14"/>
      <c r="D75" s="15"/>
      <c r="E75" s="15"/>
    </row>
    <row r="76" spans="1:5" ht="12.75">
      <c r="A76" s="13" t="s">
        <v>63</v>
      </c>
      <c r="B76" s="11"/>
      <c r="C76" s="12">
        <f>SUM(C63:C75)</f>
        <v>1769054491.1200001</v>
      </c>
      <c r="D76" s="12">
        <f>SUM(D63:D75)</f>
        <v>6650000</v>
      </c>
      <c r="E76" s="12">
        <f>SUM(E63:E75)</f>
        <v>1775704491.1200001</v>
      </c>
    </row>
    <row r="77" spans="1:5" ht="12.75">
      <c r="A77" s="13"/>
      <c r="B77" s="11"/>
      <c r="C77" s="14"/>
      <c r="D77" s="15"/>
      <c r="E77" s="15"/>
    </row>
    <row r="78" spans="1:5" ht="12.75">
      <c r="A78" s="13"/>
      <c r="B78" s="11"/>
      <c r="C78" s="14"/>
      <c r="D78" s="15"/>
      <c r="E78" s="15"/>
    </row>
    <row r="79" spans="1:5" ht="12.75">
      <c r="A79" s="13" t="s">
        <v>64</v>
      </c>
      <c r="B79" s="11"/>
      <c r="C79" s="12">
        <f>C76+C61+C39+C29</f>
        <v>12766029217</v>
      </c>
      <c r="D79" s="12">
        <f>D76+D61+D39+D29</f>
        <v>1242857620</v>
      </c>
      <c r="E79" s="12">
        <f>E76+E61+E39+E29</f>
        <v>14008886837.000002</v>
      </c>
    </row>
    <row r="82" ht="12.75">
      <c r="E82" s="29" t="s">
        <v>197</v>
      </c>
    </row>
    <row r="83" ht="12.75">
      <c r="E83" s="17" t="s">
        <v>186</v>
      </c>
    </row>
  </sheetData>
  <printOptions/>
  <pageMargins left="0.45" right="0.18" top="0.25" bottom="0.25" header="0.2" footer="0.2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="87" zoomScaleNormal="87" workbookViewId="0" topLeftCell="A1">
      <selection activeCell="E83" sqref="E83"/>
    </sheetView>
  </sheetViews>
  <sheetFormatPr defaultColWidth="9.00390625" defaultRowHeight="12.75"/>
  <cols>
    <col min="1" max="1" width="70.875" style="3" customWidth="1"/>
    <col min="2" max="2" width="54.875" style="3" customWidth="1"/>
    <col min="3" max="5" width="27.875" style="3" customWidth="1"/>
    <col min="6" max="16384" width="9.375" style="3" customWidth="1"/>
  </cols>
  <sheetData>
    <row r="1" spans="1:5" ht="12.75">
      <c r="A1" s="1" t="s">
        <v>197</v>
      </c>
      <c r="B1" s="1"/>
      <c r="C1" s="1"/>
      <c r="D1" s="1"/>
      <c r="E1" s="4"/>
    </row>
    <row r="2" spans="1:5" ht="6" customHeight="1">
      <c r="A2" s="1"/>
      <c r="B2" s="1"/>
      <c r="C2" s="1"/>
      <c r="D2" s="1"/>
      <c r="E2" s="4"/>
    </row>
    <row r="3" spans="1:5" ht="12.75">
      <c r="A3" s="1" t="s">
        <v>0</v>
      </c>
      <c r="B3" s="1"/>
      <c r="C3" s="1"/>
      <c r="D3" s="1"/>
      <c r="E3" s="4"/>
    </row>
    <row r="4" spans="1:5" ht="12.75">
      <c r="A4" s="1" t="s">
        <v>1</v>
      </c>
      <c r="B4" s="1"/>
      <c r="C4" s="1"/>
      <c r="D4" s="1"/>
      <c r="E4" s="4"/>
    </row>
    <row r="5" spans="1:5" ht="12.75">
      <c r="A5" s="39" t="s">
        <v>225</v>
      </c>
      <c r="B5" s="1"/>
      <c r="C5" s="1"/>
      <c r="D5" s="1"/>
      <c r="E5" s="6"/>
    </row>
    <row r="7" spans="1:5" ht="24" customHeight="1">
      <c r="A7" s="7" t="s">
        <v>65</v>
      </c>
      <c r="B7" s="18"/>
      <c r="C7" s="19" t="s">
        <v>3</v>
      </c>
      <c r="D7" s="19" t="s">
        <v>4</v>
      </c>
      <c r="E7" s="19" t="s">
        <v>5</v>
      </c>
    </row>
    <row r="8" spans="1:5" ht="12.75">
      <c r="A8" s="10"/>
      <c r="B8" s="18"/>
      <c r="C8" s="18"/>
      <c r="D8" s="18"/>
      <c r="E8" s="18"/>
    </row>
    <row r="9" spans="1:5" ht="12.75">
      <c r="A9" s="13" t="s">
        <v>66</v>
      </c>
      <c r="B9" s="18"/>
      <c r="C9" s="18"/>
      <c r="D9" s="18"/>
      <c r="E9" s="18"/>
    </row>
    <row r="10" spans="1:5" ht="12.75">
      <c r="A10" s="13"/>
      <c r="B10" s="18"/>
      <c r="C10" s="18"/>
      <c r="D10" s="18"/>
      <c r="E10" s="18"/>
    </row>
    <row r="11" spans="1:5" ht="12.75">
      <c r="A11" s="13" t="s">
        <v>67</v>
      </c>
      <c r="B11" s="18"/>
      <c r="C11" s="20"/>
      <c r="D11" s="20"/>
      <c r="E11" s="20"/>
    </row>
    <row r="12" spans="1:5" ht="12.75">
      <c r="A12" s="13" t="s">
        <v>68</v>
      </c>
      <c r="B12" s="18"/>
      <c r="C12" s="21">
        <v>3183226675.24</v>
      </c>
      <c r="D12" s="22">
        <f>'E- 3 (Journal Entries)'!H11</f>
        <v>814075000</v>
      </c>
      <c r="E12" s="20">
        <f aca="true" t="shared" si="0" ref="E12:E20">C12+D12</f>
        <v>3997301675.24</v>
      </c>
    </row>
    <row r="13" spans="1:5" ht="12.75">
      <c r="A13" s="13" t="s">
        <v>69</v>
      </c>
      <c r="B13" s="18"/>
      <c r="C13" s="21">
        <v>0</v>
      </c>
      <c r="D13" s="20"/>
      <c r="E13" s="20">
        <f t="shared" si="0"/>
        <v>0</v>
      </c>
    </row>
    <row r="14" spans="1:5" ht="12.75">
      <c r="A14" s="13" t="s">
        <v>70</v>
      </c>
      <c r="B14" s="18"/>
      <c r="C14" s="21">
        <v>0</v>
      </c>
      <c r="D14" s="20"/>
      <c r="E14" s="20">
        <f t="shared" si="0"/>
        <v>0</v>
      </c>
    </row>
    <row r="15" spans="1:5" ht="12.75">
      <c r="A15" s="13" t="s">
        <v>71</v>
      </c>
      <c r="B15" s="18"/>
      <c r="C15" s="21">
        <v>1973218</v>
      </c>
      <c r="D15" s="20"/>
      <c r="E15" s="20">
        <f t="shared" si="0"/>
        <v>1973218</v>
      </c>
    </row>
    <row r="16" spans="1:5" ht="12.75">
      <c r="A16" s="13" t="s">
        <v>72</v>
      </c>
      <c r="B16" s="18"/>
      <c r="C16" s="21">
        <v>0</v>
      </c>
      <c r="D16" s="20"/>
      <c r="E16" s="20">
        <f t="shared" si="0"/>
        <v>0</v>
      </c>
    </row>
    <row r="17" spans="1:5" ht="12.75">
      <c r="A17" s="13" t="s">
        <v>73</v>
      </c>
      <c r="B17" s="18" t="s">
        <v>74</v>
      </c>
      <c r="C17" s="21">
        <v>41288206.75</v>
      </c>
      <c r="D17" s="22"/>
      <c r="E17" s="20">
        <f t="shared" si="0"/>
        <v>41288206.75</v>
      </c>
    </row>
    <row r="18" spans="1:5" ht="12.75">
      <c r="A18" s="13" t="s">
        <v>75</v>
      </c>
      <c r="B18" s="18"/>
      <c r="C18" s="21">
        <v>427600871.7</v>
      </c>
      <c r="D18" s="22">
        <f>-'E- 3 (Journal Entries)'!G47+'E- 3 (Journal Entries)'!H56+'E- 3 (Journal Entries)'!H60-'E- 3 (Journal Entries)'!G63-'E- 3 (Journal Entries)'!G71-'E- 3 (Journal Entries)'!G72-'E- 3 (Journal Entries)'!G51+'E- 3 (Journal Entries)'!H68</f>
        <v>20388153</v>
      </c>
      <c r="E18" s="20">
        <f t="shared" si="0"/>
        <v>447989024.7</v>
      </c>
    </row>
    <row r="19" spans="1:5" ht="12.75">
      <c r="A19" s="13" t="s">
        <v>76</v>
      </c>
      <c r="B19" s="18"/>
      <c r="C19" s="21">
        <v>0</v>
      </c>
      <c r="D19" s="20"/>
      <c r="E19" s="20">
        <f t="shared" si="0"/>
        <v>0</v>
      </c>
    </row>
    <row r="20" spans="1:5" ht="12.75">
      <c r="A20" s="13" t="s">
        <v>189</v>
      </c>
      <c r="B20" s="18"/>
      <c r="C20" s="21">
        <v>7532184.73</v>
      </c>
      <c r="D20" s="20"/>
      <c r="E20" s="20">
        <f t="shared" si="0"/>
        <v>7532184.73</v>
      </c>
    </row>
    <row r="21" spans="1:5" ht="12.75">
      <c r="A21" s="13"/>
      <c r="B21" s="18"/>
      <c r="C21" s="21"/>
      <c r="D21" s="20"/>
      <c r="E21" s="20"/>
    </row>
    <row r="22" spans="1:5" ht="12.75">
      <c r="A22" s="13" t="s">
        <v>77</v>
      </c>
      <c r="B22" s="18"/>
      <c r="C22" s="20">
        <f>C18+C16+C15+C14+C12+C19-C17+C13-C20</f>
        <v>3563980373.4599996</v>
      </c>
      <c r="D22" s="20">
        <f>D18+D16+D15+D14+D12+D19-D17+D13-D20</f>
        <v>834463153</v>
      </c>
      <c r="E22" s="20">
        <f>E18+E16+E15+E14+E12+E19-E17+E13-E20</f>
        <v>4398443526.46</v>
      </c>
    </row>
    <row r="23" spans="1:5" ht="12.75">
      <c r="A23" s="13"/>
      <c r="B23" s="18"/>
      <c r="C23" s="21"/>
      <c r="D23" s="20"/>
      <c r="E23" s="20"/>
    </row>
    <row r="24" spans="1:5" ht="12.75">
      <c r="A24" s="13" t="s">
        <v>78</v>
      </c>
      <c r="B24" s="18"/>
      <c r="C24" s="21">
        <v>41463300</v>
      </c>
      <c r="D24" s="22"/>
      <c r="E24" s="20">
        <f>C24+D24</f>
        <v>41463300</v>
      </c>
    </row>
    <row r="25" spans="1:5" ht="12.75">
      <c r="A25" s="13"/>
      <c r="B25" s="18"/>
      <c r="C25" s="21"/>
      <c r="D25" s="18"/>
      <c r="E25" s="18"/>
    </row>
    <row r="26" spans="1:5" ht="12.75">
      <c r="A26" s="13" t="s">
        <v>79</v>
      </c>
      <c r="B26" s="18"/>
      <c r="C26" s="21"/>
      <c r="D26" s="20"/>
      <c r="E26" s="20"/>
    </row>
    <row r="27" spans="1:5" ht="12.75">
      <c r="A27" s="13" t="s">
        <v>80</v>
      </c>
      <c r="B27" s="18"/>
      <c r="C27" s="21">
        <v>4029158000</v>
      </c>
      <c r="D27" s="22">
        <f>'E- 3 (Journal Entries)'!H20-'E- 3 (Journal Entries)'!G39</f>
        <v>244047000</v>
      </c>
      <c r="E27" s="20">
        <f aca="true" t="shared" si="1" ref="E27:E32">C27+D27</f>
        <v>4273205000</v>
      </c>
    </row>
    <row r="28" spans="1:5" ht="12.75">
      <c r="A28" s="13" t="s">
        <v>81</v>
      </c>
      <c r="B28" s="18"/>
      <c r="C28" s="21">
        <v>-2128091.57</v>
      </c>
      <c r="D28" s="22"/>
      <c r="E28" s="20">
        <f t="shared" si="1"/>
        <v>-2128091.57</v>
      </c>
    </row>
    <row r="29" spans="1:5" ht="12.75">
      <c r="A29" s="13" t="s">
        <v>82</v>
      </c>
      <c r="B29" s="18"/>
      <c r="C29" s="21">
        <v>0</v>
      </c>
      <c r="D29" s="22"/>
      <c r="E29" s="20">
        <f t="shared" si="1"/>
        <v>0</v>
      </c>
    </row>
    <row r="30" spans="1:5" ht="12.75">
      <c r="A30" s="13" t="s">
        <v>83</v>
      </c>
      <c r="B30" s="18"/>
      <c r="C30" s="21">
        <v>45000000</v>
      </c>
      <c r="D30" s="22"/>
      <c r="E30" s="20">
        <f t="shared" si="1"/>
        <v>45000000</v>
      </c>
    </row>
    <row r="31" spans="1:5" ht="12.75">
      <c r="A31" s="13" t="s">
        <v>84</v>
      </c>
      <c r="B31" s="18"/>
      <c r="C31" s="21">
        <v>47115.12</v>
      </c>
      <c r="D31" s="20"/>
      <c r="E31" s="20">
        <f t="shared" si="1"/>
        <v>47115.12</v>
      </c>
    </row>
    <row r="32" spans="1:5" ht="12.75">
      <c r="A32" s="13" t="s">
        <v>85</v>
      </c>
      <c r="B32" s="18" t="s">
        <v>74</v>
      </c>
      <c r="C32" s="21">
        <v>5568126.33</v>
      </c>
      <c r="D32" s="22"/>
      <c r="E32" s="20">
        <f t="shared" si="1"/>
        <v>5568126.33</v>
      </c>
    </row>
    <row r="33" spans="1:5" ht="12.75">
      <c r="A33" s="13"/>
      <c r="B33" s="18"/>
      <c r="C33" s="21"/>
      <c r="D33" s="20"/>
      <c r="E33" s="20"/>
    </row>
    <row r="34" spans="1:5" ht="12.75">
      <c r="A34" s="13" t="s">
        <v>86</v>
      </c>
      <c r="B34" s="18"/>
      <c r="C34" s="20">
        <f>SUM(C26:C33)-C32-C32</f>
        <v>4066508897.22</v>
      </c>
      <c r="D34" s="20">
        <f>SUM(D26:D33)-D32-D32</f>
        <v>244047000</v>
      </c>
      <c r="E34" s="20">
        <f>SUM(E26:E33)-E32-E32</f>
        <v>4310555897.22</v>
      </c>
    </row>
    <row r="35" spans="1:5" ht="12.75">
      <c r="A35" s="13"/>
      <c r="B35" s="18"/>
      <c r="C35" s="21"/>
      <c r="D35" s="18"/>
      <c r="E35" s="18"/>
    </row>
    <row r="36" spans="1:5" ht="12.75">
      <c r="A36" s="13" t="s">
        <v>87</v>
      </c>
      <c r="B36" s="18"/>
      <c r="C36" s="18">
        <f>C34+C24+C22</f>
        <v>7671952570.679999</v>
      </c>
      <c r="D36" s="18">
        <f>D34+D24+D22</f>
        <v>1078510153</v>
      </c>
      <c r="E36" s="18">
        <f>E34+E24+E22</f>
        <v>8750462723.68</v>
      </c>
    </row>
    <row r="37" spans="1:5" ht="12.75">
      <c r="A37" s="13"/>
      <c r="B37" s="18"/>
      <c r="C37" s="21"/>
      <c r="D37" s="20"/>
      <c r="E37" s="20"/>
    </row>
    <row r="38" spans="1:5" ht="12.75">
      <c r="A38" s="13" t="s">
        <v>88</v>
      </c>
      <c r="B38" s="18"/>
      <c r="C38" s="21"/>
      <c r="D38" s="20"/>
      <c r="E38" s="20"/>
    </row>
    <row r="39" spans="1:5" ht="12.75">
      <c r="A39" s="13" t="s">
        <v>89</v>
      </c>
      <c r="B39" s="18"/>
      <c r="C39" s="21">
        <v>38285944.55</v>
      </c>
      <c r="D39" s="20"/>
      <c r="E39" s="20">
        <f aca="true" t="shared" si="2" ref="E39:E45">C39+D39</f>
        <v>38285944.55</v>
      </c>
    </row>
    <row r="40" spans="1:5" ht="12.75">
      <c r="A40" s="13" t="s">
        <v>90</v>
      </c>
      <c r="B40" s="18"/>
      <c r="C40" s="21">
        <v>342292.6</v>
      </c>
      <c r="D40" s="20"/>
      <c r="E40" s="20">
        <f t="shared" si="2"/>
        <v>342292.6</v>
      </c>
    </row>
    <row r="41" spans="1:5" ht="12.75">
      <c r="A41" s="13" t="s">
        <v>91</v>
      </c>
      <c r="B41" s="18"/>
      <c r="C41" s="21">
        <v>3526028.43</v>
      </c>
      <c r="D41" s="20"/>
      <c r="E41" s="20">
        <f t="shared" si="2"/>
        <v>3526028.43</v>
      </c>
    </row>
    <row r="42" spans="1:5" ht="12.75">
      <c r="A42" s="13" t="s">
        <v>92</v>
      </c>
      <c r="B42" s="18"/>
      <c r="C42" s="21">
        <v>422136182.72</v>
      </c>
      <c r="D42" s="20"/>
      <c r="E42" s="20">
        <f t="shared" si="2"/>
        <v>422136182.72</v>
      </c>
    </row>
    <row r="43" spans="1:5" ht="12.75">
      <c r="A43" s="13" t="s">
        <v>93</v>
      </c>
      <c r="B43" s="18"/>
      <c r="C43" s="21">
        <v>27005253.18</v>
      </c>
      <c r="D43" s="20"/>
      <c r="E43" s="20">
        <f t="shared" si="2"/>
        <v>27005253.18</v>
      </c>
    </row>
    <row r="44" spans="1:5" ht="12.75">
      <c r="A44" s="13" t="s">
        <v>94</v>
      </c>
      <c r="B44" s="18"/>
      <c r="C44" s="21">
        <v>376.63</v>
      </c>
      <c r="D44" s="20"/>
      <c r="E44" s="20">
        <f t="shared" si="2"/>
        <v>376.63</v>
      </c>
    </row>
    <row r="45" spans="1:5" ht="12.75">
      <c r="A45" s="13" t="s">
        <v>190</v>
      </c>
      <c r="B45" s="18"/>
      <c r="C45" s="21">
        <v>60983527.05</v>
      </c>
      <c r="D45" s="20"/>
      <c r="E45" s="20">
        <f t="shared" si="2"/>
        <v>60983527.05</v>
      </c>
    </row>
    <row r="46" spans="1:5" ht="12.75">
      <c r="A46" s="13"/>
      <c r="B46" s="18"/>
      <c r="C46" s="21"/>
      <c r="D46" s="20"/>
      <c r="E46" s="20"/>
    </row>
    <row r="47" spans="1:5" ht="12.75">
      <c r="A47" s="13" t="s">
        <v>95</v>
      </c>
      <c r="B47" s="18"/>
      <c r="C47" s="20">
        <f>SUM(C38:C46)</f>
        <v>552279605.16</v>
      </c>
      <c r="D47" s="20">
        <f>SUM(D38:D46)</f>
        <v>0</v>
      </c>
      <c r="E47" s="20">
        <f>SUM(E38:E46)</f>
        <v>552279605.16</v>
      </c>
    </row>
    <row r="48" spans="1:5" ht="12.75">
      <c r="A48" s="13"/>
      <c r="B48" s="18"/>
      <c r="C48" s="21"/>
      <c r="D48" s="20"/>
      <c r="E48" s="20"/>
    </row>
    <row r="49" spans="1:5" ht="12.75">
      <c r="A49" s="13" t="s">
        <v>96</v>
      </c>
      <c r="B49" s="18"/>
      <c r="C49" s="21"/>
      <c r="D49" s="20"/>
      <c r="E49" s="20"/>
    </row>
    <row r="50" spans="1:5" ht="12.75">
      <c r="A50" s="13" t="s">
        <v>97</v>
      </c>
      <c r="B50" s="18"/>
      <c r="C50" s="21">
        <v>297000000</v>
      </c>
      <c r="D50" s="22">
        <f>'E- 3 (Journal Entries)'!H15-'E- 3 (Journal Entries)'!G31-'E- 3 (Journal Entries)'!G35-'E- 3 (Journal Entries)'!G43</f>
        <v>151878000</v>
      </c>
      <c r="E50" s="20">
        <f aca="true" t="shared" si="3" ref="E50:E63">C50+D50</f>
        <v>448878000</v>
      </c>
    </row>
    <row r="51" spans="1:5" ht="12.75">
      <c r="A51" s="13" t="s">
        <v>98</v>
      </c>
      <c r="B51" s="18"/>
      <c r="C51" s="21">
        <v>325815672.75</v>
      </c>
      <c r="D51" s="20"/>
      <c r="E51" s="20">
        <f t="shared" si="3"/>
        <v>325815672.75</v>
      </c>
    </row>
    <row r="52" spans="1:5" ht="12.75">
      <c r="A52" s="13" t="s">
        <v>99</v>
      </c>
      <c r="B52" s="18"/>
      <c r="C52" s="21">
        <v>10359086.88</v>
      </c>
      <c r="D52" s="20"/>
      <c r="E52" s="20">
        <f t="shared" si="3"/>
        <v>10359086.88</v>
      </c>
    </row>
    <row r="53" spans="1:5" ht="12.75">
      <c r="A53" s="13" t="s">
        <v>100</v>
      </c>
      <c r="B53" s="18"/>
      <c r="C53" s="21">
        <v>11463565.6</v>
      </c>
      <c r="D53" s="20"/>
      <c r="E53" s="20">
        <f t="shared" si="3"/>
        <v>11463565.6</v>
      </c>
    </row>
    <row r="54" spans="1:5" ht="12.75">
      <c r="A54" s="13" t="s">
        <v>101</v>
      </c>
      <c r="B54" s="18"/>
      <c r="C54" s="21">
        <v>70981098.4</v>
      </c>
      <c r="D54" s="20"/>
      <c r="E54" s="20">
        <f t="shared" si="3"/>
        <v>70981098.4</v>
      </c>
    </row>
    <row r="55" spans="1:5" ht="12.75">
      <c r="A55" s="13" t="s">
        <v>102</v>
      </c>
      <c r="B55" s="18"/>
      <c r="C55" s="21">
        <v>51822576.77</v>
      </c>
      <c r="D55" s="22">
        <f>'E- 3 (Journal Entries)'!H73</f>
        <v>12469467</v>
      </c>
      <c r="E55" s="20">
        <f t="shared" si="3"/>
        <v>64292043.77</v>
      </c>
    </row>
    <row r="56" spans="1:5" ht="12.75">
      <c r="A56" s="13" t="s">
        <v>103</v>
      </c>
      <c r="B56" s="18"/>
      <c r="C56" s="21">
        <v>64535272.65</v>
      </c>
      <c r="D56" s="20"/>
      <c r="E56" s="20">
        <f t="shared" si="3"/>
        <v>64535272.65</v>
      </c>
    </row>
    <row r="57" spans="1:5" ht="12.75">
      <c r="A57" s="13" t="s">
        <v>104</v>
      </c>
      <c r="B57" s="18"/>
      <c r="C57" s="21">
        <v>520947.43</v>
      </c>
      <c r="D57" s="20"/>
      <c r="E57" s="20">
        <f t="shared" si="3"/>
        <v>520947.43</v>
      </c>
    </row>
    <row r="58" spans="1:5" ht="12.75">
      <c r="A58" s="13" t="s">
        <v>105</v>
      </c>
      <c r="B58" s="18"/>
      <c r="C58" s="21">
        <v>0</v>
      </c>
      <c r="D58" s="20"/>
      <c r="E58" s="20">
        <f t="shared" si="3"/>
        <v>0</v>
      </c>
    </row>
    <row r="59" spans="1:5" ht="12.75">
      <c r="A59" s="13" t="s">
        <v>106</v>
      </c>
      <c r="B59" s="18"/>
      <c r="C59" s="21">
        <v>0</v>
      </c>
      <c r="D59" s="20"/>
      <c r="E59" s="20">
        <f t="shared" si="3"/>
        <v>0</v>
      </c>
    </row>
    <row r="60" spans="1:5" ht="12.75">
      <c r="A60" s="13" t="s">
        <v>107</v>
      </c>
      <c r="B60" s="18"/>
      <c r="C60" s="21">
        <v>12283248.01</v>
      </c>
      <c r="D60" s="20"/>
      <c r="E60" s="20">
        <f t="shared" si="3"/>
        <v>12283248.01</v>
      </c>
    </row>
    <row r="61" spans="1:5" ht="12.75">
      <c r="A61" s="13" t="s">
        <v>108</v>
      </c>
      <c r="B61" s="18"/>
      <c r="C61" s="21">
        <v>70990413.15</v>
      </c>
      <c r="D61" s="22"/>
      <c r="E61" s="20">
        <f t="shared" si="3"/>
        <v>70990413.15</v>
      </c>
    </row>
    <row r="62" spans="1:5" ht="12.75">
      <c r="A62" s="13" t="s">
        <v>109</v>
      </c>
      <c r="B62" s="18"/>
      <c r="C62" s="21">
        <v>483979.79</v>
      </c>
      <c r="D62" s="20"/>
      <c r="E62" s="20">
        <f t="shared" si="3"/>
        <v>483979.79</v>
      </c>
    </row>
    <row r="63" spans="1:5" ht="12.75">
      <c r="A63" s="13" t="s">
        <v>191</v>
      </c>
      <c r="B63" s="18"/>
      <c r="C63" s="21">
        <v>893044019.98</v>
      </c>
      <c r="D63" s="20"/>
      <c r="E63" s="20">
        <f t="shared" si="3"/>
        <v>893044019.98</v>
      </c>
    </row>
    <row r="64" spans="1:5" ht="12.75">
      <c r="A64" s="13"/>
      <c r="B64" s="18"/>
      <c r="C64" s="21"/>
      <c r="D64" s="20"/>
      <c r="E64" s="20"/>
    </row>
    <row r="65" spans="1:5" ht="12.75">
      <c r="A65" s="13" t="s">
        <v>110</v>
      </c>
      <c r="B65" s="18"/>
      <c r="C65" s="20">
        <f>SUM(C49:C64)</f>
        <v>1809299881.4099998</v>
      </c>
      <c r="D65" s="20">
        <f>SUM(D49:D64)</f>
        <v>164347467</v>
      </c>
      <c r="E65" s="20">
        <f>SUM(E49:E64)</f>
        <v>1973647348.4099998</v>
      </c>
    </row>
    <row r="66" spans="1:5" ht="12.75">
      <c r="A66" s="13"/>
      <c r="B66" s="18"/>
      <c r="C66" s="21"/>
      <c r="D66" s="20"/>
      <c r="E66" s="20"/>
    </row>
    <row r="67" spans="1:5" ht="12.75">
      <c r="A67" s="13" t="s">
        <v>111</v>
      </c>
      <c r="B67" s="18"/>
      <c r="C67" s="21"/>
      <c r="D67" s="20"/>
      <c r="E67" s="20"/>
    </row>
    <row r="68" spans="1:5" ht="12.75">
      <c r="A68" s="13" t="s">
        <v>112</v>
      </c>
      <c r="B68" s="18"/>
      <c r="C68" s="21">
        <v>5681698.63</v>
      </c>
      <c r="D68" s="20"/>
      <c r="E68" s="20">
        <f aca="true" t="shared" si="4" ref="E68:E75">C68+D68</f>
        <v>5681698.63</v>
      </c>
    </row>
    <row r="69" spans="1:5" ht="12.75">
      <c r="A69" s="13" t="s">
        <v>113</v>
      </c>
      <c r="B69" s="18"/>
      <c r="C69" s="21">
        <v>56859775.75</v>
      </c>
      <c r="D69" s="20"/>
      <c r="E69" s="20">
        <f t="shared" si="4"/>
        <v>56859775.75</v>
      </c>
    </row>
    <row r="70" spans="1:5" ht="12.75">
      <c r="A70" s="13" t="s">
        <v>114</v>
      </c>
      <c r="B70" s="18"/>
      <c r="C70" s="21">
        <v>248206713.14</v>
      </c>
      <c r="D70" s="18"/>
      <c r="E70" s="20">
        <f t="shared" si="4"/>
        <v>248206713.14</v>
      </c>
    </row>
    <row r="71" spans="1:5" ht="12.75">
      <c r="A71" s="13" t="s">
        <v>115</v>
      </c>
      <c r="B71" s="18"/>
      <c r="C71" s="21">
        <v>71588090</v>
      </c>
      <c r="D71" s="20"/>
      <c r="E71" s="20">
        <f t="shared" si="4"/>
        <v>71588090</v>
      </c>
    </row>
    <row r="72" spans="1:5" ht="12.75">
      <c r="A72" s="13" t="s">
        <v>116</v>
      </c>
      <c r="B72" s="18"/>
      <c r="C72" s="21">
        <v>161734.2</v>
      </c>
      <c r="D72" s="20"/>
      <c r="E72" s="20">
        <f t="shared" si="4"/>
        <v>161734.2</v>
      </c>
    </row>
    <row r="73" spans="1:5" ht="12.75">
      <c r="A73" s="13" t="s">
        <v>117</v>
      </c>
      <c r="B73" s="18"/>
      <c r="C73" s="21">
        <v>718053</v>
      </c>
      <c r="D73" s="20"/>
      <c r="E73" s="20">
        <f t="shared" si="4"/>
        <v>718053</v>
      </c>
    </row>
    <row r="74" spans="1:5" ht="12.75">
      <c r="A74" s="13" t="s">
        <v>118</v>
      </c>
      <c r="B74" s="18"/>
      <c r="C74" s="21">
        <v>2020792173.54</v>
      </c>
      <c r="D74" s="20"/>
      <c r="E74" s="20">
        <f t="shared" si="4"/>
        <v>2020792173.54</v>
      </c>
    </row>
    <row r="75" spans="1:5" ht="12.75">
      <c r="A75" s="13" t="s">
        <v>119</v>
      </c>
      <c r="B75" s="18"/>
      <c r="C75" s="21">
        <v>328488921.49</v>
      </c>
      <c r="D75" s="20"/>
      <c r="E75" s="20">
        <f t="shared" si="4"/>
        <v>328488921.49</v>
      </c>
    </row>
    <row r="76" spans="1:5" ht="12.75">
      <c r="A76" s="13"/>
      <c r="B76" s="18"/>
      <c r="C76" s="21"/>
      <c r="D76" s="20"/>
      <c r="E76" s="20"/>
    </row>
    <row r="77" spans="1:5" ht="12.75">
      <c r="A77" s="13" t="s">
        <v>120</v>
      </c>
      <c r="B77" s="18"/>
      <c r="C77" s="20">
        <f>SUM(C67:C76)</f>
        <v>2732497159.75</v>
      </c>
      <c r="D77" s="20">
        <f>SUM(D67:D76)</f>
        <v>0</v>
      </c>
      <c r="E77" s="20">
        <f>SUM(E67:E76)</f>
        <v>2732497159.75</v>
      </c>
    </row>
    <row r="78" spans="1:5" ht="12.75">
      <c r="A78" s="13"/>
      <c r="B78" s="18"/>
      <c r="C78" s="21"/>
      <c r="D78" s="18"/>
      <c r="E78" s="18"/>
    </row>
    <row r="79" spans="1:5" ht="12.75">
      <c r="A79" s="13"/>
      <c r="B79" s="18"/>
      <c r="C79" s="21"/>
      <c r="D79" s="20"/>
      <c r="E79" s="20"/>
    </row>
    <row r="80" spans="1:5" ht="12.75">
      <c r="A80" s="13" t="s">
        <v>121</v>
      </c>
      <c r="B80" s="18"/>
      <c r="C80" s="20">
        <f>C77+C65+C47+C36</f>
        <v>12766029217</v>
      </c>
      <c r="D80" s="20">
        <f>D77+D65+D47+D36</f>
        <v>1242857620</v>
      </c>
      <c r="E80" s="20">
        <f>E77+E65+E47+E36</f>
        <v>14008886837</v>
      </c>
    </row>
    <row r="83" ht="12.75">
      <c r="E83" s="29" t="s">
        <v>197</v>
      </c>
    </row>
    <row r="84" ht="12.75">
      <c r="E84" s="17" t="s">
        <v>187</v>
      </c>
    </row>
  </sheetData>
  <printOptions/>
  <pageMargins left="0.45" right="0.18" top="0.25" bottom="0.25" header="0.2" footer="0.2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B26" sqref="B26"/>
    </sheetView>
  </sheetViews>
  <sheetFormatPr defaultColWidth="9.00390625" defaultRowHeight="12.75"/>
  <cols>
    <col min="1" max="1" width="8.50390625" style="3" customWidth="1"/>
    <col min="2" max="2" width="54.875" style="3" customWidth="1"/>
    <col min="3" max="3" width="7.50390625" style="3" customWidth="1"/>
    <col min="4" max="4" width="2.125" style="3" customWidth="1"/>
    <col min="5" max="5" width="6.875" style="3" customWidth="1"/>
    <col min="6" max="6" width="3.50390625" style="3" customWidth="1"/>
    <col min="7" max="7" width="21.625" style="3" customWidth="1"/>
    <col min="8" max="8" width="22.375" style="3" customWidth="1"/>
    <col min="9" max="9" width="10.625" style="3" customWidth="1"/>
    <col min="10" max="16384" width="9.375" style="3" customWidth="1"/>
  </cols>
  <sheetData>
    <row r="1" spans="1:8" s="54" customFormat="1" ht="20.25">
      <c r="A1" s="55" t="s">
        <v>222</v>
      </c>
      <c r="B1" s="55"/>
      <c r="C1" s="55"/>
      <c r="D1" s="55"/>
      <c r="E1" s="55"/>
      <c r="F1" s="55"/>
      <c r="G1" s="55"/>
      <c r="H1" s="55"/>
    </row>
    <row r="2" spans="1:8" ht="18">
      <c r="A2" s="52"/>
      <c r="B2" s="52"/>
      <c r="C2" s="52"/>
      <c r="D2" s="52"/>
      <c r="E2" s="52"/>
      <c r="F2" s="52"/>
      <c r="G2" s="52"/>
      <c r="H2" s="52"/>
    </row>
    <row r="3" spans="1:8" ht="18">
      <c r="A3" s="56" t="s">
        <v>266</v>
      </c>
      <c r="B3" s="56"/>
      <c r="C3" s="56"/>
      <c r="D3" s="56"/>
      <c r="E3" s="56"/>
      <c r="F3" s="56"/>
      <c r="G3" s="56"/>
      <c r="H3" s="56"/>
    </row>
    <row r="4" spans="1:8" ht="18">
      <c r="A4" s="56" t="s">
        <v>268</v>
      </c>
      <c r="B4" s="58"/>
      <c r="C4" s="58"/>
      <c r="D4" s="58"/>
      <c r="E4" s="58"/>
      <c r="F4" s="58"/>
      <c r="G4" s="58"/>
      <c r="H4" s="58"/>
    </row>
    <row r="5" spans="1:8" ht="18">
      <c r="A5" s="56" t="s">
        <v>267</v>
      </c>
      <c r="B5" s="58"/>
      <c r="C5" s="58"/>
      <c r="D5" s="58"/>
      <c r="E5" s="58"/>
      <c r="F5" s="58"/>
      <c r="G5" s="58"/>
      <c r="H5" s="58"/>
    </row>
    <row r="6" spans="1:8" ht="18">
      <c r="A6" s="56" t="s">
        <v>269</v>
      </c>
      <c r="B6" s="58"/>
      <c r="C6" s="58"/>
      <c r="D6" s="58"/>
      <c r="E6" s="58"/>
      <c r="F6" s="58"/>
      <c r="G6" s="58"/>
      <c r="H6" s="58"/>
    </row>
    <row r="7" spans="1:8" ht="18">
      <c r="A7" s="53"/>
      <c r="B7" s="53"/>
      <c r="C7" s="53"/>
      <c r="D7" s="53"/>
      <c r="E7" s="53"/>
      <c r="F7" s="53"/>
      <c r="G7" s="53"/>
      <c r="H7" s="53"/>
    </row>
    <row r="8" spans="1:8" ht="18">
      <c r="A8" s="57" t="s">
        <v>229</v>
      </c>
      <c r="B8" s="57"/>
      <c r="C8" s="57"/>
      <c r="D8" s="57"/>
      <c r="E8" s="57"/>
      <c r="F8" s="57"/>
      <c r="G8" s="57"/>
      <c r="H8" s="57"/>
    </row>
    <row r="10" spans="1:8" ht="15">
      <c r="A10" s="26" t="s">
        <v>122</v>
      </c>
      <c r="B10" s="26"/>
      <c r="C10" s="27">
        <v>131</v>
      </c>
      <c r="D10" s="25"/>
      <c r="E10" s="25"/>
      <c r="G10" s="38">
        <f>ROUND(75727907*10.75,0)</f>
        <v>814075000</v>
      </c>
      <c r="H10" s="27"/>
    </row>
    <row r="11" spans="1:8" ht="15">
      <c r="A11" s="26"/>
      <c r="B11" s="26" t="s">
        <v>223</v>
      </c>
      <c r="C11" s="27">
        <v>201</v>
      </c>
      <c r="D11" s="25"/>
      <c r="E11" s="25"/>
      <c r="G11" s="24"/>
      <c r="H11" s="38">
        <f>ROUND(75727907*10.75,0)</f>
        <v>814075000</v>
      </c>
    </row>
    <row r="12" spans="1:8" ht="15">
      <c r="A12" s="40" t="s">
        <v>236</v>
      </c>
      <c r="B12" s="26"/>
      <c r="C12" s="27"/>
      <c r="D12" s="25"/>
      <c r="E12" s="25"/>
      <c r="G12" s="24"/>
      <c r="H12" s="38"/>
    </row>
    <row r="13" spans="1:8" ht="15">
      <c r="A13" s="26"/>
      <c r="B13" s="26"/>
      <c r="C13" s="27"/>
      <c r="D13" s="25"/>
      <c r="E13" s="25"/>
      <c r="G13" s="24"/>
      <c r="H13" s="38"/>
    </row>
    <row r="14" spans="1:8" ht="15">
      <c r="A14" s="26" t="s">
        <v>122</v>
      </c>
      <c r="B14" s="26"/>
      <c r="C14" s="27">
        <v>131</v>
      </c>
      <c r="D14" s="25"/>
      <c r="E14" s="25"/>
      <c r="G14" s="46">
        <v>1500000000</v>
      </c>
      <c r="H14" s="27"/>
    </row>
    <row r="15" spans="1:8" ht="15">
      <c r="A15" s="26"/>
      <c r="B15" s="26" t="s">
        <v>185</v>
      </c>
      <c r="C15" s="27">
        <v>231</v>
      </c>
      <c r="D15" s="25"/>
      <c r="E15" s="25"/>
      <c r="G15" s="24"/>
      <c r="H15" s="46">
        <v>1500000000</v>
      </c>
    </row>
    <row r="16" spans="1:8" ht="15">
      <c r="A16" s="40" t="s">
        <v>240</v>
      </c>
      <c r="B16" s="26"/>
      <c r="C16" s="27"/>
      <c r="D16" s="25"/>
      <c r="E16" s="25"/>
      <c r="G16" s="24"/>
      <c r="H16" s="38"/>
    </row>
    <row r="17" spans="1:8" ht="15">
      <c r="A17" s="26"/>
      <c r="B17" s="26"/>
      <c r="C17" s="27"/>
      <c r="D17" s="25"/>
      <c r="E17" s="25"/>
      <c r="G17" s="24"/>
      <c r="H17" s="38"/>
    </row>
    <row r="18" spans="1:8" ht="15">
      <c r="A18" s="26" t="s">
        <v>122</v>
      </c>
      <c r="B18" s="26"/>
      <c r="C18" s="27">
        <v>131</v>
      </c>
      <c r="D18" s="25"/>
      <c r="E18" s="25"/>
      <c r="G18" s="24">
        <v>693000000</v>
      </c>
      <c r="H18" s="38"/>
    </row>
    <row r="19" spans="1:8" ht="15">
      <c r="A19" s="26" t="s">
        <v>232</v>
      </c>
      <c r="B19" s="26"/>
      <c r="C19" s="27">
        <v>181</v>
      </c>
      <c r="D19" s="25"/>
      <c r="E19" s="25"/>
      <c r="G19" s="24">
        <v>7000000</v>
      </c>
      <c r="H19" s="38"/>
    </row>
    <row r="20" spans="1:8" ht="15">
      <c r="A20" s="26"/>
      <c r="B20" s="26" t="s">
        <v>233</v>
      </c>
      <c r="C20" s="27">
        <v>221</v>
      </c>
      <c r="D20" s="25"/>
      <c r="E20" s="25"/>
      <c r="G20" s="24"/>
      <c r="H20" s="46">
        <v>700000000</v>
      </c>
    </row>
    <row r="21" spans="1:8" ht="15">
      <c r="A21" s="40" t="s">
        <v>242</v>
      </c>
      <c r="B21" s="26"/>
      <c r="C21" s="27"/>
      <c r="D21" s="25"/>
      <c r="E21" s="25"/>
      <c r="G21" s="24"/>
      <c r="H21" s="38"/>
    </row>
    <row r="22" spans="1:8" ht="15">
      <c r="A22" s="40"/>
      <c r="B22" s="26"/>
      <c r="C22" s="27"/>
      <c r="D22" s="25"/>
      <c r="E22" s="25"/>
      <c r="G22" s="24"/>
      <c r="H22" s="38"/>
    </row>
    <row r="23" spans="1:8" ht="15">
      <c r="A23" s="26" t="s">
        <v>258</v>
      </c>
      <c r="B23" s="26"/>
      <c r="C23" s="27">
        <v>145</v>
      </c>
      <c r="D23" s="25"/>
      <c r="E23" s="25"/>
      <c r="G23" s="48">
        <v>10000000</v>
      </c>
      <c r="H23" s="49"/>
    </row>
    <row r="24" spans="1:8" ht="15">
      <c r="A24" s="40"/>
      <c r="B24" s="26" t="s">
        <v>122</v>
      </c>
      <c r="C24" s="27">
        <v>131</v>
      </c>
      <c r="D24" s="25"/>
      <c r="E24" s="25"/>
      <c r="G24" s="50"/>
      <c r="H24" s="48">
        <v>10000000</v>
      </c>
    </row>
    <row r="25" spans="1:8" ht="15">
      <c r="A25" s="40" t="s">
        <v>257</v>
      </c>
      <c r="B25" s="26"/>
      <c r="C25" s="27"/>
      <c r="D25" s="25"/>
      <c r="E25" s="25"/>
      <c r="G25" s="24"/>
      <c r="H25" s="38"/>
    </row>
    <row r="26" spans="1:8" ht="15">
      <c r="A26" s="26"/>
      <c r="B26" s="26"/>
      <c r="C26" s="27"/>
      <c r="D26" s="25"/>
      <c r="E26" s="25"/>
      <c r="G26" s="24"/>
      <c r="H26" s="38"/>
    </row>
    <row r="27" spans="1:8" ht="15">
      <c r="A27" s="26" t="s">
        <v>219</v>
      </c>
      <c r="B27" s="26"/>
      <c r="C27" s="27">
        <v>136</v>
      </c>
      <c r="D27" s="25"/>
      <c r="E27" s="25"/>
      <c r="G27" s="27">
        <f>G10+G14+G18-H24</f>
        <v>2997075000</v>
      </c>
      <c r="H27" s="27"/>
    </row>
    <row r="28" spans="1:8" ht="15">
      <c r="A28" s="26"/>
      <c r="B28" s="26" t="s">
        <v>122</v>
      </c>
      <c r="C28" s="27">
        <v>131</v>
      </c>
      <c r="D28" s="25"/>
      <c r="E28" s="25"/>
      <c r="G28" s="24"/>
      <c r="H28" s="27">
        <f>G27</f>
        <v>2997075000</v>
      </c>
    </row>
    <row r="29" spans="1:8" ht="15">
      <c r="A29" s="40" t="s">
        <v>237</v>
      </c>
      <c r="B29" s="26"/>
      <c r="C29" s="27"/>
      <c r="D29" s="25"/>
      <c r="E29" s="25"/>
      <c r="G29" s="24"/>
      <c r="H29" s="27"/>
    </row>
    <row r="30" spans="1:8" ht="15">
      <c r="A30" s="26"/>
      <c r="B30" s="26"/>
      <c r="C30" s="27"/>
      <c r="D30" s="25"/>
      <c r="E30" s="25"/>
      <c r="G30" s="24"/>
      <c r="H30" s="38"/>
    </row>
    <row r="31" spans="1:8" ht="15">
      <c r="A31" s="26" t="s">
        <v>185</v>
      </c>
      <c r="B31" s="26"/>
      <c r="C31" s="27">
        <v>231</v>
      </c>
      <c r="D31" s="27"/>
      <c r="E31" s="27"/>
      <c r="F31" s="26"/>
      <c r="G31" s="27">
        <v>297000000</v>
      </c>
      <c r="H31" s="27"/>
    </row>
    <row r="32" spans="1:8" ht="15">
      <c r="A32" s="26"/>
      <c r="B32" s="26" t="s">
        <v>219</v>
      </c>
      <c r="C32" s="27">
        <v>136</v>
      </c>
      <c r="D32" s="27"/>
      <c r="E32" s="27"/>
      <c r="F32" s="26"/>
      <c r="G32" s="27"/>
      <c r="H32" s="27">
        <v>297000000</v>
      </c>
    </row>
    <row r="33" spans="1:8" ht="15">
      <c r="A33" s="40" t="s">
        <v>238</v>
      </c>
      <c r="B33" s="26"/>
      <c r="C33" s="27"/>
      <c r="D33" s="27"/>
      <c r="E33" s="27"/>
      <c r="F33" s="26"/>
      <c r="G33" s="27"/>
      <c r="H33" s="27"/>
    </row>
    <row r="34" spans="3:5" ht="12.75">
      <c r="C34" s="25"/>
      <c r="D34" s="25"/>
      <c r="E34" s="25"/>
    </row>
    <row r="35" spans="1:8" ht="15">
      <c r="A35" s="26" t="s">
        <v>185</v>
      </c>
      <c r="B35" s="26"/>
      <c r="C35" s="27">
        <v>231</v>
      </c>
      <c r="D35" s="27"/>
      <c r="E35" s="27"/>
      <c r="F35" s="26"/>
      <c r="G35" s="27">
        <v>814075000</v>
      </c>
      <c r="H35" s="27"/>
    </row>
    <row r="36" spans="1:8" ht="15">
      <c r="A36" s="26"/>
      <c r="B36" s="26" t="s">
        <v>219</v>
      </c>
      <c r="C36" s="27">
        <v>136</v>
      </c>
      <c r="D36" s="27"/>
      <c r="E36" s="27"/>
      <c r="F36" s="26"/>
      <c r="G36" s="27"/>
      <c r="H36" s="27">
        <v>814075000</v>
      </c>
    </row>
    <row r="37" spans="1:8" ht="15">
      <c r="A37" s="40" t="s">
        <v>264</v>
      </c>
      <c r="B37" s="26"/>
      <c r="C37" s="27"/>
      <c r="D37" s="27"/>
      <c r="E37" s="27"/>
      <c r="F37" s="26"/>
      <c r="G37" s="27"/>
      <c r="H37" s="27"/>
    </row>
    <row r="38" spans="1:8" ht="15">
      <c r="A38" s="26"/>
      <c r="B38" s="26"/>
      <c r="C38" s="27"/>
      <c r="D38" s="27"/>
      <c r="E38" s="27"/>
      <c r="F38" s="26"/>
      <c r="G38" s="27"/>
      <c r="H38" s="27"/>
    </row>
    <row r="39" spans="1:8" ht="15">
      <c r="A39" s="26" t="s">
        <v>233</v>
      </c>
      <c r="B39" s="26"/>
      <c r="C39" s="27">
        <v>221</v>
      </c>
      <c r="D39" s="27"/>
      <c r="E39" s="27"/>
      <c r="F39" s="26"/>
      <c r="G39" s="27">
        <v>455953000</v>
      </c>
      <c r="H39" s="27"/>
    </row>
    <row r="40" spans="1:8" ht="15">
      <c r="A40" s="26"/>
      <c r="B40" s="26" t="s">
        <v>219</v>
      </c>
      <c r="C40" s="27">
        <v>136</v>
      </c>
      <c r="D40" s="27"/>
      <c r="E40" s="27"/>
      <c r="F40" s="26"/>
      <c r="G40" s="27"/>
      <c r="H40" s="27">
        <v>455953000</v>
      </c>
    </row>
    <row r="41" spans="1:8" ht="15">
      <c r="A41" s="40" t="s">
        <v>270</v>
      </c>
      <c r="B41" s="26"/>
      <c r="C41" s="27"/>
      <c r="D41" s="27"/>
      <c r="E41" s="27"/>
      <c r="F41" s="26"/>
      <c r="G41" s="27"/>
      <c r="H41" s="27"/>
    </row>
    <row r="42" spans="1:8" ht="15">
      <c r="A42" s="40"/>
      <c r="B42" s="26"/>
      <c r="C42" s="27"/>
      <c r="D42" s="27"/>
      <c r="E42" s="27"/>
      <c r="F42" s="26"/>
      <c r="G42" s="27"/>
      <c r="H42" s="27"/>
    </row>
    <row r="43" spans="1:8" ht="15">
      <c r="A43" s="26" t="s">
        <v>185</v>
      </c>
      <c r="B43" s="26"/>
      <c r="C43" s="27">
        <v>231</v>
      </c>
      <c r="D43" s="27"/>
      <c r="E43" s="27"/>
      <c r="F43" s="26"/>
      <c r="G43" s="27">
        <f>693000000-455953000</f>
        <v>237047000</v>
      </c>
      <c r="H43" s="27"/>
    </row>
    <row r="44" spans="1:8" ht="15">
      <c r="A44" s="26"/>
      <c r="B44" s="26" t="s">
        <v>219</v>
      </c>
      <c r="C44" s="27">
        <v>136</v>
      </c>
      <c r="D44" s="27"/>
      <c r="E44" s="27"/>
      <c r="F44" s="26"/>
      <c r="G44" s="27"/>
      <c r="H44" s="27">
        <f>G43</f>
        <v>237047000</v>
      </c>
    </row>
    <row r="45" spans="1:8" ht="15">
      <c r="A45" s="40" t="s">
        <v>245</v>
      </c>
      <c r="B45" s="26"/>
      <c r="C45" s="27"/>
      <c r="D45" s="27"/>
      <c r="E45" s="27"/>
      <c r="F45" s="26"/>
      <c r="G45" s="27"/>
      <c r="H45" s="27"/>
    </row>
    <row r="46" spans="1:8" ht="15">
      <c r="A46" s="26"/>
      <c r="B46" s="26"/>
      <c r="C46" s="27"/>
      <c r="D46" s="27"/>
      <c r="E46" s="27"/>
      <c r="F46" s="26"/>
      <c r="G46" s="27"/>
      <c r="H46" s="27"/>
    </row>
    <row r="47" spans="1:8" ht="15">
      <c r="A47" s="26" t="s">
        <v>234</v>
      </c>
      <c r="B47" s="26"/>
      <c r="C47" s="27" t="s">
        <v>235</v>
      </c>
      <c r="D47" s="27"/>
      <c r="E47" s="27"/>
      <c r="F47" s="26"/>
      <c r="G47" s="27">
        <f>700000000*0.06</f>
        <v>42000000</v>
      </c>
      <c r="H47" s="27"/>
    </row>
    <row r="48" spans="1:8" ht="15">
      <c r="A48" s="26"/>
      <c r="B48" s="26" t="s">
        <v>219</v>
      </c>
      <c r="C48" s="27">
        <v>136</v>
      </c>
      <c r="D48" s="27"/>
      <c r="E48" s="27"/>
      <c r="F48" s="26"/>
      <c r="G48" s="27"/>
      <c r="H48" s="27">
        <f>G47</f>
        <v>42000000</v>
      </c>
    </row>
    <row r="49" spans="1:8" ht="15">
      <c r="A49" s="40" t="s">
        <v>243</v>
      </c>
      <c r="B49" s="26"/>
      <c r="C49" s="27"/>
      <c r="D49" s="27"/>
      <c r="E49" s="27"/>
      <c r="F49" s="26"/>
      <c r="G49" s="27"/>
      <c r="H49" s="27"/>
    </row>
    <row r="50" spans="1:8" ht="15">
      <c r="A50" s="40"/>
      <c r="B50" s="26"/>
      <c r="C50" s="27"/>
      <c r="D50" s="27"/>
      <c r="E50" s="27"/>
      <c r="F50" s="26"/>
      <c r="G50" s="27"/>
      <c r="H50" s="27"/>
    </row>
    <row r="51" spans="1:8" ht="15">
      <c r="A51" s="26" t="s">
        <v>263</v>
      </c>
      <c r="B51" s="26"/>
      <c r="C51" s="35" t="s">
        <v>256</v>
      </c>
      <c r="D51" s="27"/>
      <c r="E51" s="27"/>
      <c r="F51" s="26"/>
      <c r="G51" s="41">
        <v>350000</v>
      </c>
      <c r="H51" s="41"/>
    </row>
    <row r="52" spans="1:8" ht="15">
      <c r="A52" s="26"/>
      <c r="B52" s="26" t="s">
        <v>232</v>
      </c>
      <c r="C52" s="27">
        <v>181</v>
      </c>
      <c r="D52" s="27"/>
      <c r="E52" s="27"/>
      <c r="F52" s="26"/>
      <c r="G52" s="41"/>
      <c r="H52" s="41">
        <v>350000</v>
      </c>
    </row>
    <row r="53" spans="1:8" ht="15">
      <c r="A53" s="40" t="s">
        <v>263</v>
      </c>
      <c r="B53" s="26"/>
      <c r="C53" s="27"/>
      <c r="D53" s="27"/>
      <c r="E53" s="27"/>
      <c r="F53" s="26"/>
      <c r="G53" s="27"/>
      <c r="H53" s="27"/>
    </row>
    <row r="54" spans="1:8" ht="15">
      <c r="A54" s="26"/>
      <c r="B54" s="26"/>
      <c r="C54" s="27"/>
      <c r="D54" s="27"/>
      <c r="E54" s="27"/>
      <c r="F54" s="26"/>
      <c r="G54" s="27"/>
      <c r="H54" s="27"/>
    </row>
    <row r="55" spans="1:8" ht="15">
      <c r="A55" s="26" t="s">
        <v>219</v>
      </c>
      <c r="B55" s="26"/>
      <c r="C55" s="27">
        <v>136</v>
      </c>
      <c r="D55" s="27"/>
      <c r="E55" s="27"/>
      <c r="F55" s="26"/>
      <c r="G55" s="27">
        <v>28514000</v>
      </c>
      <c r="H55" s="27"/>
    </row>
    <row r="56" spans="1:8" ht="15">
      <c r="A56" s="26"/>
      <c r="B56" s="26" t="s">
        <v>234</v>
      </c>
      <c r="C56" s="27" t="s">
        <v>235</v>
      </c>
      <c r="D56" s="27"/>
      <c r="E56" s="27"/>
      <c r="F56" s="26"/>
      <c r="G56" s="27"/>
      <c r="H56" s="27">
        <v>28514000</v>
      </c>
    </row>
    <row r="57" spans="1:8" ht="15">
      <c r="A57" s="40" t="s">
        <v>244</v>
      </c>
      <c r="B57" s="26"/>
      <c r="C57" s="27"/>
      <c r="D57" s="27"/>
      <c r="E57" s="27"/>
      <c r="F57" s="26"/>
      <c r="G57" s="27"/>
      <c r="H57" s="27"/>
    </row>
    <row r="58" spans="1:8" ht="15">
      <c r="A58" s="26"/>
      <c r="B58" s="26"/>
      <c r="C58" s="27"/>
      <c r="D58" s="27"/>
      <c r="E58" s="27"/>
      <c r="F58" s="26"/>
      <c r="G58" s="41"/>
      <c r="H58" s="27"/>
    </row>
    <row r="59" spans="1:8" ht="15">
      <c r="A59" s="26" t="s">
        <v>219</v>
      </c>
      <c r="B59" s="26"/>
      <c r="C59" s="27">
        <v>136</v>
      </c>
      <c r="D59" s="25"/>
      <c r="E59" s="25"/>
      <c r="G59" s="27">
        <f>(2997075000-297000000-814075000-455953000-237047000-42000000+28514000)*0.045</f>
        <v>53078130</v>
      </c>
      <c r="H59" s="27"/>
    </row>
    <row r="60" spans="1:8" ht="15">
      <c r="A60" s="26"/>
      <c r="B60" s="26" t="s">
        <v>220</v>
      </c>
      <c r="C60" s="35" t="s">
        <v>221</v>
      </c>
      <c r="D60" s="25"/>
      <c r="E60" s="25"/>
      <c r="G60" s="24"/>
      <c r="H60" s="27">
        <f>(2997075000-297000000-814075000-455953000-237047000-42000000+28514000)*0.045</f>
        <v>53078130</v>
      </c>
    </row>
    <row r="61" spans="1:8" ht="15">
      <c r="A61" s="40" t="s">
        <v>239</v>
      </c>
      <c r="B61" s="26"/>
      <c r="C61" s="35"/>
      <c r="D61" s="25"/>
      <c r="E61" s="25"/>
      <c r="G61" s="24"/>
      <c r="H61" s="27"/>
    </row>
    <row r="62" spans="1:8" ht="15">
      <c r="A62" s="26"/>
      <c r="B62" s="26"/>
      <c r="C62" s="27"/>
      <c r="D62" s="27"/>
      <c r="E62" s="27"/>
      <c r="F62" s="26"/>
      <c r="G62" s="27"/>
      <c r="H62" s="27"/>
    </row>
    <row r="63" spans="1:8" ht="15">
      <c r="A63" s="26" t="s">
        <v>230</v>
      </c>
      <c r="B63" s="26"/>
      <c r="C63" s="35" t="s">
        <v>231</v>
      </c>
      <c r="D63" s="25"/>
      <c r="E63" s="25"/>
      <c r="G63" s="27">
        <f>(1500000000-297000000-814075000-237047000)*0.045</f>
        <v>6834510</v>
      </c>
      <c r="H63" s="27"/>
    </row>
    <row r="64" spans="1:8" ht="15">
      <c r="A64" s="26"/>
      <c r="B64" s="26" t="s">
        <v>219</v>
      </c>
      <c r="C64" s="27">
        <v>136</v>
      </c>
      <c r="D64" s="25"/>
      <c r="E64" s="25"/>
      <c r="G64" s="24"/>
      <c r="H64" s="27">
        <f>(1500000000-297000000-814075000-237047000)*0.045</f>
        <v>6834510</v>
      </c>
    </row>
    <row r="65" spans="1:8" ht="15">
      <c r="A65" s="40" t="s">
        <v>241</v>
      </c>
      <c r="B65" s="26"/>
      <c r="C65" s="27"/>
      <c r="D65" s="25"/>
      <c r="E65" s="25"/>
      <c r="G65" s="24"/>
      <c r="H65" s="27"/>
    </row>
    <row r="66" spans="1:8" ht="15">
      <c r="A66" s="40"/>
      <c r="B66" s="26"/>
      <c r="C66" s="27"/>
      <c r="D66" s="25"/>
      <c r="E66" s="25"/>
      <c r="G66" s="24"/>
      <c r="H66" s="27"/>
    </row>
    <row r="67" spans="1:8" ht="15">
      <c r="A67" s="26" t="s">
        <v>219</v>
      </c>
      <c r="B67" s="26"/>
      <c r="C67" s="27">
        <v>136</v>
      </c>
      <c r="D67" s="25"/>
      <c r="E67" s="25"/>
      <c r="G67" s="51">
        <f>10000000*0.045</f>
        <v>450000</v>
      </c>
      <c r="H67" s="41"/>
    </row>
    <row r="68" spans="1:8" ht="15">
      <c r="A68" s="40"/>
      <c r="B68" s="26" t="s">
        <v>220</v>
      </c>
      <c r="C68" s="35" t="s">
        <v>221</v>
      </c>
      <c r="D68" s="25"/>
      <c r="E68" s="25"/>
      <c r="G68" s="51"/>
      <c r="H68" s="51">
        <f>10000000*0.045</f>
        <v>450000</v>
      </c>
    </row>
    <row r="69" spans="1:8" ht="15">
      <c r="A69" s="40" t="s">
        <v>259</v>
      </c>
      <c r="B69" s="26"/>
      <c r="C69" s="27"/>
      <c r="D69" s="25"/>
      <c r="E69" s="25"/>
      <c r="G69" s="24"/>
      <c r="H69" s="27"/>
    </row>
    <row r="70" spans="1:8" ht="15">
      <c r="A70" s="26"/>
      <c r="B70" s="26"/>
      <c r="C70" s="27"/>
      <c r="D70" s="27"/>
      <c r="E70" s="27"/>
      <c r="F70" s="26"/>
      <c r="G70" s="27"/>
      <c r="H70" s="27"/>
    </row>
    <row r="71" spans="1:8" ht="15">
      <c r="A71" s="26" t="s">
        <v>227</v>
      </c>
      <c r="B71" s="26"/>
      <c r="C71" s="35" t="s">
        <v>195</v>
      </c>
      <c r="D71" s="25"/>
      <c r="E71" s="25"/>
      <c r="G71" s="27">
        <f>ROUND((H$60-G$47-G$51+H$56-G$63+H$68)*0.3341,0)</f>
        <v>10977731</v>
      </c>
      <c r="H71" s="27"/>
    </row>
    <row r="72" spans="1:8" ht="15">
      <c r="A72" s="26" t="s">
        <v>228</v>
      </c>
      <c r="B72" s="26"/>
      <c r="C72" s="35" t="s">
        <v>195</v>
      </c>
      <c r="D72" s="25"/>
      <c r="E72" s="25"/>
      <c r="G72" s="27">
        <f>ROUND((H$60-G$47-G$51+H$56-G$63+H$68)*0.0454,0)</f>
        <v>1491736</v>
      </c>
      <c r="H72" s="27"/>
    </row>
    <row r="73" spans="1:8" ht="15">
      <c r="A73" s="26"/>
      <c r="B73" s="26" t="s">
        <v>196</v>
      </c>
      <c r="C73" s="35">
        <v>236</v>
      </c>
      <c r="D73" s="25"/>
      <c r="E73" s="25"/>
      <c r="G73" s="24"/>
      <c r="H73" s="27">
        <f>SUM(G71:G72)</f>
        <v>12469467</v>
      </c>
    </row>
    <row r="74" spans="1:8" ht="15">
      <c r="A74" s="40" t="s">
        <v>260</v>
      </c>
      <c r="B74" s="26"/>
      <c r="C74" s="27"/>
      <c r="D74" s="27"/>
      <c r="E74" s="27"/>
      <c r="F74" s="26"/>
      <c r="G74" s="27"/>
      <c r="H74" s="27"/>
    </row>
    <row r="75" spans="1:8" ht="15">
      <c r="A75" s="40"/>
      <c r="B75" s="26"/>
      <c r="C75" s="27"/>
      <c r="D75" s="27"/>
      <c r="E75" s="27"/>
      <c r="F75" s="26"/>
      <c r="G75" s="27"/>
      <c r="H75" s="27"/>
    </row>
    <row r="76" spans="1:8" ht="15.75">
      <c r="A76" s="43" t="s">
        <v>246</v>
      </c>
      <c r="B76" s="32"/>
      <c r="C76" s="33"/>
      <c r="D76" s="33"/>
      <c r="E76" s="33"/>
      <c r="F76" s="34"/>
      <c r="G76" s="34"/>
      <c r="H76" s="34"/>
    </row>
    <row r="77" spans="1:8" ht="15">
      <c r="A77" s="31" t="s">
        <v>247</v>
      </c>
      <c r="B77" s="32"/>
      <c r="C77" s="26"/>
      <c r="D77" s="26"/>
      <c r="E77" s="26"/>
      <c r="F77" s="26"/>
      <c r="G77" s="27"/>
      <c r="H77" s="27"/>
    </row>
    <row r="78" spans="1:2" ht="15">
      <c r="A78" s="44" t="s">
        <v>250</v>
      </c>
      <c r="B78" s="34"/>
    </row>
    <row r="79" spans="1:2" ht="15">
      <c r="A79" s="45" t="s">
        <v>248</v>
      </c>
      <c r="B79" s="34"/>
    </row>
    <row r="80" spans="1:2" ht="15">
      <c r="A80" s="34" t="s">
        <v>249</v>
      </c>
      <c r="B80" s="34"/>
    </row>
    <row r="81" spans="1:2" ht="15">
      <c r="A81" s="45" t="s">
        <v>251</v>
      </c>
      <c r="B81" s="34"/>
    </row>
    <row r="82" spans="1:2" ht="15">
      <c r="A82" s="34" t="s">
        <v>252</v>
      </c>
      <c r="B82" s="34"/>
    </row>
    <row r="83" spans="1:2" ht="15">
      <c r="A83" s="45" t="s">
        <v>253</v>
      </c>
      <c r="B83" s="34"/>
    </row>
    <row r="84" spans="1:2" ht="15">
      <c r="A84" s="45" t="s">
        <v>254</v>
      </c>
      <c r="B84" s="34"/>
    </row>
    <row r="85" spans="1:2" ht="15">
      <c r="A85" s="45" t="s">
        <v>255</v>
      </c>
      <c r="B85" s="34"/>
    </row>
    <row r="86" spans="1:2" ht="15">
      <c r="A86" s="45" t="s">
        <v>265</v>
      </c>
      <c r="B86" s="34"/>
    </row>
    <row r="87" spans="1:2" ht="15">
      <c r="A87" s="45" t="s">
        <v>261</v>
      </c>
      <c r="B87" s="34"/>
    </row>
    <row r="88" spans="1:2" ht="15">
      <c r="A88" s="45" t="s">
        <v>262</v>
      </c>
      <c r="B88" s="34"/>
    </row>
  </sheetData>
  <mergeCells count="6">
    <mergeCell ref="A1:H1"/>
    <mergeCell ref="A3:H3"/>
    <mergeCell ref="A8:H8"/>
    <mergeCell ref="A4:H4"/>
    <mergeCell ref="A5:H5"/>
    <mergeCell ref="A6:H6"/>
  </mergeCells>
  <printOptions horizontalCentered="1"/>
  <pageMargins left="0.75" right="0.5" top="0.75" bottom="0.75" header="0.25" footer="0.5"/>
  <pageSetup fitToHeight="2" horizontalDpi="600" verticalDpi="600" orientation="portrait" scale="81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="85" zoomScaleNormal="85" workbookViewId="0" topLeftCell="A1">
      <selection activeCell="F72" sqref="F72"/>
    </sheetView>
  </sheetViews>
  <sheetFormatPr defaultColWidth="9.00390625" defaultRowHeight="12.75"/>
  <cols>
    <col min="1" max="1" width="5.875" style="3" customWidth="1"/>
    <col min="2" max="2" width="54.875" style="3" customWidth="1"/>
    <col min="3" max="3" width="3.875" style="3" customWidth="1"/>
    <col min="4" max="6" width="26.875" style="3" customWidth="1"/>
    <col min="7" max="16384" width="9.375" style="3" customWidth="1"/>
  </cols>
  <sheetData>
    <row r="1" spans="1:6" ht="12.75">
      <c r="A1" s="1" t="s">
        <v>271</v>
      </c>
      <c r="B1" s="1"/>
      <c r="C1" s="1"/>
      <c r="D1" s="1"/>
      <c r="E1" s="1"/>
      <c r="F1" s="1"/>
    </row>
    <row r="2" spans="1:6" ht="6" customHeight="1">
      <c r="A2" s="1"/>
      <c r="B2" s="1"/>
      <c r="C2" s="1"/>
      <c r="D2" s="1"/>
      <c r="E2" s="1"/>
      <c r="F2" s="1"/>
    </row>
    <row r="3" spans="1:6" ht="12.75">
      <c r="A3" s="1" t="s">
        <v>0</v>
      </c>
      <c r="B3" s="1"/>
      <c r="C3" s="1"/>
      <c r="D3" s="1"/>
      <c r="E3" s="1"/>
      <c r="F3" s="4"/>
    </row>
    <row r="4" spans="1:6" ht="12.75">
      <c r="A4" s="1" t="s">
        <v>123</v>
      </c>
      <c r="B4" s="1"/>
      <c r="C4" s="1"/>
      <c r="D4" s="1"/>
      <c r="E4" s="1"/>
      <c r="F4" s="1"/>
    </row>
    <row r="5" spans="1:6" ht="12.75">
      <c r="A5" s="23" t="s">
        <v>226</v>
      </c>
      <c r="B5" s="1"/>
      <c r="C5" s="1"/>
      <c r="D5" s="1"/>
      <c r="E5" s="1"/>
      <c r="F5" s="1"/>
    </row>
    <row r="7" spans="1:6" ht="12.75">
      <c r="A7" s="13"/>
      <c r="B7" s="11"/>
      <c r="C7" s="18"/>
      <c r="D7" s="9" t="s">
        <v>3</v>
      </c>
      <c r="E7" s="9" t="s">
        <v>4</v>
      </c>
      <c r="F7" s="9" t="s">
        <v>124</v>
      </c>
    </row>
    <row r="8" spans="1:6" ht="12.75">
      <c r="A8" s="13"/>
      <c r="B8" s="11"/>
      <c r="C8" s="18"/>
      <c r="D8" s="16"/>
      <c r="E8" s="16"/>
      <c r="F8" s="16"/>
    </row>
    <row r="9" spans="1:6" ht="12.75">
      <c r="A9" s="13" t="s">
        <v>125</v>
      </c>
      <c r="B9" s="11"/>
      <c r="C9" s="18"/>
      <c r="D9" s="16"/>
      <c r="E9" s="16"/>
      <c r="F9" s="16"/>
    </row>
    <row r="10" spans="1:6" ht="12.75">
      <c r="A10" s="13" t="s">
        <v>126</v>
      </c>
      <c r="B10" s="11"/>
      <c r="C10" s="18"/>
      <c r="D10" s="14">
        <v>3440598566.39</v>
      </c>
      <c r="E10" s="14"/>
      <c r="F10" s="15">
        <f>D10+E10</f>
        <v>3440598566.39</v>
      </c>
    </row>
    <row r="11" spans="1:6" ht="12.75">
      <c r="A11" s="13" t="s">
        <v>127</v>
      </c>
      <c r="B11" s="11"/>
      <c r="C11" s="18"/>
      <c r="D11" s="14"/>
      <c r="E11" s="14"/>
      <c r="F11" s="15"/>
    </row>
    <row r="12" spans="1:6" ht="12.75">
      <c r="A12" s="13" t="s">
        <v>128</v>
      </c>
      <c r="B12" s="11"/>
      <c r="C12" s="18"/>
      <c r="D12" s="14">
        <v>1938548323.91</v>
      </c>
      <c r="E12" s="14"/>
      <c r="F12" s="15">
        <f>D12+E12</f>
        <v>1938548323.91</v>
      </c>
    </row>
    <row r="13" spans="1:6" ht="12.75">
      <c r="A13" s="13" t="s">
        <v>129</v>
      </c>
      <c r="B13" s="11"/>
      <c r="C13" s="18"/>
      <c r="D13" s="16">
        <v>305785061.55</v>
      </c>
      <c r="E13" s="12"/>
      <c r="F13" s="15">
        <f>D13+E13</f>
        <v>305785061.55</v>
      </c>
    </row>
    <row r="14" spans="1:6" ht="12.75">
      <c r="A14" s="13" t="s">
        <v>130</v>
      </c>
      <c r="B14" s="11"/>
      <c r="C14" s="18"/>
      <c r="D14" s="12">
        <f>D12+D13</f>
        <v>2244333385.46</v>
      </c>
      <c r="E14" s="12">
        <f>E12+E13</f>
        <v>0</v>
      </c>
      <c r="F14" s="12">
        <f>F12+F13</f>
        <v>2244333385.46</v>
      </c>
    </row>
    <row r="15" spans="1:6" ht="12.75">
      <c r="A15" s="13" t="s">
        <v>131</v>
      </c>
      <c r="B15" s="11"/>
      <c r="C15" s="18"/>
      <c r="D15" s="14">
        <v>369843462.01</v>
      </c>
      <c r="E15" s="14"/>
      <c r="F15" s="15">
        <f aca="true" t="shared" si="0" ref="F15:F27">D15+E15</f>
        <v>369843462.01</v>
      </c>
    </row>
    <row r="16" spans="1:6" ht="12.75">
      <c r="A16" s="13" t="s">
        <v>192</v>
      </c>
      <c r="B16" s="11"/>
      <c r="C16" s="18"/>
      <c r="D16" s="14">
        <v>0</v>
      </c>
      <c r="E16" s="14"/>
      <c r="F16" s="15">
        <f t="shared" si="0"/>
        <v>0</v>
      </c>
    </row>
    <row r="17" spans="1:6" ht="12.75">
      <c r="A17" s="13" t="s">
        <v>132</v>
      </c>
      <c r="B17" s="11"/>
      <c r="C17" s="18"/>
      <c r="D17" s="14">
        <v>62121919.82</v>
      </c>
      <c r="E17" s="14"/>
      <c r="F17" s="15">
        <f t="shared" si="0"/>
        <v>62121919.82</v>
      </c>
    </row>
    <row r="18" spans="1:6" ht="12.75">
      <c r="A18" s="13" t="s">
        <v>133</v>
      </c>
      <c r="B18" s="11"/>
      <c r="C18" s="18"/>
      <c r="D18" s="14">
        <v>95521057.21</v>
      </c>
      <c r="E18" s="14"/>
      <c r="F18" s="15">
        <f t="shared" si="0"/>
        <v>95521057.21</v>
      </c>
    </row>
    <row r="19" spans="1:6" ht="12.75">
      <c r="A19" s="13" t="s">
        <v>134</v>
      </c>
      <c r="B19" s="11"/>
      <c r="C19" s="18"/>
      <c r="D19" s="14">
        <v>96365799.43</v>
      </c>
      <c r="E19" s="14">
        <f>'E- 3 (Journal Entries)'!G71</f>
        <v>10977731</v>
      </c>
      <c r="F19" s="15">
        <f t="shared" si="0"/>
        <v>107343530.43</v>
      </c>
    </row>
    <row r="20" spans="1:6" ht="12.75">
      <c r="A20" s="28" t="s">
        <v>135</v>
      </c>
      <c r="B20" s="11"/>
      <c r="C20" s="18"/>
      <c r="D20" s="14">
        <v>7071238.04</v>
      </c>
      <c r="E20" s="14">
        <f>'E- 3 (Journal Entries)'!G72</f>
        <v>1491736</v>
      </c>
      <c r="F20" s="15">
        <f t="shared" si="0"/>
        <v>8562974.04</v>
      </c>
    </row>
    <row r="21" spans="1:6" ht="12.75">
      <c r="A21" s="13" t="s">
        <v>136</v>
      </c>
      <c r="B21" s="11"/>
      <c r="C21" s="18"/>
      <c r="D21" s="14">
        <v>69132409.57</v>
      </c>
      <c r="E21" s="14"/>
      <c r="F21" s="15">
        <f t="shared" si="0"/>
        <v>69132409.57</v>
      </c>
    </row>
    <row r="22" spans="1:6" ht="12.75">
      <c r="A22" s="13" t="s">
        <v>137</v>
      </c>
      <c r="B22" s="11"/>
      <c r="C22" s="18"/>
      <c r="D22" s="14">
        <v>-5854860</v>
      </c>
      <c r="E22" s="14"/>
      <c r="F22" s="15">
        <f t="shared" si="0"/>
        <v>-5854860</v>
      </c>
    </row>
    <row r="23" spans="1:6" ht="12.75">
      <c r="A23" s="13" t="s">
        <v>138</v>
      </c>
      <c r="B23" s="11"/>
      <c r="C23" s="18" t="s">
        <v>19</v>
      </c>
      <c r="D23" s="14">
        <v>0</v>
      </c>
      <c r="E23" s="14"/>
      <c r="F23" s="15">
        <f t="shared" si="0"/>
        <v>0</v>
      </c>
    </row>
    <row r="24" spans="1:6" ht="12.75">
      <c r="A24" s="13" t="s">
        <v>139</v>
      </c>
      <c r="B24" s="11"/>
      <c r="C24" s="18"/>
      <c r="D24" s="14">
        <v>0</v>
      </c>
      <c r="E24" s="14"/>
      <c r="F24" s="15">
        <f t="shared" si="0"/>
        <v>0</v>
      </c>
    </row>
    <row r="25" spans="1:6" ht="12.75">
      <c r="A25" s="13" t="s">
        <v>193</v>
      </c>
      <c r="B25" s="11"/>
      <c r="C25" s="18"/>
      <c r="D25" s="14">
        <v>0</v>
      </c>
      <c r="E25" s="14"/>
      <c r="F25" s="15">
        <f t="shared" si="0"/>
        <v>0</v>
      </c>
    </row>
    <row r="26" spans="1:6" ht="12.75">
      <c r="A26" s="13" t="s">
        <v>140</v>
      </c>
      <c r="B26" s="11"/>
      <c r="C26" s="18" t="s">
        <v>19</v>
      </c>
      <c r="D26" s="14">
        <v>2266270.48</v>
      </c>
      <c r="E26" s="14"/>
      <c r="F26" s="15">
        <f t="shared" si="0"/>
        <v>2266270.48</v>
      </c>
    </row>
    <row r="27" spans="1:6" ht="12.75">
      <c r="A27" s="13" t="s">
        <v>141</v>
      </c>
      <c r="B27" s="11"/>
      <c r="C27" s="18"/>
      <c r="D27" s="14">
        <v>0</v>
      </c>
      <c r="E27" s="15"/>
      <c r="F27" s="15">
        <f t="shared" si="0"/>
        <v>0</v>
      </c>
    </row>
    <row r="28" spans="1:6" ht="12.75">
      <c r="A28" s="13" t="s">
        <v>142</v>
      </c>
      <c r="B28" s="11"/>
      <c r="C28" s="18"/>
      <c r="D28" s="15">
        <f>D10-D14-D15-D16-D17-D18-D19-D20-D21-D22+D23-D24-D25+D26+D27</f>
        <v>504330425.32999986</v>
      </c>
      <c r="E28" s="15">
        <f>E10-E14-E15-E16-E17-E18-E19-E20-E21-E22+E23-E24-E25+E26+E27</f>
        <v>-12469467</v>
      </c>
      <c r="F28" s="15">
        <f>F10-F14-F15-F16-F17-F18-F19-F20-F21-F22+F23-F24-F25+F26+F27</f>
        <v>491860958.32999986</v>
      </c>
    </row>
    <row r="29" spans="1:6" ht="12.75">
      <c r="A29" s="13" t="s">
        <v>143</v>
      </c>
      <c r="B29" s="11"/>
      <c r="C29" s="18"/>
      <c r="D29" s="12"/>
      <c r="E29" s="12"/>
      <c r="F29" s="12"/>
    </row>
    <row r="30" spans="1:6" ht="12.75">
      <c r="A30" s="13" t="s">
        <v>144</v>
      </c>
      <c r="B30" s="11"/>
      <c r="C30" s="18"/>
      <c r="D30" s="16"/>
      <c r="E30" s="16"/>
      <c r="F30" s="15"/>
    </row>
    <row r="31" spans="1:6" ht="12.75">
      <c r="A31" s="13" t="s">
        <v>145</v>
      </c>
      <c r="B31" s="11"/>
      <c r="C31" s="18"/>
      <c r="D31" s="14">
        <v>-30569.77</v>
      </c>
      <c r="E31" s="16"/>
      <c r="F31" s="15">
        <f aca="true" t="shared" si="1" ref="F31:F39">D31+E31</f>
        <v>-30569.77</v>
      </c>
    </row>
    <row r="32" spans="1:6" ht="12.75">
      <c r="A32" s="13" t="s">
        <v>146</v>
      </c>
      <c r="B32" s="11"/>
      <c r="C32" s="18"/>
      <c r="D32" s="14">
        <v>1070032.29</v>
      </c>
      <c r="E32" s="16"/>
      <c r="F32" s="15">
        <f t="shared" si="1"/>
        <v>1070032.29</v>
      </c>
    </row>
    <row r="33" spans="1:6" ht="12.75">
      <c r="A33" s="13" t="s">
        <v>147</v>
      </c>
      <c r="B33" s="11"/>
      <c r="C33" s="18"/>
      <c r="D33" s="14">
        <v>43548.21</v>
      </c>
      <c r="E33" s="14"/>
      <c r="F33" s="15">
        <f t="shared" si="1"/>
        <v>43548.21</v>
      </c>
    </row>
    <row r="34" spans="1:6" ht="12.75">
      <c r="A34" s="13" t="s">
        <v>148</v>
      </c>
      <c r="B34" s="11"/>
      <c r="C34" s="18"/>
      <c r="D34" s="14">
        <v>568140.83</v>
      </c>
      <c r="E34" s="14"/>
      <c r="F34" s="15">
        <f t="shared" si="1"/>
        <v>568140.83</v>
      </c>
    </row>
    <row r="35" spans="1:6" ht="12.75">
      <c r="A35" s="13" t="s">
        <v>149</v>
      </c>
      <c r="B35" s="11"/>
      <c r="C35" s="18"/>
      <c r="D35" s="14">
        <v>0</v>
      </c>
      <c r="E35" s="14"/>
      <c r="F35" s="15">
        <f t="shared" si="1"/>
        <v>0</v>
      </c>
    </row>
    <row r="36" spans="1:6" ht="12.75">
      <c r="A36" s="13" t="s">
        <v>150</v>
      </c>
      <c r="B36" s="11"/>
      <c r="C36" s="18"/>
      <c r="D36" s="14">
        <v>7465622.56</v>
      </c>
      <c r="E36" s="14">
        <f>'E- 3 (Journal Entries)'!H60+'E- 3 (Journal Entries)'!H68</f>
        <v>53528130</v>
      </c>
      <c r="F36" s="15">
        <f t="shared" si="1"/>
        <v>60993752.56</v>
      </c>
    </row>
    <row r="37" spans="1:6" ht="12.75">
      <c r="A37" s="13" t="s">
        <v>151</v>
      </c>
      <c r="B37" s="11"/>
      <c r="C37" s="18"/>
      <c r="D37" s="14">
        <v>8150943.87</v>
      </c>
      <c r="E37" s="14"/>
      <c r="F37" s="15">
        <f t="shared" si="1"/>
        <v>8150943.87</v>
      </c>
    </row>
    <row r="38" spans="1:6" ht="12.75">
      <c r="A38" s="13" t="s">
        <v>152</v>
      </c>
      <c r="B38" s="11"/>
      <c r="C38" s="18"/>
      <c r="D38" s="14">
        <v>264670474.2</v>
      </c>
      <c r="E38" s="14"/>
      <c r="F38" s="15">
        <f t="shared" si="1"/>
        <v>264670474.2</v>
      </c>
    </row>
    <row r="39" spans="1:6" ht="12.75">
      <c r="A39" s="13" t="s">
        <v>153</v>
      </c>
      <c r="B39" s="11"/>
      <c r="C39" s="18"/>
      <c r="D39" s="14">
        <v>2470692.23</v>
      </c>
      <c r="E39" s="14"/>
      <c r="F39" s="15">
        <f t="shared" si="1"/>
        <v>2470692.23</v>
      </c>
    </row>
    <row r="40" spans="1:6" ht="12.75">
      <c r="A40" s="13" t="s">
        <v>154</v>
      </c>
      <c r="B40" s="11"/>
      <c r="C40" s="18"/>
      <c r="D40" s="15">
        <f>SUM(D31:D39)</f>
        <v>284408884.42</v>
      </c>
      <c r="E40" s="15">
        <f>SUM(E31:E39)</f>
        <v>53528130</v>
      </c>
      <c r="F40" s="15">
        <f>SUM(F31:F39)</f>
        <v>337937014.42</v>
      </c>
    </row>
    <row r="41" spans="1:6" ht="12.75">
      <c r="A41" s="13" t="s">
        <v>155</v>
      </c>
      <c r="B41" s="11"/>
      <c r="C41" s="18"/>
      <c r="D41" s="16"/>
      <c r="E41" s="16"/>
      <c r="F41" s="16"/>
    </row>
    <row r="42" spans="1:6" ht="12.75">
      <c r="A42" s="13" t="s">
        <v>156</v>
      </c>
      <c r="B42" s="11"/>
      <c r="C42" s="18"/>
      <c r="D42" s="14">
        <v>779756.28</v>
      </c>
      <c r="E42" s="14"/>
      <c r="F42" s="15">
        <f>D42+E42</f>
        <v>779756.28</v>
      </c>
    </row>
    <row r="43" spans="1:6" ht="12.75">
      <c r="A43" s="13" t="s">
        <v>157</v>
      </c>
      <c r="B43" s="11"/>
      <c r="C43" s="18"/>
      <c r="D43" s="14">
        <v>235877.43</v>
      </c>
      <c r="E43" s="14"/>
      <c r="F43" s="15">
        <f>D43+E43</f>
        <v>235877.43</v>
      </c>
    </row>
    <row r="44" spans="1:6" ht="12.75">
      <c r="A44" s="13" t="s">
        <v>158</v>
      </c>
      <c r="B44" s="11"/>
      <c r="C44" s="18"/>
      <c r="D44" s="14">
        <v>308959453.74</v>
      </c>
      <c r="E44" s="14"/>
      <c r="F44" s="15">
        <f>D44+E44</f>
        <v>308959453.74</v>
      </c>
    </row>
    <row r="45" spans="1:6" ht="12.75">
      <c r="A45" s="13" t="s">
        <v>159</v>
      </c>
      <c r="B45" s="11"/>
      <c r="C45" s="18"/>
      <c r="D45" s="15">
        <f>SUM(D42:D44)</f>
        <v>309975087.45</v>
      </c>
      <c r="E45" s="15">
        <f>SUM(E42:E44)</f>
        <v>0</v>
      </c>
      <c r="F45" s="15">
        <f>SUM(F42:F44)</f>
        <v>309975087.45</v>
      </c>
    </row>
    <row r="46" spans="1:6" ht="12.75">
      <c r="A46" s="13" t="s">
        <v>160</v>
      </c>
      <c r="B46" s="11"/>
      <c r="C46" s="18"/>
      <c r="D46" s="12"/>
      <c r="E46" s="12"/>
      <c r="F46" s="12"/>
    </row>
    <row r="47" spans="1:6" ht="12.75">
      <c r="A47" s="13" t="s">
        <v>161</v>
      </c>
      <c r="B47" s="11"/>
      <c r="C47" s="18"/>
      <c r="D47" s="14">
        <v>211359.49</v>
      </c>
      <c r="E47" s="14"/>
      <c r="F47" s="15">
        <f>D47+E47</f>
        <v>211359.49</v>
      </c>
    </row>
    <row r="48" spans="1:6" ht="12.75">
      <c r="A48" s="13" t="s">
        <v>162</v>
      </c>
      <c r="B48" s="11"/>
      <c r="C48" s="18"/>
      <c r="D48" s="14">
        <v>-2160180.42</v>
      </c>
      <c r="E48" s="14"/>
      <c r="F48" s="15">
        <f>D48+E48</f>
        <v>-2160180.42</v>
      </c>
    </row>
    <row r="49" spans="1:6" ht="12.75">
      <c r="A49" s="13" t="s">
        <v>163</v>
      </c>
      <c r="B49" s="11"/>
      <c r="C49" s="18"/>
      <c r="D49" s="14">
        <v>-2065260</v>
      </c>
      <c r="E49" s="14"/>
      <c r="F49" s="15">
        <f>D49+E49</f>
        <v>-2065260</v>
      </c>
    </row>
    <row r="50" spans="1:6" ht="12.75">
      <c r="A50" s="13" t="s">
        <v>164</v>
      </c>
      <c r="B50" s="11"/>
      <c r="C50" s="18"/>
      <c r="D50" s="15">
        <f>SUM(D47:D49)</f>
        <v>-4014080.9299999997</v>
      </c>
      <c r="E50" s="15">
        <f>SUM(E47:E49)</f>
        <v>0</v>
      </c>
      <c r="F50" s="15">
        <f>SUM(F47:F49)</f>
        <v>-4014080.9299999997</v>
      </c>
    </row>
    <row r="51" spans="1:6" ht="12.75">
      <c r="A51" s="13" t="s">
        <v>165</v>
      </c>
      <c r="B51" s="11"/>
      <c r="C51" s="18"/>
      <c r="D51" s="15">
        <f>D40-D45-D50</f>
        <v>-21552122.09999997</v>
      </c>
      <c r="E51" s="15">
        <f>E40-E45-E50</f>
        <v>53528130</v>
      </c>
      <c r="F51" s="15">
        <f>F40-F45-F50</f>
        <v>31976007.90000003</v>
      </c>
    </row>
    <row r="52" spans="1:6" ht="12.75">
      <c r="A52" s="13" t="s">
        <v>166</v>
      </c>
      <c r="B52" s="11"/>
      <c r="C52" s="18"/>
      <c r="D52" s="15">
        <f>D28+D51</f>
        <v>482778303.2299999</v>
      </c>
      <c r="E52" s="15">
        <f>E28+E51</f>
        <v>41058663</v>
      </c>
      <c r="F52" s="15">
        <f>F28+F51</f>
        <v>523836966.2299999</v>
      </c>
    </row>
    <row r="53" spans="1:6" ht="12.75">
      <c r="A53" s="13" t="s">
        <v>167</v>
      </c>
      <c r="B53" s="11"/>
      <c r="C53" s="18"/>
      <c r="D53" s="16"/>
      <c r="E53" s="16"/>
      <c r="F53" s="16"/>
    </row>
    <row r="54" spans="1:6" ht="12.75">
      <c r="A54" s="13" t="s">
        <v>168</v>
      </c>
      <c r="B54" s="11"/>
      <c r="C54" s="18"/>
      <c r="D54" s="14">
        <v>235726727.86</v>
      </c>
      <c r="E54" s="14">
        <f>'E- 3 (Journal Entries)'!G47-'E- 3 (Journal Entries)'!H56</f>
        <v>13486000</v>
      </c>
      <c r="F54" s="15">
        <f aca="true" t="shared" si="2" ref="F54:F61">D54+E54</f>
        <v>249212727.86</v>
      </c>
    </row>
    <row r="55" spans="1:6" ht="12.75">
      <c r="A55" s="13" t="s">
        <v>169</v>
      </c>
      <c r="B55" s="11"/>
      <c r="C55" s="18"/>
      <c r="D55" s="14">
        <v>3921500.66</v>
      </c>
      <c r="E55" s="14">
        <f>'E- 3 (Journal Entries)'!G51</f>
        <v>350000</v>
      </c>
      <c r="F55" s="15">
        <f t="shared" si="2"/>
        <v>4271500.66</v>
      </c>
    </row>
    <row r="56" spans="1:6" ht="12.75">
      <c r="A56" s="13" t="s">
        <v>170</v>
      </c>
      <c r="B56" s="11"/>
      <c r="C56" s="18"/>
      <c r="D56" s="14">
        <v>6581411.09</v>
      </c>
      <c r="E56" s="14"/>
      <c r="F56" s="15">
        <f t="shared" si="2"/>
        <v>6581411.09</v>
      </c>
    </row>
    <row r="57" spans="1:6" ht="12.75">
      <c r="A57" s="13" t="s">
        <v>171</v>
      </c>
      <c r="B57" s="11"/>
      <c r="C57" s="18"/>
      <c r="D57" s="14">
        <v>-2718.18</v>
      </c>
      <c r="E57" s="14"/>
      <c r="F57" s="15">
        <f t="shared" si="2"/>
        <v>-2718.18</v>
      </c>
    </row>
    <row r="58" spans="1:6" ht="12.75">
      <c r="A58" s="13" t="s">
        <v>172</v>
      </c>
      <c r="B58" s="11"/>
      <c r="C58" s="18"/>
      <c r="D58" s="14">
        <v>-85274.94</v>
      </c>
      <c r="E58" s="12"/>
      <c r="F58" s="15">
        <f t="shared" si="2"/>
        <v>-85274.94</v>
      </c>
    </row>
    <row r="59" spans="1:6" ht="12.75">
      <c r="A59" s="13" t="s">
        <v>173</v>
      </c>
      <c r="B59" s="11"/>
      <c r="C59" s="18"/>
      <c r="D59" s="14">
        <v>521350.73</v>
      </c>
      <c r="E59" s="12"/>
      <c r="F59" s="15">
        <f t="shared" si="2"/>
        <v>521350.73</v>
      </c>
    </row>
    <row r="60" spans="1:6" ht="12.75">
      <c r="A60" s="13" t="s">
        <v>174</v>
      </c>
      <c r="B60" s="11"/>
      <c r="C60" s="18"/>
      <c r="D60" s="14">
        <v>25448640.72</v>
      </c>
      <c r="E60" s="14">
        <f>'E- 3 (Journal Entries)'!G63</f>
        <v>6834510</v>
      </c>
      <c r="F60" s="15">
        <f t="shared" si="2"/>
        <v>32283150.72</v>
      </c>
    </row>
    <row r="61" spans="1:6" ht="12.75">
      <c r="A61" s="13" t="s">
        <v>175</v>
      </c>
      <c r="B61" s="11"/>
      <c r="C61" s="18"/>
      <c r="D61" s="14">
        <v>-14084027.82</v>
      </c>
      <c r="E61" s="14"/>
      <c r="F61" s="15">
        <f t="shared" si="2"/>
        <v>-14084027.82</v>
      </c>
    </row>
    <row r="62" spans="1:6" ht="12.75">
      <c r="A62" s="13" t="s">
        <v>176</v>
      </c>
      <c r="B62" s="11"/>
      <c r="C62" s="18"/>
      <c r="D62" s="15">
        <f>SUM(D54:D61)</f>
        <v>258027610.12</v>
      </c>
      <c r="E62" s="15">
        <f>SUM(E54:E61)</f>
        <v>20670510</v>
      </c>
      <c r="F62" s="15">
        <f>SUM(F54:F61)</f>
        <v>278698120.12</v>
      </c>
    </row>
    <row r="63" spans="1:6" ht="12.75">
      <c r="A63" s="13" t="s">
        <v>177</v>
      </c>
      <c r="B63" s="11"/>
      <c r="C63" s="18"/>
      <c r="D63" s="15">
        <f>D52-D62</f>
        <v>224750693.1099999</v>
      </c>
      <c r="E63" s="15">
        <f>E52-E62</f>
        <v>20388153</v>
      </c>
      <c r="F63" s="15">
        <f>F52-F62</f>
        <v>245138846.1099999</v>
      </c>
    </row>
    <row r="64" spans="1:6" ht="12.75">
      <c r="A64" s="13" t="s">
        <v>178</v>
      </c>
      <c r="B64" s="11"/>
      <c r="C64" s="18"/>
      <c r="D64" s="12"/>
      <c r="E64" s="12"/>
      <c r="F64" s="15"/>
    </row>
    <row r="65" spans="1:6" ht="12.75">
      <c r="A65" s="13" t="s">
        <v>194</v>
      </c>
      <c r="B65" s="11"/>
      <c r="C65" s="18"/>
      <c r="D65" s="12">
        <v>0</v>
      </c>
      <c r="E65" s="12"/>
      <c r="F65" s="15">
        <f>D65+E65</f>
        <v>0</v>
      </c>
    </row>
    <row r="66" spans="1:6" ht="12.75">
      <c r="A66" s="13" t="s">
        <v>184</v>
      </c>
      <c r="B66" s="11"/>
      <c r="C66" s="18"/>
      <c r="D66" s="12">
        <v>0</v>
      </c>
      <c r="E66" s="12"/>
      <c r="F66" s="15">
        <f>D66+E66</f>
        <v>0</v>
      </c>
    </row>
    <row r="67" spans="1:6" ht="12.75">
      <c r="A67" s="13" t="s">
        <v>179</v>
      </c>
      <c r="B67" s="11"/>
      <c r="C67" s="18"/>
      <c r="D67" s="15">
        <f>D63-D66</f>
        <v>224750693.1099999</v>
      </c>
      <c r="E67" s="15">
        <f>E63-E64</f>
        <v>20388153</v>
      </c>
      <c r="F67" s="15">
        <f>F63-F66</f>
        <v>245138846.1099999</v>
      </c>
    </row>
    <row r="68" spans="1:6" ht="12.75">
      <c r="A68" s="13" t="s">
        <v>180</v>
      </c>
      <c r="B68" s="11"/>
      <c r="C68" s="18"/>
      <c r="D68" s="14">
        <v>2083789.72</v>
      </c>
      <c r="E68" s="14"/>
      <c r="F68" s="15">
        <f>D68+E68</f>
        <v>2083789.72</v>
      </c>
    </row>
    <row r="69" spans="1:6" ht="12.75">
      <c r="A69" s="13" t="s">
        <v>181</v>
      </c>
      <c r="B69" s="11"/>
      <c r="C69" s="18"/>
      <c r="D69" s="15">
        <f>D67-D68</f>
        <v>222666903.3899999</v>
      </c>
      <c r="E69" s="15">
        <f>E67-E68</f>
        <v>20388153</v>
      </c>
      <c r="F69" s="15">
        <f>F67-F68</f>
        <v>243055056.3899999</v>
      </c>
    </row>
    <row r="72" spans="2:6" ht="12.75">
      <c r="B72" s="30"/>
      <c r="F72" s="29" t="s">
        <v>271</v>
      </c>
    </row>
    <row r="73" ht="12.75">
      <c r="F73" s="17" t="s">
        <v>182</v>
      </c>
    </row>
  </sheetData>
  <printOptions/>
  <pageMargins left="0.46" right="0.28" top="0.48" bottom="0.5" header="0.26" footer="0.5"/>
  <pageSetup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="85" zoomScaleNormal="85" workbookViewId="0" topLeftCell="A1">
      <selection activeCell="B77" sqref="B77"/>
    </sheetView>
  </sheetViews>
  <sheetFormatPr defaultColWidth="9.00390625" defaultRowHeight="12.75"/>
  <cols>
    <col min="1" max="1" width="70.875" style="0" customWidth="1"/>
    <col min="2" max="2" width="54.875" style="0" customWidth="1"/>
    <col min="3" max="5" width="26.875" style="0" customWidth="1"/>
  </cols>
  <sheetData>
    <row r="1" spans="1:5" ht="12.75">
      <c r="A1" s="1" t="s">
        <v>272</v>
      </c>
      <c r="B1" s="1"/>
      <c r="C1" s="1"/>
      <c r="D1" s="1"/>
      <c r="E1" s="1"/>
    </row>
    <row r="2" spans="1:5" ht="6" customHeight="1">
      <c r="A2" s="1"/>
      <c r="B2" s="1"/>
      <c r="C2" s="1"/>
      <c r="D2" s="1"/>
      <c r="E2" s="1"/>
    </row>
    <row r="3" spans="1:5" ht="12.75">
      <c r="A3" s="1" t="s">
        <v>0</v>
      </c>
      <c r="B3" s="1"/>
      <c r="C3" s="1"/>
      <c r="D3" s="1"/>
      <c r="E3" s="4"/>
    </row>
    <row r="4" spans="1:5" ht="12.75">
      <c r="A4" s="1" t="s">
        <v>198</v>
      </c>
      <c r="B4" s="1"/>
      <c r="C4" s="1"/>
      <c r="D4" s="1"/>
      <c r="E4" s="4"/>
    </row>
    <row r="5" spans="1:5" ht="12.75">
      <c r="A5" s="39" t="s">
        <v>225</v>
      </c>
      <c r="B5" s="1"/>
      <c r="C5" s="1"/>
      <c r="D5" s="1"/>
      <c r="E5" s="6"/>
    </row>
    <row r="6" spans="1:5" ht="12.75">
      <c r="A6" s="3"/>
      <c r="B6" s="3"/>
      <c r="C6" s="3"/>
      <c r="D6" s="3"/>
      <c r="E6" s="3"/>
    </row>
    <row r="7" spans="1:5" ht="12.75">
      <c r="A7" s="7" t="s">
        <v>199</v>
      </c>
      <c r="B7" s="18"/>
      <c r="C7" s="9" t="s">
        <v>3</v>
      </c>
      <c r="D7" s="9" t="s">
        <v>4</v>
      </c>
      <c r="E7" s="9" t="s">
        <v>5</v>
      </c>
    </row>
    <row r="8" spans="1:5" ht="12.75">
      <c r="A8" s="10"/>
      <c r="B8" s="18"/>
      <c r="C8" s="12"/>
      <c r="D8" s="12"/>
      <c r="E8" s="12"/>
    </row>
    <row r="9" spans="1:5" ht="12.75">
      <c r="A9" s="10"/>
      <c r="B9" s="18"/>
      <c r="C9" s="12"/>
      <c r="D9" s="12"/>
      <c r="E9" s="12"/>
    </row>
    <row r="10" spans="1:5" ht="12.75">
      <c r="A10" s="10"/>
      <c r="B10" s="18"/>
      <c r="C10" s="12"/>
      <c r="D10" s="12"/>
      <c r="E10" s="12"/>
    </row>
    <row r="11" spans="1:5" ht="12.75">
      <c r="A11" s="10"/>
      <c r="B11" s="18"/>
      <c r="C11" s="12"/>
      <c r="D11" s="12"/>
      <c r="E11" s="12"/>
    </row>
    <row r="12" spans="1:5" ht="12.75">
      <c r="A12" s="13" t="s">
        <v>200</v>
      </c>
      <c r="B12" s="18"/>
      <c r="C12" s="14">
        <f>'E-1 (Bal. Sheet)'!C21</f>
        <v>14958152338.16</v>
      </c>
      <c r="D12" s="12"/>
      <c r="E12" s="14">
        <f>C12+D12</f>
        <v>14958152338.16</v>
      </c>
    </row>
    <row r="13" spans="1:5" ht="12.75">
      <c r="A13" s="13"/>
      <c r="B13" s="18"/>
      <c r="C13" s="14"/>
      <c r="D13" s="12"/>
      <c r="E13" s="14"/>
    </row>
    <row r="14" spans="1:5" ht="12.75">
      <c r="A14" s="13"/>
      <c r="B14" s="18"/>
      <c r="C14" s="14"/>
      <c r="D14" s="12"/>
      <c r="E14" s="14"/>
    </row>
    <row r="15" spans="1:5" ht="12.75">
      <c r="A15" s="13" t="s">
        <v>201</v>
      </c>
      <c r="B15" s="18" t="s">
        <v>19</v>
      </c>
      <c r="C15" s="14">
        <f>SUM('E-1 (Bal. Sheet)'!C23:C27)</f>
        <v>6083434077.53</v>
      </c>
      <c r="D15" s="12"/>
      <c r="E15" s="14">
        <f>C15+D15</f>
        <v>6083434077.53</v>
      </c>
    </row>
    <row r="16" spans="1:5" ht="12.75">
      <c r="A16" s="13"/>
      <c r="B16" s="18"/>
      <c r="C16" s="14"/>
      <c r="D16" s="12"/>
      <c r="E16" s="14"/>
    </row>
    <row r="17" spans="1:5" ht="12.75">
      <c r="A17" s="13"/>
      <c r="B17" s="18"/>
      <c r="C17" s="14"/>
      <c r="D17" s="12"/>
      <c r="E17" s="14"/>
    </row>
    <row r="18" spans="1:5" ht="12.75">
      <c r="A18" s="13" t="s">
        <v>202</v>
      </c>
      <c r="B18" s="18"/>
      <c r="C18" s="12">
        <f>C12-C15</f>
        <v>8874718260.630001</v>
      </c>
      <c r="D18" s="12">
        <f>D12-D15</f>
        <v>0</v>
      </c>
      <c r="E18" s="12">
        <f>E12-E15</f>
        <v>8874718260.630001</v>
      </c>
    </row>
    <row r="19" spans="1:5" ht="12.75">
      <c r="A19" s="13"/>
      <c r="B19" s="18"/>
      <c r="C19" s="14"/>
      <c r="D19" s="12"/>
      <c r="E19" s="14"/>
    </row>
    <row r="20" spans="1:5" ht="12.75">
      <c r="A20" s="13"/>
      <c r="B20" s="18"/>
      <c r="C20" s="14"/>
      <c r="D20" s="12"/>
      <c r="E20" s="14"/>
    </row>
    <row r="21" spans="1:5" ht="12.75">
      <c r="A21" s="13" t="s">
        <v>203</v>
      </c>
      <c r="B21" s="18"/>
      <c r="C21" s="37">
        <v>552481000</v>
      </c>
      <c r="D21" s="12"/>
      <c r="E21" s="14">
        <f>C21+D21</f>
        <v>552481000</v>
      </c>
    </row>
    <row r="22" spans="1:5" ht="12.75">
      <c r="A22" s="13"/>
      <c r="B22" s="18"/>
      <c r="C22" s="14"/>
      <c r="D22" s="12"/>
      <c r="E22" s="14"/>
    </row>
    <row r="23" spans="1:5" ht="12.75">
      <c r="A23" s="13"/>
      <c r="B23" s="18"/>
      <c r="C23" s="14"/>
      <c r="D23" s="12"/>
      <c r="E23" s="14"/>
    </row>
    <row r="24" spans="1:5" ht="12.75">
      <c r="A24" s="13"/>
      <c r="B24" s="18"/>
      <c r="C24" s="14"/>
      <c r="D24" s="12"/>
      <c r="E24" s="14"/>
    </row>
    <row r="25" spans="1:5" ht="12.75">
      <c r="A25" s="13" t="s">
        <v>204</v>
      </c>
      <c r="B25" s="18"/>
      <c r="C25" s="12">
        <f>C18+C21</f>
        <v>9427199260.630001</v>
      </c>
      <c r="D25" s="12">
        <f>D18+D21</f>
        <v>0</v>
      </c>
      <c r="E25" s="12">
        <f>E18+E21</f>
        <v>9427199260.630001</v>
      </c>
    </row>
    <row r="26" spans="1:5" ht="12.75">
      <c r="A26" s="13"/>
      <c r="B26" s="18"/>
      <c r="C26" s="14"/>
      <c r="D26" s="12"/>
      <c r="E26" s="14"/>
    </row>
    <row r="27" spans="1:5" ht="12.75">
      <c r="A27" s="13"/>
      <c r="B27" s="18"/>
      <c r="C27" s="14"/>
      <c r="D27" s="12"/>
      <c r="E27" s="14"/>
    </row>
    <row r="28" spans="1:5" ht="12.75">
      <c r="A28" s="13"/>
      <c r="B28" s="18"/>
      <c r="C28" s="14"/>
      <c r="D28" s="12"/>
      <c r="E28" s="14"/>
    </row>
    <row r="29" spans="1:5" ht="12.75">
      <c r="A29" s="13"/>
      <c r="B29" s="18"/>
      <c r="C29" s="14"/>
      <c r="D29" s="12"/>
      <c r="E29" s="14"/>
    </row>
    <row r="30" spans="1:5" ht="12.75">
      <c r="A30" s="13"/>
      <c r="B30" s="18"/>
      <c r="C30" s="14"/>
      <c r="D30" s="12"/>
      <c r="E30" s="14"/>
    </row>
    <row r="31" spans="1:5" ht="12.75">
      <c r="A31" s="13"/>
      <c r="B31" s="18"/>
      <c r="C31" s="14"/>
      <c r="D31" s="12"/>
      <c r="E31" s="14"/>
    </row>
    <row r="32" spans="1:5" ht="12.75">
      <c r="A32" s="13"/>
      <c r="B32" s="18"/>
      <c r="C32" s="14"/>
      <c r="D32" s="12"/>
      <c r="E32" s="14"/>
    </row>
    <row r="33" spans="1:5" ht="12.75">
      <c r="A33" s="7" t="s">
        <v>205</v>
      </c>
      <c r="B33" s="18"/>
      <c r="C33" s="14"/>
      <c r="D33" s="12"/>
      <c r="E33" s="14"/>
    </row>
    <row r="34" spans="1:5" ht="12.75">
      <c r="A34" s="13"/>
      <c r="B34" s="18"/>
      <c r="C34" s="14"/>
      <c r="D34" s="12"/>
      <c r="E34" s="14"/>
    </row>
    <row r="35" spans="1:5" ht="12.75">
      <c r="A35" s="13"/>
      <c r="B35" s="18"/>
      <c r="C35" s="14"/>
      <c r="D35" s="12"/>
      <c r="E35" s="14"/>
    </row>
    <row r="36" spans="1:5" ht="12.75">
      <c r="A36" s="13"/>
      <c r="B36" s="18"/>
      <c r="C36" s="14"/>
      <c r="D36" s="12"/>
      <c r="E36" s="14"/>
    </row>
    <row r="37" spans="1:5" ht="12.75">
      <c r="A37" s="13"/>
      <c r="B37" s="18"/>
      <c r="C37" s="14"/>
      <c r="D37" s="12"/>
      <c r="E37" s="14"/>
    </row>
    <row r="38" spans="1:5" ht="12.75">
      <c r="A38" s="13" t="s">
        <v>206</v>
      </c>
      <c r="B38" s="18"/>
      <c r="C38" s="14"/>
      <c r="D38" s="12"/>
      <c r="E38" s="14"/>
    </row>
    <row r="39" spans="1:5" ht="12.75">
      <c r="A39" s="13"/>
      <c r="B39" s="18"/>
      <c r="C39" s="14"/>
      <c r="D39" s="12"/>
      <c r="E39" s="14"/>
    </row>
    <row r="40" spans="1:5" ht="12.75">
      <c r="A40" s="13" t="s">
        <v>207</v>
      </c>
      <c r="B40" s="18"/>
      <c r="C40" s="37">
        <v>3901774897.22</v>
      </c>
      <c r="D40" s="16">
        <f>'E- 3 (Journal Entries)'!H20-336219000</f>
        <v>363781000</v>
      </c>
      <c r="E40" s="14">
        <f>C40+D40</f>
        <v>4265555897.22</v>
      </c>
    </row>
    <row r="41" spans="1:5" ht="12.75">
      <c r="A41" s="13"/>
      <c r="B41" s="18"/>
      <c r="C41" s="14"/>
      <c r="D41" s="12"/>
      <c r="E41" s="14"/>
    </row>
    <row r="42" spans="1:5" ht="12.75">
      <c r="A42" s="13" t="s">
        <v>208</v>
      </c>
      <c r="B42" s="18"/>
      <c r="C42" s="14">
        <f>'E-2 (Bal. Sheet)'!C24+'E-2 (Bal. Sheet)'!C30</f>
        <v>86463300</v>
      </c>
      <c r="D42" s="16"/>
      <c r="E42" s="14">
        <f>C42+D42</f>
        <v>86463300</v>
      </c>
    </row>
    <row r="43" spans="1:5" ht="12.75">
      <c r="A43" s="13"/>
      <c r="B43" s="18"/>
      <c r="C43" s="14"/>
      <c r="D43" s="12"/>
      <c r="E43" s="14"/>
    </row>
    <row r="44" spans="1:5" ht="12.75">
      <c r="A44" s="13" t="s">
        <v>209</v>
      </c>
      <c r="B44" s="18"/>
      <c r="C44" s="14">
        <f>'E-2 (Bal. Sheet)'!C12+'E-2 (Bal. Sheet)'!C17</f>
        <v>3224514881.99</v>
      </c>
      <c r="D44" s="16">
        <f>'E- 3 (Journal Entries)'!H11</f>
        <v>814075000</v>
      </c>
      <c r="E44" s="14">
        <f>C44+D44</f>
        <v>4038589881.99</v>
      </c>
    </row>
    <row r="45" spans="1:5" ht="12.75">
      <c r="A45" s="13"/>
      <c r="B45" s="18"/>
      <c r="C45" s="14"/>
      <c r="D45" s="12"/>
      <c r="E45" s="14"/>
    </row>
    <row r="46" spans="1:5" ht="12.75">
      <c r="A46" s="13" t="s">
        <v>210</v>
      </c>
      <c r="B46" s="18"/>
      <c r="C46" s="14">
        <f>'E-2 (Bal. Sheet)'!C39</f>
        <v>38285944.55</v>
      </c>
      <c r="D46" s="12"/>
      <c r="E46" s="14">
        <f>C46+D46</f>
        <v>38285944.55</v>
      </c>
    </row>
    <row r="47" spans="1:5" ht="12.75">
      <c r="A47" s="13"/>
      <c r="B47" s="18"/>
      <c r="C47" s="14"/>
      <c r="D47" s="12"/>
      <c r="E47" s="14"/>
    </row>
    <row r="48" spans="1:5" ht="12.75">
      <c r="A48" s="13" t="s">
        <v>211</v>
      </c>
      <c r="B48" s="18"/>
      <c r="C48" s="15">
        <f>SUM(C39:C47)</f>
        <v>7251039023.759999</v>
      </c>
      <c r="D48" s="15">
        <f>SUM(D39:D47)</f>
        <v>1177856000</v>
      </c>
      <c r="E48" s="15">
        <f>SUM(E39:E47)</f>
        <v>8428895023.759999</v>
      </c>
    </row>
    <row r="49" spans="1:5" ht="12.75">
      <c r="A49" s="13"/>
      <c r="B49" s="18"/>
      <c r="C49" s="14"/>
      <c r="D49" s="12"/>
      <c r="E49" s="14"/>
    </row>
    <row r="50" spans="1:5" ht="12.75">
      <c r="A50" s="13"/>
      <c r="B50" s="18"/>
      <c r="C50" s="14"/>
      <c r="D50" s="12"/>
      <c r="E50" s="14"/>
    </row>
    <row r="51" spans="1:5" ht="12.75">
      <c r="A51" s="13" t="s">
        <v>212</v>
      </c>
      <c r="B51" s="18"/>
      <c r="C51" s="12"/>
      <c r="D51" s="12"/>
      <c r="E51" s="12"/>
    </row>
    <row r="52" spans="1:5" ht="12.75">
      <c r="A52" s="13"/>
      <c r="B52" s="18"/>
      <c r="C52" s="14"/>
      <c r="D52" s="12"/>
      <c r="E52" s="14"/>
    </row>
    <row r="53" spans="1:5" ht="12.75">
      <c r="A53" s="13" t="s">
        <v>224</v>
      </c>
      <c r="B53" s="18"/>
      <c r="C53" s="37">
        <f>297000000-66123995.2</f>
        <v>230876004.8</v>
      </c>
      <c r="D53" s="16">
        <f>'E- 3 (Journal Entries)'!H15-'E- 3 (Journal Entries)'!G27+'E- 3 (Journal Entries)'!H32-'E- 3 (Journal Entries)'!G31-'E- 3 (Journal Entries)'!G35+'E- 3 (Journal Entries)'!H36+'E- 3 (Journal Entries)'!H40-'E- 3 (Journal Entries)'!G43+'E- 3 (Journal Entries)'!H44+'E- 3 (Journal Entries)'!H48-'E- 3 (Journal Entries)'!G55-'E- 3 (Journal Entries)'!G59+'E- 3 (Journal Entries)'!H64-'E- 3 (Journal Entries)'!G67</f>
        <v>-1074329620</v>
      </c>
      <c r="E53" s="14">
        <f>C53+D53</f>
        <v>-843453615.2</v>
      </c>
    </row>
    <row r="54" spans="1:5" ht="12.75">
      <c r="A54" s="13"/>
      <c r="B54" s="18"/>
      <c r="C54" s="14"/>
      <c r="D54" s="12"/>
      <c r="E54" s="14"/>
    </row>
    <row r="55" spans="1:5" ht="12.75">
      <c r="A55" s="13" t="s">
        <v>213</v>
      </c>
      <c r="B55" s="18"/>
      <c r="C55" s="37">
        <v>119734000</v>
      </c>
      <c r="D55" s="42">
        <v>-119734000</v>
      </c>
      <c r="E55" s="14">
        <f>C55+D55</f>
        <v>0</v>
      </c>
    </row>
    <row r="56" spans="1:5" ht="12.75">
      <c r="A56" s="13"/>
      <c r="B56" s="18"/>
      <c r="C56" s="14"/>
      <c r="D56" s="12"/>
      <c r="E56" s="14"/>
    </row>
    <row r="57" spans="1:5" ht="12.75">
      <c r="A57" s="13" t="s">
        <v>214</v>
      </c>
      <c r="B57" s="18"/>
      <c r="C57" s="14">
        <v>483979.79</v>
      </c>
      <c r="D57" s="12"/>
      <c r="E57" s="14">
        <f>C57+D57</f>
        <v>483979.79</v>
      </c>
    </row>
    <row r="58" spans="1:5" ht="12.75">
      <c r="A58" s="13"/>
      <c r="B58" s="18"/>
      <c r="C58" s="14"/>
      <c r="D58" s="12"/>
      <c r="E58" s="14"/>
    </row>
    <row r="59" spans="1:5" ht="12.75">
      <c r="A59" s="13" t="s">
        <v>215</v>
      </c>
      <c r="B59" s="18"/>
      <c r="C59" s="37">
        <v>10277206.66</v>
      </c>
      <c r="D59" s="12">
        <f>-'E- 3 (Journal Entries)'!G23</f>
        <v>-10000000</v>
      </c>
      <c r="E59" s="14">
        <f>C59+D59</f>
        <v>277206.66000000015</v>
      </c>
    </row>
    <row r="60" spans="1:5" ht="12.75">
      <c r="A60" s="13"/>
      <c r="B60" s="18"/>
      <c r="C60" s="14"/>
      <c r="D60" s="12"/>
      <c r="E60" s="14"/>
    </row>
    <row r="61" spans="1:5" ht="12.75">
      <c r="A61" s="13" t="s">
        <v>211</v>
      </c>
      <c r="B61" s="18"/>
      <c r="C61" s="15">
        <f>SUM(C52:C60)</f>
        <v>361371191.25000006</v>
      </c>
      <c r="D61" s="15">
        <f>SUM(D52:D60)</f>
        <v>-1204063620</v>
      </c>
      <c r="E61" s="15">
        <f>SUM(E52:E60)</f>
        <v>-842692428.7500001</v>
      </c>
    </row>
    <row r="62" spans="1:5" ht="12.75">
      <c r="A62" s="13"/>
      <c r="B62" s="18"/>
      <c r="C62" s="14"/>
      <c r="D62" s="12"/>
      <c r="E62" s="14"/>
    </row>
    <row r="63" spans="1:5" ht="12.75">
      <c r="A63" s="13"/>
      <c r="B63" s="18"/>
      <c r="C63" s="14"/>
      <c r="D63" s="12"/>
      <c r="E63" s="14"/>
    </row>
    <row r="64" spans="1:5" ht="12.75">
      <c r="A64" s="13" t="s">
        <v>216</v>
      </c>
      <c r="B64" s="18"/>
      <c r="C64" s="15">
        <f>C61+C48</f>
        <v>7612410215.009999</v>
      </c>
      <c r="D64" s="15">
        <f>D61+D48</f>
        <v>-26207620</v>
      </c>
      <c r="E64" s="15">
        <f>E61+E48</f>
        <v>7586202595.009999</v>
      </c>
    </row>
    <row r="65" spans="1:5" ht="12.75">
      <c r="A65" s="13"/>
      <c r="B65" s="18"/>
      <c r="C65" s="12"/>
      <c r="D65" s="12"/>
      <c r="E65" s="12"/>
    </row>
    <row r="66" spans="1:5" ht="12.75">
      <c r="A66" s="13"/>
      <c r="B66" s="18"/>
      <c r="C66" s="12"/>
      <c r="D66" s="12"/>
      <c r="E66" s="12"/>
    </row>
    <row r="67" spans="1:5" ht="12.75">
      <c r="A67" s="13"/>
      <c r="B67" s="18"/>
      <c r="C67" s="12"/>
      <c r="D67" s="12"/>
      <c r="E67" s="12"/>
    </row>
    <row r="68" spans="1:5" ht="12.75">
      <c r="A68" s="13"/>
      <c r="B68" s="18"/>
      <c r="C68" s="12"/>
      <c r="D68" s="12"/>
      <c r="E68" s="12"/>
    </row>
    <row r="69" spans="1:5" ht="12.75">
      <c r="A69" s="13"/>
      <c r="B69" s="18"/>
      <c r="C69" s="14"/>
      <c r="D69" s="12"/>
      <c r="E69" s="14"/>
    </row>
    <row r="70" spans="1:5" ht="12.75">
      <c r="A70" s="13" t="s">
        <v>217</v>
      </c>
      <c r="B70" s="18"/>
      <c r="C70" s="14"/>
      <c r="D70" s="12"/>
      <c r="E70" s="14"/>
    </row>
    <row r="71" spans="1:5" ht="12.75">
      <c r="A71" s="13" t="s">
        <v>218</v>
      </c>
      <c r="B71" s="18"/>
      <c r="C71" s="12">
        <f>C25-C64</f>
        <v>1814789045.6200018</v>
      </c>
      <c r="D71" s="12">
        <f>D25-D64</f>
        <v>26207620</v>
      </c>
      <c r="E71" s="12">
        <f>E25-E64</f>
        <v>1840996665.6200018</v>
      </c>
    </row>
    <row r="72" spans="1:5" ht="12.75">
      <c r="A72" s="13"/>
      <c r="B72" s="18"/>
      <c r="C72" s="12"/>
      <c r="D72" s="12"/>
      <c r="E72" s="12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29" t="s">
        <v>272</v>
      </c>
    </row>
    <row r="76" spans="1:5" ht="12.75">
      <c r="A76" s="3"/>
      <c r="B76" s="3"/>
      <c r="C76" s="3"/>
      <c r="D76" s="3"/>
      <c r="E76" s="17" t="s">
        <v>182</v>
      </c>
    </row>
  </sheetData>
  <printOptions/>
  <pageMargins left="0.75" right="0.75" top="1" bottom="1" header="0.5" footer="0.5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Jonsson</dc:creator>
  <cp:keywords/>
  <dc:description/>
  <cp:lastModifiedBy>lm</cp:lastModifiedBy>
  <cp:lastPrinted>2006-02-23T21:52:08Z</cp:lastPrinted>
  <dcterms:created xsi:type="dcterms:W3CDTF">1997-02-11T20:35:27Z</dcterms:created>
  <dcterms:modified xsi:type="dcterms:W3CDTF">2006-02-27T15:44:29Z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-1830291832</vt:i4>
  </property>
  <property fmtid="{D5CDD505-2E9C-101B-9397-08002B2CF9AE}" pid="3" name="_NewReviewCycle">
    <vt:lpwstr/>
  </property>
  <property fmtid="{D5CDD505-2E9C-101B-9397-08002B2CF9AE}" pid="4" name="_EmailSubject">
    <vt:lpwstr>PacifiCorp - securities applications</vt:lpwstr>
  </property>
  <property fmtid="{D5CDD505-2E9C-101B-9397-08002B2CF9AE}" pid="5" name="_AuthorEmail">
    <vt:lpwstr>Matthew.Fechner@PacifiCorp.com</vt:lpwstr>
  </property>
  <property fmtid="{D5CDD505-2E9C-101B-9397-08002B2CF9AE}" pid="6" name="_AuthorEmailDisplayName">
    <vt:lpwstr>Fechner, Matthew</vt:lpwstr>
  </property>
  <property fmtid="{D5CDD505-2E9C-101B-9397-08002B2CF9AE}" pid="7" name="_PreviousAdHocReviewCycleID">
    <vt:i4>-721463301</vt:i4>
  </property>
</Properties>
</file>