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330" windowHeight="4755" tabRatio="810" activeTab="0"/>
  </bookViews>
  <sheets>
    <sheet name="TOTAL FUNCFAC" sheetId="1" r:id="rId1"/>
    <sheet name="GENERAL PLANT" sheetId="2" r:id="rId2"/>
    <sheet name="GROSS PLANT" sheetId="3" r:id="rId3"/>
    <sheet name="INTANGIBLE PLANT" sheetId="4" r:id="rId4"/>
    <sheet name="Comm_Eq" sheetId="5" r:id="rId5"/>
    <sheet name="OTHER REVENUE" sheetId="6" r:id="rId6"/>
    <sheet name="BOOKDPR" sheetId="7" r:id="rId7"/>
    <sheet name="SCH M" sheetId="8" r:id="rId8"/>
    <sheet name="TAX DEPR" sheetId="9" r:id="rId9"/>
    <sheet name="DDS" sheetId="10" r:id="rId10"/>
    <sheet name="FORM 1" sheetId="11" r:id="rId11"/>
  </sheets>
  <externalReferences>
    <externalReference r:id="rId14"/>
  </externalReferences>
  <definedNames>
    <definedName name="FactorMethod">'[1]Variables'!$AB$2</definedName>
    <definedName name="FACTORS" localSheetId="2">'GROSS PLANT'!$C$58:$G$64</definedName>
    <definedName name="FACTORS" localSheetId="3">'INTANGIBLE PLANT'!$I$12:$L$17</definedName>
    <definedName name="FACTORS">'GENERAL PLANT'!$C$63:$G$69</definedName>
    <definedName name="PacifiCorp">'INTANGIBLE PLANT'!$A$1:$H$62</definedName>
    <definedName name="page1">'TOTAL FUNCFAC'!$A$7:$J$33</definedName>
    <definedName name="page10">'OTHER REVENUE'!$A$7:$I$50</definedName>
    <definedName name="page11">'OTHER REVENUE'!$A$52:$I$85</definedName>
    <definedName name="page12">'BOOKDPR'!$A$2:$H$28</definedName>
    <definedName name="page13">'SCH M'!$A$7:$I$48</definedName>
    <definedName name="page14">'SCH M'!$A$50:$I$90</definedName>
    <definedName name="page15">'SCH M'!$A$99:$I$135</definedName>
    <definedName name="page16">'SCH M'!$A$136:$I$178</definedName>
    <definedName name="page17">'SCH M'!$A$180:$I$220</definedName>
    <definedName name="page18">'SCH M'!$A$222:$I$273</definedName>
    <definedName name="page19">'SCH M'!$A$274:$I$315</definedName>
    <definedName name="page2">'TOTAL FUNCFAC'!$A$34:$J$63</definedName>
    <definedName name="page20">'TAX DEPR'!$A$1:$G$393</definedName>
    <definedName name="page21">#REF!</definedName>
    <definedName name="page22">#REF!</definedName>
    <definedName name="page23">'DDS'!$A$1:$I$267</definedName>
    <definedName name="page24">'FORM 1'!$A$1:$G$52</definedName>
    <definedName name="page3">'GENERAL PLANT'!$A$1:$I$69</definedName>
    <definedName name="page4">'GROSS PLANT'!$A$1:$I$64</definedName>
    <definedName name="page5">'INTANGIBLE PLANT'!$A$1:$H$62</definedName>
    <definedName name="page6">'Comm_Eq'!$A$1:$O$32</definedName>
    <definedName name="page7">'OTHER REVENUE'!$A$1:$I$84</definedName>
    <definedName name="page8">'BOOKDPR'!$A$1:$H$27</definedName>
    <definedName name="page9">'SCH M'!$A$5:$I$65</definedName>
    <definedName name="_xlnm.Print_Area" localSheetId="6">'BOOKDPR'!$A$1:$H$27</definedName>
    <definedName name="_xlnm.Print_Area" localSheetId="4">'Comm_Eq'!$A$1:$O$32</definedName>
    <definedName name="_xlnm.Print_Area" localSheetId="9">'DDS'!$A$159:$I$267</definedName>
    <definedName name="_xlnm.Print_Area" localSheetId="10">'FORM 1'!$A$36:$G$67</definedName>
    <definedName name="_xlnm.Print_Area" localSheetId="1">'GENERAL PLANT'!$A$1:$I$70</definedName>
    <definedName name="_xlnm.Print_Area" localSheetId="2">'GROSS PLANT'!$A$1:$I$64</definedName>
    <definedName name="_xlnm.Print_Area" localSheetId="3">'INTANGIBLE PLANT'!$A$1:$H$62</definedName>
    <definedName name="_xlnm.Print_Area" localSheetId="5">'OTHER REVENUE'!$A$1:$I$84</definedName>
    <definedName name="_xlnm.Print_Area" localSheetId="7">'SCH M'!$A$66:$I$107</definedName>
    <definedName name="_xlnm.Print_Area" localSheetId="8">'TAX DEPR'!$A$1:$G$72</definedName>
    <definedName name="_xlnm.Print_Titles" localSheetId="9">'DDS'!$1:$6</definedName>
    <definedName name="_xlnm.Print_Titles" localSheetId="10">'FORM 1'!$1:$6</definedName>
    <definedName name="_xlnm.Print_Titles" localSheetId="5">'OTHER REVENUE'!$1:$6</definedName>
    <definedName name="_xlnm.Print_Titles" localSheetId="7">'SCH M'!$1:$6</definedName>
    <definedName name="_xlnm.Print_Titles" localSheetId="0">'TOTAL FUNCFAC'!$1:$6</definedName>
    <definedName name="Z_20A63875_964B_11D5_AAED_0004762A99E9_.wvu.PrintArea" localSheetId="4" hidden="1">'Comm_Eq'!$A$1:$N$32</definedName>
    <definedName name="Z_20A63875_964B_11D5_AAED_0004762A99E9_.wvu.PrintArea" localSheetId="9" hidden="1">'DDS'!$A$7:$I$267</definedName>
    <definedName name="Z_20A63875_964B_11D5_AAED_0004762A99E9_.wvu.PrintArea" localSheetId="5" hidden="1">'OTHER REVENUE'!$A$7:$I$85</definedName>
    <definedName name="Z_20A63875_964B_11D5_AAED_0004762A99E9_.wvu.PrintArea" localSheetId="7" hidden="1">'SCH M'!$A$7:$I$315</definedName>
    <definedName name="Z_20A63875_964B_11D5_AAED_0004762A99E9_.wvu.PrintArea" localSheetId="0" hidden="1">'TOTAL FUNCFAC'!$A$7:$J$63</definedName>
    <definedName name="Z_20A63875_964B_11D5_AAED_0004762A99E9_.wvu.PrintTitles" localSheetId="9" hidden="1">'DDS'!$1:$6</definedName>
    <definedName name="Z_20A63875_964B_11D5_AAED_0004762A99E9_.wvu.PrintTitles" localSheetId="5" hidden="1">'OTHER REVENUE'!$1:$6</definedName>
    <definedName name="Z_20A63875_964B_11D5_AAED_0004762A99E9_.wvu.PrintTitles" localSheetId="7" hidden="1">'SCH M'!$1:$6</definedName>
    <definedName name="Z_20A63875_964B_11D5_AAED_0004762A99E9_.wvu.PrintTitles" localSheetId="0" hidden="1">'TOTAL FUNCFAC'!$1:$6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Daniel B Balleza</author>
  </authors>
  <commentList>
    <comment ref="I37" authorId="0">
      <text>
        <r>
          <rPr>
            <b/>
            <sz val="8"/>
            <rFont val="Tahoma"/>
            <family val="0"/>
          </rPr>
          <t>Daniel B Balleza:</t>
        </r>
        <r>
          <rPr>
            <sz val="8"/>
            <rFont val="Tahoma"/>
            <family val="0"/>
          </rPr>
          <t xml:space="preserve">
DSM's True ups;Est Def Amortizations
</t>
        </r>
      </text>
    </comment>
  </commentList>
</comments>
</file>

<file path=xl/comments8.xml><?xml version="1.0" encoding="utf-8"?>
<comments xmlns="http://schemas.openxmlformats.org/spreadsheetml/2006/main">
  <authors>
    <author>Craig Paice</author>
  </authors>
  <commentList>
    <comment ref="C104" authorId="0">
      <text>
        <r>
          <rPr>
            <b/>
            <sz val="8"/>
            <rFont val="Tahoma"/>
            <family val="0"/>
          </rPr>
          <t>Craig Paice:</t>
        </r>
        <r>
          <rPr>
            <sz val="8"/>
            <rFont val="Tahoma"/>
            <family val="0"/>
          </rPr>
          <t xml:space="preserve">
Allocation factor changed from "DMSC" to "PTD" per Susan Morton - 2/26/07.</t>
        </r>
      </text>
    </comment>
  </commentList>
</comments>
</file>

<file path=xl/sharedStrings.xml><?xml version="1.0" encoding="utf-8"?>
<sst xmlns="http://schemas.openxmlformats.org/spreadsheetml/2006/main" count="2064" uniqueCount="410">
  <si>
    <t>Schedule M Deductions - Permanent</t>
  </si>
  <si>
    <t>Schedule M Deductions - Temporary</t>
  </si>
  <si>
    <t>Transmission / Distribution</t>
  </si>
  <si>
    <t>WSF</t>
  </si>
  <si>
    <t>Wholesale Sales Firm</t>
  </si>
  <si>
    <t>182M</t>
  </si>
  <si>
    <t>186M</t>
  </si>
  <si>
    <t>PITA</t>
  </si>
  <si>
    <t>TROJP</t>
  </si>
  <si>
    <t>SNP</t>
  </si>
  <si>
    <t>SCHMAP-SO FACTOR</t>
  </si>
  <si>
    <t>BADDEBT</t>
  </si>
  <si>
    <t>GPS</t>
  </si>
  <si>
    <t>SCHMDEXP</t>
  </si>
  <si>
    <t>SNPD</t>
  </si>
  <si>
    <t>IDU</t>
  </si>
  <si>
    <t>TAXDEPRMA</t>
  </si>
  <si>
    <t>SITUS</t>
  </si>
  <si>
    <t>SCHMAT-GPS FACTOR</t>
  </si>
  <si>
    <t>SCHMAT-SE FACTOR</t>
  </si>
  <si>
    <t>SCHMAT-SNP FACTOR</t>
  </si>
  <si>
    <t>SCHMAT-SITUS FACTOR</t>
  </si>
  <si>
    <t>SCHMDP-SO FACTOR</t>
  </si>
  <si>
    <t>SCHMDT-GPS FACTOR</t>
  </si>
  <si>
    <t>SCHMDT-SG FACTOR</t>
  </si>
  <si>
    <t>SCHMDT-SNP FACTOR</t>
  </si>
  <si>
    <t>SCHMDT-SO FACTOR</t>
  </si>
  <si>
    <t>G-DGP Factor</t>
  </si>
  <si>
    <t>G-DGU Factor</t>
  </si>
  <si>
    <t>G-SG Factor</t>
  </si>
  <si>
    <t>G-Situs Factor</t>
  </si>
  <si>
    <t>G-SITUS</t>
  </si>
  <si>
    <t>General Plant - SITUS Factor</t>
  </si>
  <si>
    <t>I-DGP FACTOR</t>
  </si>
  <si>
    <t>I-DGU FACTOR</t>
  </si>
  <si>
    <t>I-SG FACTOR</t>
  </si>
  <si>
    <t>I-Situs FACTOR</t>
  </si>
  <si>
    <t>I-SITUS</t>
  </si>
  <si>
    <t>Intangible Plant - SITUS Factor</t>
  </si>
  <si>
    <t>SCHMAP-SO</t>
  </si>
  <si>
    <t>Schedule M Additions - Permanent-SO</t>
  </si>
  <si>
    <t>SCHMAT-GPS</t>
  </si>
  <si>
    <t>Schedule M Additions - Temporary-GPS</t>
  </si>
  <si>
    <t>SCHMAT-SE</t>
  </si>
  <si>
    <t>Schedule M Additions - Temporary-SE</t>
  </si>
  <si>
    <t>SCHMAT-SNP</t>
  </si>
  <si>
    <t>Schedule M Additions - Temporary-SNP</t>
  </si>
  <si>
    <t>SCHMAT-SO FACTOR</t>
  </si>
  <si>
    <t>SCHMAT-SO</t>
  </si>
  <si>
    <t>Schedule M Additions - Temporary-SO</t>
  </si>
  <si>
    <t>SCHMAT-SITUS</t>
  </si>
  <si>
    <t>Schedule M Additions - Temporary-SITUS</t>
  </si>
  <si>
    <t>SCHMDP-SO</t>
  </si>
  <si>
    <t>Schedule M Deductions - Permanent- SO</t>
  </si>
  <si>
    <t>SCHMDT-GPS</t>
  </si>
  <si>
    <t>Schedule M Deductions - Temporary-GPS</t>
  </si>
  <si>
    <t>SCHMDT-SG</t>
  </si>
  <si>
    <t>Schedule M Deductions - Temporary-SG</t>
  </si>
  <si>
    <t>SCHMDT-SNP</t>
  </si>
  <si>
    <t>Schedule M Deductions - Temporary-SNP</t>
  </si>
  <si>
    <t>SCHMDT-SO</t>
  </si>
  <si>
    <t>Schedule M Deductions - Temporary-SO</t>
  </si>
  <si>
    <t>SCHMDT-SITUS</t>
  </si>
  <si>
    <t>Schedule M Deductions - Temporary-SITUS</t>
  </si>
  <si>
    <t>Major Adjustment</t>
  </si>
  <si>
    <t>1998 Early Retirement</t>
  </si>
  <si>
    <t>1999 Early Retirement</t>
  </si>
  <si>
    <t>Transition Planning</t>
  </si>
  <si>
    <t>Environmental Clean-up</t>
  </si>
  <si>
    <t>Y2K</t>
  </si>
  <si>
    <t>Subtotal Major Adjustments</t>
  </si>
  <si>
    <t>Total 186M SO</t>
  </si>
  <si>
    <t>OTHSITUS</t>
  </si>
  <si>
    <t>Other Revenues - SITUS</t>
  </si>
  <si>
    <t>Wholesale Sales</t>
  </si>
  <si>
    <t>WSF %</t>
  </si>
  <si>
    <t>for Wholesale Sales of Electricity</t>
  </si>
  <si>
    <t xml:space="preserve">    Accum.dep.</t>
  </si>
  <si>
    <t>SCHMDT-SNPD FACTOR</t>
  </si>
  <si>
    <t>Total 186M</t>
  </si>
  <si>
    <t>UT Factor</t>
  </si>
  <si>
    <t>SCHMAF FACTOR</t>
  </si>
  <si>
    <t xml:space="preserve">     Acq.value</t>
  </si>
  <si>
    <t>Total CN Revenues</t>
  </si>
  <si>
    <t>COM_EQ</t>
  </si>
  <si>
    <t>Communication Equipment Acct 397</t>
  </si>
  <si>
    <t>Class</t>
  </si>
  <si>
    <t>Acq.value</t>
  </si>
  <si>
    <t>Accum.dep.</t>
  </si>
  <si>
    <t>Net Book Val</t>
  </si>
  <si>
    <t>P%</t>
  </si>
  <si>
    <t>T%</t>
  </si>
  <si>
    <t>Transm</t>
  </si>
  <si>
    <t>D%</t>
  </si>
  <si>
    <t>CS%</t>
  </si>
  <si>
    <t>Cust Svc</t>
  </si>
  <si>
    <t>Communications Equipment</t>
  </si>
  <si>
    <t>Older - much transmission construction -Includes hand written entries - very old</t>
  </si>
  <si>
    <t>Mass Property Communications  -Items never tracked - teles &amp; port radios, plus non-unitized projects</t>
  </si>
  <si>
    <t>Includes portable radios, telephones, &amp; noon-unitized like Biz Center, MW, Mobile Radio</t>
  </si>
  <si>
    <t>Alarm Systems</t>
  </si>
  <si>
    <t>Alarms for MW system - MW %</t>
  </si>
  <si>
    <t>Baseband Equipment</t>
  </si>
  <si>
    <t>MW system - MW %</t>
  </si>
  <si>
    <t>Communication Equipment-Dist Automation</t>
  </si>
  <si>
    <t>Distribution Automation</t>
  </si>
  <si>
    <t>Base Station</t>
  </si>
  <si>
    <t>Dist Radio System</t>
  </si>
  <si>
    <t>Data Network Equipment</t>
  </si>
  <si>
    <t>Field Off Data net Eq</t>
  </si>
  <si>
    <t>Fiber Optics</t>
  </si>
  <si>
    <t>Much fiber on Hydro Projects</t>
  </si>
  <si>
    <t>Load Management Equipment</t>
  </si>
  <si>
    <t>Dist Only</t>
  </si>
  <si>
    <t>Microwave Equipment</t>
  </si>
  <si>
    <t>MW installed for TX Line Protection/Control + Dist Traffic</t>
  </si>
  <si>
    <t>Dist Traffic on MW</t>
  </si>
  <si>
    <t>Multiplex Equip</t>
  </si>
  <si>
    <t>Power Line Carrier</t>
  </si>
  <si>
    <t>TX Line Protection</t>
  </si>
  <si>
    <t>Power System Equipment</t>
  </si>
  <si>
    <t>Tx LineTone Protection</t>
  </si>
  <si>
    <t>Telemetry/Protective Relaying</t>
  </si>
  <si>
    <t>Telephone Equipment "Pbx Related"</t>
  </si>
  <si>
    <t>PBX for all - field office, plant</t>
  </si>
  <si>
    <t>Telephone Line Equipment</t>
  </si>
  <si>
    <t>PBX Line Eq for all</t>
  </si>
  <si>
    <t>Structures - Telephone Lines</t>
  </si>
  <si>
    <t>Cable Installations - fiber, copper, coax - plants</t>
  </si>
  <si>
    <t>Mobile Radio Equipment</t>
  </si>
  <si>
    <t xml:space="preserve"> </t>
  </si>
  <si>
    <t>Satellite Equipment</t>
  </si>
  <si>
    <t>Satellite term and clock source for Y2K plants &amp; protections SER</t>
  </si>
  <si>
    <t>*</t>
  </si>
  <si>
    <t>General Assets - In Service</t>
  </si>
  <si>
    <t>Com_Eq Factor</t>
  </si>
  <si>
    <t>Production</t>
  </si>
  <si>
    <t>Transmission</t>
  </si>
  <si>
    <t>Distribution</t>
  </si>
  <si>
    <t>General</t>
  </si>
  <si>
    <t>P</t>
  </si>
  <si>
    <t>T</t>
  </si>
  <si>
    <t>DPW</t>
  </si>
  <si>
    <t>G</t>
  </si>
  <si>
    <t>Total</t>
  </si>
  <si>
    <t>CUST</t>
  </si>
  <si>
    <t>DMSC</t>
  </si>
  <si>
    <t>Account 456</t>
  </si>
  <si>
    <t>Main</t>
  </si>
  <si>
    <t>Primary</t>
  </si>
  <si>
    <t>Account</t>
  </si>
  <si>
    <t>Factor</t>
  </si>
  <si>
    <t>Function</t>
  </si>
  <si>
    <t>Amount</t>
  </si>
  <si>
    <t>456</t>
  </si>
  <si>
    <t>CA</t>
  </si>
  <si>
    <t>MT</t>
  </si>
  <si>
    <t>OR</t>
  </si>
  <si>
    <t>UT</t>
  </si>
  <si>
    <t>WA</t>
  </si>
  <si>
    <t>WYP</t>
  </si>
  <si>
    <t>Total Situs Revenues</t>
  </si>
  <si>
    <t>CN</t>
  </si>
  <si>
    <t>SE</t>
  </si>
  <si>
    <t>Total SE Revenues</t>
  </si>
  <si>
    <t>SG</t>
  </si>
  <si>
    <t>Total SG Revenues</t>
  </si>
  <si>
    <t>SO</t>
  </si>
  <si>
    <t>Total Gen. Plant</t>
  </si>
  <si>
    <t>From SAP Asset Balance  variant Commnunication</t>
  </si>
  <si>
    <t>PTD</t>
  </si>
  <si>
    <t>Total SO Revenues</t>
  </si>
  <si>
    <t>Total Other Revenues</t>
  </si>
  <si>
    <t>Book Depreciation</t>
  </si>
  <si>
    <t>Description</t>
  </si>
  <si>
    <t>TD</t>
  </si>
  <si>
    <t>Pri-Acct</t>
  </si>
  <si>
    <t>SGCT</t>
  </si>
  <si>
    <t>ESD</t>
  </si>
  <si>
    <t>Total 182 SO</t>
  </si>
  <si>
    <t>DDSO2 FACTOR</t>
  </si>
  <si>
    <t>LABOR</t>
  </si>
  <si>
    <t>WYU</t>
  </si>
  <si>
    <t>DDS2 FACTOR</t>
  </si>
  <si>
    <t>DGP</t>
  </si>
  <si>
    <t>DGU</t>
  </si>
  <si>
    <t>EXCTAX</t>
  </si>
  <si>
    <t>DDS6 FACTOR</t>
  </si>
  <si>
    <t>DEFSG FACTOR</t>
  </si>
  <si>
    <t>SNPPS</t>
  </si>
  <si>
    <t>DEFSO6 FACTOR</t>
  </si>
  <si>
    <t>Poles &amp; Wires</t>
  </si>
  <si>
    <t>Customers</t>
  </si>
  <si>
    <t>Miscellaneous</t>
  </si>
  <si>
    <t>GP</t>
  </si>
  <si>
    <t>TAXDEPR</t>
  </si>
  <si>
    <t>PacifiCorp</t>
  </si>
  <si>
    <t>CUSTOMER</t>
  </si>
  <si>
    <t>LABOR %</t>
  </si>
  <si>
    <t>Material &amp; Supplies</t>
  </si>
  <si>
    <t>Material &amp; Supplies %</t>
  </si>
  <si>
    <t>FERC</t>
  </si>
  <si>
    <t>FERC %</t>
  </si>
  <si>
    <t>Alloc.</t>
  </si>
  <si>
    <t>Funct.</t>
  </si>
  <si>
    <t>Transmisssion</t>
  </si>
  <si>
    <t>DMISC</t>
  </si>
  <si>
    <t>Business Centers</t>
  </si>
  <si>
    <t>Pre-Merger Production</t>
  </si>
  <si>
    <t>Pre-Merger Transmission</t>
  </si>
  <si>
    <t>Post-Merger Production</t>
  </si>
  <si>
    <t>Post-Merger Transmission</t>
  </si>
  <si>
    <t>Utah Mine</t>
  </si>
  <si>
    <t>General Plant</t>
  </si>
  <si>
    <t>Situs</t>
  </si>
  <si>
    <t>SO Factor</t>
  </si>
  <si>
    <t>Total General Plant</t>
  </si>
  <si>
    <t>G Allocator</t>
  </si>
  <si>
    <t>Functional Allocators:</t>
  </si>
  <si>
    <t>Prod</t>
  </si>
  <si>
    <t>Trans</t>
  </si>
  <si>
    <t>Production Plant</t>
  </si>
  <si>
    <t>Transmission Plant</t>
  </si>
  <si>
    <t>Distribution Plant</t>
  </si>
  <si>
    <t>Mining</t>
  </si>
  <si>
    <t>Intangible Plant</t>
  </si>
  <si>
    <t>Customer Service Sys</t>
  </si>
  <si>
    <t>Washington Hydro</t>
  </si>
  <si>
    <t>Washington Trans</t>
  </si>
  <si>
    <t>Utah Hydro</t>
  </si>
  <si>
    <t>Colorado Steam-UPD</t>
  </si>
  <si>
    <t>Oregon Trans</t>
  </si>
  <si>
    <t>Utah</t>
  </si>
  <si>
    <t>Idaho-UPD</t>
  </si>
  <si>
    <t>Utah G/O</t>
  </si>
  <si>
    <t>Total Intangible Plant</t>
  </si>
  <si>
    <t>Total Gross Plant</t>
  </si>
  <si>
    <t>GP Factor</t>
  </si>
  <si>
    <t>Customer</t>
  </si>
  <si>
    <t>I Factor</t>
  </si>
  <si>
    <t>SCHMAP</t>
  </si>
  <si>
    <t>Total SCHMAP</t>
  </si>
  <si>
    <t>SCHMAP FACTOR</t>
  </si>
  <si>
    <t>SCHMAT</t>
  </si>
  <si>
    <t>CIAC</t>
  </si>
  <si>
    <t>Total SCHMAT</t>
  </si>
  <si>
    <t>SCHMAT FACTOR</t>
  </si>
  <si>
    <t>SCHMAF</t>
  </si>
  <si>
    <t>Total SCHM Additions</t>
  </si>
  <si>
    <t>SCHMA FACTOR</t>
  </si>
  <si>
    <t>SCHMDP</t>
  </si>
  <si>
    <t>Total SCHMDP</t>
  </si>
  <si>
    <t>SCHMDP FACTOR</t>
  </si>
  <si>
    <t>SCHMDT</t>
  </si>
  <si>
    <t>Total SCHMDT</t>
  </si>
  <si>
    <t>SCHMDT FACTOR</t>
  </si>
  <si>
    <t>SCHMDF</t>
  </si>
  <si>
    <t>SCHMDF FACTOR</t>
  </si>
  <si>
    <t>Total SCHM Deductions</t>
  </si>
  <si>
    <t>SCHMD FACTOR</t>
  </si>
  <si>
    <t>TAXDEPR Factor</t>
  </si>
  <si>
    <t>FERC FORM 1 Funtionalization Factors</t>
  </si>
  <si>
    <t>PLANT</t>
  </si>
  <si>
    <t>UNCLASSIFIED PLANT</t>
  </si>
  <si>
    <t>TOTAL PLANT</t>
  </si>
  <si>
    <t>PLANT %</t>
  </si>
  <si>
    <t>PT</t>
  </si>
  <si>
    <t>BOOKDEPR</t>
  </si>
  <si>
    <t>Distribution Retail</t>
  </si>
  <si>
    <t>DDS2</t>
  </si>
  <si>
    <t>Deferred Debits - Situs</t>
  </si>
  <si>
    <t>DDS6</t>
  </si>
  <si>
    <t>DDSO2</t>
  </si>
  <si>
    <t>Deferred Debits - System Overhead</t>
  </si>
  <si>
    <t>DDSO6</t>
  </si>
  <si>
    <t>DEFSG</t>
  </si>
  <si>
    <t>Deferred Debit - System Generation</t>
  </si>
  <si>
    <t>Distribution Miscellaneous</t>
  </si>
  <si>
    <t>Distribution Poles &amp; Wires</t>
  </si>
  <si>
    <t>Environmental Services Department</t>
  </si>
  <si>
    <t>FERC Fees</t>
  </si>
  <si>
    <t>Total Plant</t>
  </si>
  <si>
    <t>G-SG</t>
  </si>
  <si>
    <t>General Plant - SG Factor</t>
  </si>
  <si>
    <t>I</t>
  </si>
  <si>
    <t>I-DGP</t>
  </si>
  <si>
    <t>Intangible Plant - DGP Factor</t>
  </si>
  <si>
    <t>I-DGU</t>
  </si>
  <si>
    <t>Intangible Plant - DGU Factor</t>
  </si>
  <si>
    <t>I-SG</t>
  </si>
  <si>
    <t>Intangible Plant - SG Factor</t>
  </si>
  <si>
    <t>Direct Labor Expense</t>
  </si>
  <si>
    <t>MSS</t>
  </si>
  <si>
    <t>Materials &amp; Supplies</t>
  </si>
  <si>
    <t>NONE</t>
  </si>
  <si>
    <t>Not Functionalized</t>
  </si>
  <si>
    <t>NUTIL</t>
  </si>
  <si>
    <t>Non-Utility</t>
  </si>
  <si>
    <t>OTHDGP</t>
  </si>
  <si>
    <t>Other Revenues - DGP Factor</t>
  </si>
  <si>
    <t>OTHDGU</t>
  </si>
  <si>
    <t>Other Revenues - DGU Factor</t>
  </si>
  <si>
    <t>OTHSE</t>
  </si>
  <si>
    <t>Other Revenues - SE Factor</t>
  </si>
  <si>
    <t>OTHSG</t>
  </si>
  <si>
    <t>Other Revenues - SG Factor</t>
  </si>
  <si>
    <t>OTHSGR</t>
  </si>
  <si>
    <t>Other Revenues - Rolled-In SG Factor</t>
  </si>
  <si>
    <t>OTHSO</t>
  </si>
  <si>
    <t>Other Revenues - SO Factor</t>
  </si>
  <si>
    <t>SCHMA</t>
  </si>
  <si>
    <t>Schedule M Additions</t>
  </si>
  <si>
    <t>Schedule M Additions - Flow Through</t>
  </si>
  <si>
    <t>Schedule M Additions - Permanent</t>
  </si>
  <si>
    <t>Schedule M Additions - Temporary</t>
  </si>
  <si>
    <t>SCHMD</t>
  </si>
  <si>
    <t>Schedule M Deductions</t>
  </si>
  <si>
    <t>Schedule M Deductions - Flow Through</t>
  </si>
  <si>
    <t>T - NONUTILITY</t>
  </si>
  <si>
    <t>OTHER</t>
  </si>
  <si>
    <t>Total SCHMAF</t>
  </si>
  <si>
    <t>SCHMDT-SITUS FACTOR</t>
  </si>
  <si>
    <t>Communication Equipment Account 397</t>
  </si>
  <si>
    <t xml:space="preserve">      Book val</t>
  </si>
  <si>
    <t>Communications Equip</t>
  </si>
  <si>
    <t>Mass Property Commun</t>
  </si>
  <si>
    <t>Communication Equipm</t>
  </si>
  <si>
    <t>Data Network Equipme</t>
  </si>
  <si>
    <t>Load Management Equi</t>
  </si>
  <si>
    <t>Power System Equipme</t>
  </si>
  <si>
    <t>Telemetry/Protective</t>
  </si>
  <si>
    <t>Telephone Equipment</t>
  </si>
  <si>
    <t>Telephone Line Equip</t>
  </si>
  <si>
    <t>Struct - Phone Lines</t>
  </si>
  <si>
    <t>Mobile Radio Equipme</t>
  </si>
  <si>
    <t>Account 498330</t>
  </si>
  <si>
    <t>Account 498340</t>
  </si>
  <si>
    <t xml:space="preserve">TAXDEPR </t>
  </si>
  <si>
    <t>Gross Plant</t>
  </si>
  <si>
    <t>00039700</t>
  </si>
  <si>
    <t>00039702</t>
  </si>
  <si>
    <t>00039705</t>
  </si>
  <si>
    <t>00039708</t>
  </si>
  <si>
    <t>00039710</t>
  </si>
  <si>
    <t>00039711</t>
  </si>
  <si>
    <t>00039714</t>
  </si>
  <si>
    <t>00039717</t>
  </si>
  <si>
    <t>00039720</t>
  </si>
  <si>
    <t>00039723</t>
  </si>
  <si>
    <t>00039726</t>
  </si>
  <si>
    <t>00039729</t>
  </si>
  <si>
    <t>00039732</t>
  </si>
  <si>
    <t>00039735</t>
  </si>
  <si>
    <t>00039738</t>
  </si>
  <si>
    <t>00039741</t>
  </si>
  <si>
    <t>00039744</t>
  </si>
  <si>
    <t>00039747</t>
  </si>
  <si>
    <t>00039750</t>
  </si>
  <si>
    <t>00039753</t>
  </si>
  <si>
    <t>Struct and Found</t>
  </si>
  <si>
    <t>00039758</t>
  </si>
  <si>
    <t>Pre-Merger Distribution</t>
  </si>
  <si>
    <t xml:space="preserve">Tax Depreciation </t>
  </si>
  <si>
    <t>Schedule M</t>
  </si>
  <si>
    <t>FERC (mWh)</t>
  </si>
  <si>
    <t>DEDUCTIONS</t>
  </si>
  <si>
    <t>ADDITIONS</t>
  </si>
  <si>
    <t>Deferred Debits / Reg Assets</t>
  </si>
  <si>
    <t>Depreciation Expense</t>
  </si>
  <si>
    <t>TROJD</t>
  </si>
  <si>
    <t>(In 000's)</t>
  </si>
  <si>
    <t>Tax Depreciation</t>
  </si>
  <si>
    <t>PPL</t>
  </si>
  <si>
    <t>ID</t>
  </si>
  <si>
    <t>Total PPL</t>
  </si>
  <si>
    <t>UPL</t>
  </si>
  <si>
    <t>Total UPL</t>
  </si>
  <si>
    <t>Total PacifiCorp</t>
  </si>
  <si>
    <t>PacifiCorp 2006 and After</t>
  </si>
  <si>
    <t>Total PacifiCorp 2006 and After</t>
  </si>
  <si>
    <t>Grand Total</t>
  </si>
  <si>
    <t>12 Months Ended December 2007</t>
  </si>
  <si>
    <t>Factors</t>
  </si>
  <si>
    <t>Jan 2007 - Dec 2007 PacifiCorp Transmission Charges to PacifiCorp Merchant</t>
  </si>
  <si>
    <t>PACIFICORP</t>
  </si>
  <si>
    <t>Functional Factors</t>
  </si>
  <si>
    <t>Book Dep Factor</t>
  </si>
  <si>
    <t>Source: Ferc Form 1 (Dec 2007) - pg. 354</t>
  </si>
  <si>
    <t>SCHM Total</t>
  </si>
  <si>
    <t>Omit - not equipment related</t>
  </si>
  <si>
    <t>Percent of GenPlant in Functions</t>
  </si>
  <si>
    <t>Allocation of GenPlant to Functions</t>
  </si>
  <si>
    <t>Assignment of Mining to Prod Function</t>
  </si>
  <si>
    <t>Adjusted Totals</t>
  </si>
  <si>
    <t>TAXDEPR FACTOR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</si>
  <si>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</si>
  <si>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</si>
  <si>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</si>
  <si>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</si>
  <si>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</si>
  <si>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</si>
  <si>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</si>
  <si>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</si>
  <si>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</si>
  <si>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</si>
  <si>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</si>
  <si>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</si>
  <si>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FERC reporting requirment No. 582</t>
  </si>
  <si>
    <t xml:space="preserve">Source: Ferc Form 1 (Dec 2007) - pg. 227 </t>
  </si>
  <si>
    <t>Source: Results of Operations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</si>
</sst>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%"/>
    <numFmt numFmtId="167" formatCode="0.000%"/>
    <numFmt numFmtId="168" formatCode="_(* #,##0.0_);_(* \(#,##0.0\);_(* &quot;-&quot;??_);_(@_)"/>
    <numFmt numFmtId="169" formatCode="0.00000%"/>
    <numFmt numFmtId="170" formatCode="0.0"/>
    <numFmt numFmtId="171" formatCode="0.000000%"/>
    <numFmt numFmtId="172" formatCode="&quot;$&quot;#,##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_);_(* \(#,##0.000000\);_(* &quot;-&quot;??????_);_(@_)"/>
    <numFmt numFmtId="179" formatCode="_(* #0.0%_);_(* \(#0.0%\);_(* &quot;-&quot;??_);_(@_)"/>
    <numFmt numFmtId="180" formatCode="_(* #0.00%_);_(* \(#0.00%\);_(* &quot;-&quot;??_);_(@_)"/>
    <numFmt numFmtId="181" formatCode="_(* #0.000%_);_(* \(#0.000%\);_(* &quot;-&quot;??_);_(@_)"/>
    <numFmt numFmtId="182" formatCode="_(* #0.0000%_);_(* \(#0.0000%\);_(* &quot;-&quot;??_);_(@_)"/>
    <numFmt numFmtId="183" formatCode="0.0000"/>
    <numFmt numFmtId="184" formatCode="0.000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_(* #,##0.0000_);_(* \(#,##0.0000\);_(* &quot;-&quot;????_);_(@_)"/>
    <numFmt numFmtId="196" formatCode="_(* #,##0.00000000_);_(* \(#,##0.00000000\);_(* &quot;-&quot;????????_);_(@_)"/>
    <numFmt numFmtId="197" formatCode="mm/dd/yy"/>
    <numFmt numFmtId="198" formatCode="_(* #,##0.00000000_);_(* \(#,##0.00000000\);_(* &quot;-&quot;??_);_(@_)"/>
    <numFmt numFmtId="199" formatCode="_(* #0%_);_(* \(#0%\);_(* &quot;-&quot;??_);_(@_)"/>
    <numFmt numFmtId="200" formatCode="&quot;$&quot;#,##0.00"/>
    <numFmt numFmtId="201" formatCode="_(* #,##0.000_);_(* \(#,##0.000\);_(* &quot;-&quot;???_);_(@_)"/>
    <numFmt numFmtId="202" formatCode="mmmm\ d\,\ yyyy"/>
    <numFmt numFmtId="203" formatCode="_(&quot;$&quot;* #,##0.00_);_(&quot;$&quot;* \(#,##0.00\);_(&quot;$&quot;* &quot;-&quot;?_);_(@_)"/>
    <numFmt numFmtId="204" formatCode="_(&quot;$&quot;* #,##0.000_);_(&quot;$&quot;* \(#,##0.000\);_(&quot;$&quot;* &quot;-&quot;?_);_(@_)"/>
    <numFmt numFmtId="205" formatCode="_(&quot;$&quot;* #,##0.0000_);_(&quot;$&quot;* \(#,##0.0000\);_(&quot;$&quot;* &quot;-&quot;?_);_(@_)"/>
    <numFmt numFmtId="206" formatCode="_(&quot;$&quot;* #,##0.0_);_(&quot;$&quot;* \(#,##0.0\);_(&quot;$&quot;* &quot;-&quot;?_);_(@_)"/>
    <numFmt numFmtId="207" formatCode="_(&quot;$&quot;* #,##0_);_(&quot;$&quot;* \(#,##0\);_(&quot;$&quot;* &quot;-&quot;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(* #,##0.0_);_(* \(#,##0.0\);_(* &quot;-&quot;?_);_(@_)"/>
    <numFmt numFmtId="212" formatCode="00000"/>
    <numFmt numFmtId="213" formatCode="#,##0.00000_);\(#,##0.00000\)"/>
    <numFmt numFmtId="214" formatCode="#,##0.000000000"/>
    <numFmt numFmtId="215" formatCode="#,##0.000_);\(#,##0.000\)"/>
    <numFmt numFmtId="216" formatCode="#,##0.0_);\(#,##0.0\)"/>
    <numFmt numFmtId="217" formatCode="[$$-409]#,##0.00_);\([$$-409]#,##0.00\)"/>
    <numFmt numFmtId="218" formatCode="[$$-409]#,##0.0_);\([$$-409]#,##0.0\)"/>
    <numFmt numFmtId="219" formatCode="[$$-409]#,##0_);\([$$-409]#,##0\)"/>
    <numFmt numFmtId="220" formatCode="#,##0.0"/>
    <numFmt numFmtId="221" formatCode="mmm\-yyyy"/>
  </numFmts>
  <fonts count="16">
    <font>
      <sz val="10"/>
      <name val="Arial"/>
      <family val="0"/>
    </font>
    <font>
      <sz val="12"/>
      <name val="Arial MT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MT"/>
      <family val="0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9.95"/>
      <color indexed="8"/>
      <name val=" New Roman     "/>
      <family val="0"/>
    </font>
    <font>
      <sz val="14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23" applyFont="1" applyFill="1" applyAlignment="1" applyProtection="1">
      <alignment horizontal="left"/>
      <protection/>
    </xf>
    <xf numFmtId="0" fontId="2" fillId="0" borderId="0" xfId="22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5" fontId="2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Font="1" applyFill="1" applyBorder="1" applyAlignment="1">
      <alignment vertical="center"/>
    </xf>
    <xf numFmtId="43" fontId="2" fillId="0" borderId="0" xfId="15" applyFont="1" applyFill="1" applyBorder="1" applyAlignment="1">
      <alignment vertical="center"/>
    </xf>
    <xf numFmtId="43" fontId="2" fillId="0" borderId="0" xfId="15" applyFont="1" applyFill="1" applyAlignment="1">
      <alignment vertical="center"/>
    </xf>
    <xf numFmtId="165" fontId="2" fillId="0" borderId="0" xfId="15" applyNumberFormat="1" applyFont="1" applyFill="1" applyBorder="1" applyAlignment="1">
      <alignment vertical="center"/>
    </xf>
    <xf numFmtId="165" fontId="2" fillId="0" borderId="0" xfId="15" applyNumberFormat="1" applyFont="1" applyFill="1" applyAlignment="1">
      <alignment vertical="center"/>
    </xf>
    <xf numFmtId="165" fontId="2" fillId="0" borderId="1" xfId="15" applyNumberFormat="1" applyFont="1" applyFill="1" applyAlignment="1">
      <alignment vertical="center"/>
    </xf>
    <xf numFmtId="37" fontId="2" fillId="0" borderId="2" xfId="24" applyNumberFormat="1" applyFont="1" applyFill="1" applyBorder="1" applyProtection="1">
      <alignment/>
      <protection/>
    </xf>
    <xf numFmtId="165" fontId="7" fillId="0" borderId="0" xfId="15" applyNumberFormat="1" applyFont="1" applyFill="1" applyBorder="1" applyAlignment="1" applyProtection="1">
      <alignment horizontal="center"/>
      <protection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/>
    </xf>
    <xf numFmtId="38" fontId="2" fillId="0" borderId="3" xfId="15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 vertical="center"/>
    </xf>
    <xf numFmtId="165" fontId="2" fillId="0" borderId="4" xfId="15" applyNumberFormat="1" applyFont="1" applyFill="1" applyBorder="1" applyAlignment="1">
      <alignment vertical="center"/>
    </xf>
    <xf numFmtId="43" fontId="2" fillId="0" borderId="1" xfId="15" applyFont="1" applyFill="1" applyAlignment="1">
      <alignment vertical="center"/>
    </xf>
    <xf numFmtId="165" fontId="2" fillId="0" borderId="0" xfId="15" applyNumberFormat="1" applyFont="1" applyFill="1" applyAlignment="1">
      <alignment/>
    </xf>
    <xf numFmtId="38" fontId="2" fillId="0" borderId="0" xfId="15" applyNumberFormat="1" applyFont="1" applyFill="1" applyAlignment="1">
      <alignment/>
    </xf>
    <xf numFmtId="38" fontId="2" fillId="0" borderId="1" xfId="15" applyNumberFormat="1" applyFont="1" applyFill="1" applyAlignment="1">
      <alignment vertical="center"/>
    </xf>
    <xf numFmtId="165" fontId="2" fillId="0" borderId="0" xfId="15" applyNumberFormat="1" applyFont="1" applyFill="1" applyAlignment="1" applyProtection="1">
      <alignment/>
      <protection/>
    </xf>
    <xf numFmtId="165" fontId="2" fillId="0" borderId="2" xfId="15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5" fontId="2" fillId="0" borderId="3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2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6" xfId="0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4" fontId="2" fillId="0" borderId="6" xfId="25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2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5" fontId="2" fillId="0" borderId="8" xfId="21" applyNumberFormat="1" applyFont="1" applyFill="1" applyBorder="1">
      <alignment/>
      <protection/>
    </xf>
    <xf numFmtId="2" fontId="2" fillId="0" borderId="8" xfId="21" applyNumberFormat="1" applyFont="1" applyFill="1" applyBorder="1" applyAlignment="1">
      <alignment horizontal="center"/>
      <protection/>
    </xf>
    <xf numFmtId="165" fontId="2" fillId="0" borderId="8" xfId="21" applyNumberFormat="1" applyFont="1" applyFill="1" applyBorder="1" applyAlignment="1">
      <alignment horizontal="center"/>
      <protection/>
    </xf>
    <xf numFmtId="200" fontId="2" fillId="0" borderId="8" xfId="21" applyNumberFormat="1" applyFont="1" applyFill="1" applyBorder="1">
      <alignment/>
      <protection/>
    </xf>
    <xf numFmtId="14" fontId="11" fillId="0" borderId="0" xfId="0" applyNumberFormat="1" applyFont="1" applyFill="1" applyAlignment="1">
      <alignment horizontal="left"/>
    </xf>
    <xf numFmtId="200" fontId="2" fillId="0" borderId="9" xfId="21" applyNumberFormat="1" applyFont="1" applyFill="1" applyBorder="1">
      <alignment/>
      <protection/>
    </xf>
    <xf numFmtId="200" fontId="2" fillId="0" borderId="0" xfId="21" applyNumberFormat="1" applyFont="1" applyFill="1" applyAlignment="1">
      <alignment horizontal="left"/>
      <protection/>
    </xf>
    <xf numFmtId="165" fontId="2" fillId="0" borderId="0" xfId="21" applyNumberFormat="1" applyFont="1" applyFill="1">
      <alignment/>
      <protection/>
    </xf>
    <xf numFmtId="165" fontId="2" fillId="0" borderId="0" xfId="21" applyNumberFormat="1" applyFont="1" applyFill="1" applyBorder="1">
      <alignment/>
      <protection/>
    </xf>
    <xf numFmtId="2" fontId="2" fillId="0" borderId="0" xfId="21" applyNumberFormat="1" applyFont="1" applyFill="1" applyBorder="1" applyAlignment="1">
      <alignment horizontal="center"/>
      <protection/>
    </xf>
    <xf numFmtId="165" fontId="2" fillId="0" borderId="0" xfId="21" applyNumberFormat="1" applyFont="1" applyFill="1" applyBorder="1" applyAlignment="1">
      <alignment horizontal="center"/>
      <protection/>
    </xf>
    <xf numFmtId="200" fontId="2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2" fontId="2" fillId="0" borderId="0" xfId="21" applyNumberFormat="1" applyFont="1" applyFill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165" fontId="9" fillId="0" borderId="0" xfId="21" applyNumberFormat="1" applyFont="1" applyFill="1">
      <alignment/>
      <protection/>
    </xf>
    <xf numFmtId="4" fontId="2" fillId="0" borderId="0" xfId="0" applyNumberFormat="1" applyFont="1" applyFill="1" applyAlignment="1">
      <alignment/>
    </xf>
    <xf numFmtId="174" fontId="2" fillId="0" borderId="0" xfId="15" applyNumberFormat="1" applyFont="1" applyFill="1" applyAlignment="1">
      <alignment horizontal="center"/>
    </xf>
    <xf numFmtId="43" fontId="2" fillId="0" borderId="0" xfId="15" applyFont="1" applyFill="1" applyAlignment="1">
      <alignment horizontal="center"/>
    </xf>
    <xf numFmtId="9" fontId="2" fillId="0" borderId="0" xfId="26" applyNumberFormat="1" applyFont="1" applyFill="1" applyAlignment="1">
      <alignment horizontal="center"/>
    </xf>
    <xf numFmtId="200" fontId="2" fillId="0" borderId="7" xfId="21" applyNumberFormat="1" applyFont="1" applyFill="1" applyBorder="1" applyAlignment="1">
      <alignment horizontal="right"/>
      <protection/>
    </xf>
    <xf numFmtId="21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8" fillId="0" borderId="0" xfId="21" applyFont="1" applyFill="1" applyAlignment="1">
      <alignment horizontal="centerContinuous"/>
      <protection/>
    </xf>
    <xf numFmtId="0" fontId="10" fillId="0" borderId="0" xfId="21" applyFont="1" applyFill="1" applyAlignment="1">
      <alignment horizontal="centerContinuous"/>
      <protection/>
    </xf>
    <xf numFmtId="0" fontId="10" fillId="0" borderId="0" xfId="21" applyFont="1" applyFill="1">
      <alignment/>
      <protection/>
    </xf>
    <xf numFmtId="0" fontId="2" fillId="0" borderId="0" xfId="21" applyFont="1" applyFill="1" applyAlignment="1">
      <alignment horizontal="center"/>
      <protection/>
    </xf>
    <xf numFmtId="0" fontId="2" fillId="0" borderId="10" xfId="2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centerContinuous"/>
      <protection/>
    </xf>
    <xf numFmtId="200" fontId="2" fillId="0" borderId="11" xfId="21" applyNumberFormat="1" applyFont="1" applyFill="1" applyBorder="1" applyAlignment="1">
      <alignment horizontal="centerContinuous"/>
      <protection/>
    </xf>
    <xf numFmtId="165" fontId="2" fillId="0" borderId="11" xfId="21" applyNumberFormat="1" applyFont="1" applyFill="1" applyBorder="1" applyAlignment="1">
      <alignment horizontal="center"/>
      <protection/>
    </xf>
    <xf numFmtId="165" fontId="2" fillId="0" borderId="11" xfId="21" applyNumberFormat="1" applyFont="1" applyFill="1" applyBorder="1">
      <alignment/>
      <protection/>
    </xf>
    <xf numFmtId="2" fontId="2" fillId="0" borderId="11" xfId="21" applyNumberFormat="1" applyFont="1" applyFill="1" applyBorder="1" applyAlignment="1">
      <alignment horizontal="center"/>
      <protection/>
    </xf>
    <xf numFmtId="165" fontId="2" fillId="0" borderId="12" xfId="21" applyNumberFormat="1" applyFont="1" applyFill="1" applyBorder="1" applyAlignment="1">
      <alignment horizontal="center"/>
      <protection/>
    </xf>
    <xf numFmtId="0" fontId="2" fillId="0" borderId="13" xfId="21" applyFont="1" applyFill="1" applyBorder="1" applyAlignment="1">
      <alignment horizontal="center"/>
      <protection/>
    </xf>
    <xf numFmtId="0" fontId="2" fillId="0" borderId="0" xfId="21" applyFont="1" applyFill="1" applyAlignment="1">
      <alignment horizontal="left"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justify"/>
      <protection/>
    </xf>
    <xf numFmtId="200" fontId="2" fillId="0" borderId="8" xfId="21" applyNumberFormat="1" applyFont="1" applyFill="1" applyBorder="1" applyAlignment="1">
      <alignment horizontal="justify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justify"/>
      <protection/>
    </xf>
    <xf numFmtId="200" fontId="2" fillId="0" borderId="0" xfId="21" applyNumberFormat="1" applyFont="1" applyFill="1" applyBorder="1" applyAlignment="1">
      <alignment horizontal="justify"/>
      <protection/>
    </xf>
    <xf numFmtId="4" fontId="2" fillId="0" borderId="0" xfId="21" applyNumberFormat="1" applyFont="1" applyFill="1" applyAlignment="1">
      <alignment horizontal="justify"/>
      <protection/>
    </xf>
    <xf numFmtId="164" fontId="2" fillId="0" borderId="0" xfId="25" applyNumberFormat="1" applyFont="1" applyFill="1" applyAlignment="1">
      <alignment horizontal="center"/>
    </xf>
    <xf numFmtId="0" fontId="11" fillId="0" borderId="0" xfId="21" applyFont="1" applyFill="1" applyAlignment="1">
      <alignment horizontal="centerContinuous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left"/>
      <protection/>
    </xf>
    <xf numFmtId="200" fontId="9" fillId="0" borderId="0" xfId="21" applyNumberFormat="1" applyFont="1" applyFill="1" applyAlignment="1">
      <alignment horizontal="right"/>
      <protection/>
    </xf>
    <xf numFmtId="4" fontId="2" fillId="0" borderId="0" xfId="0" applyNumberFormat="1" applyFont="1" applyFill="1" applyAlignment="1" quotePrefix="1">
      <alignment/>
    </xf>
    <xf numFmtId="43" fontId="2" fillId="0" borderId="6" xfId="15" applyFont="1" applyFill="1" applyBorder="1" applyAlignment="1">
      <alignment horizontal="center"/>
    </xf>
    <xf numFmtId="217" fontId="2" fillId="0" borderId="0" xfId="15" applyNumberFormat="1" applyFont="1" applyFill="1" applyAlignment="1">
      <alignment horizontal="right"/>
    </xf>
    <xf numFmtId="200" fontId="2" fillId="0" borderId="0" xfId="21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quotePrefix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0" fontId="2" fillId="0" borderId="3" xfId="25" applyNumberFormat="1" applyFont="1" applyFill="1" applyBorder="1" applyAlignment="1">
      <alignment/>
    </xf>
    <xf numFmtId="164" fontId="2" fillId="0" borderId="3" xfId="25" applyNumberFormat="1" applyFont="1" applyFill="1" applyBorder="1" applyAlignment="1">
      <alignment/>
    </xf>
    <xf numFmtId="164" fontId="2" fillId="0" borderId="15" xfId="25" applyNumberFormat="1" applyFont="1" applyFill="1" applyBorder="1" applyAlignment="1">
      <alignment/>
    </xf>
    <xf numFmtId="0" fontId="2" fillId="0" borderId="0" xfId="22" applyFont="1" applyFill="1" applyAlignment="1" applyProtection="1">
      <alignment horizontal="centerContinuous"/>
      <protection/>
    </xf>
    <xf numFmtId="0" fontId="2" fillId="0" borderId="0" xfId="22" applyFont="1" applyFill="1" applyAlignment="1">
      <alignment horizontal="centerContinuous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center"/>
      <protection/>
    </xf>
    <xf numFmtId="0" fontId="2" fillId="0" borderId="16" xfId="22" applyFont="1" applyFill="1" applyBorder="1" applyProtection="1">
      <alignment/>
      <protection/>
    </xf>
    <xf numFmtId="0" fontId="2" fillId="0" borderId="16" xfId="22" applyFont="1" applyFill="1" applyBorder="1" applyAlignment="1" applyProtection="1">
      <alignment horizontal="center"/>
      <protection/>
    </xf>
    <xf numFmtId="0" fontId="2" fillId="0" borderId="16" xfId="22" applyFont="1" applyFill="1" applyBorder="1" applyAlignment="1">
      <alignment horizontal="center"/>
      <protection/>
    </xf>
    <xf numFmtId="0" fontId="2" fillId="0" borderId="0" xfId="22" applyFont="1" applyFill="1" applyProtection="1">
      <alignment/>
      <protection/>
    </xf>
    <xf numFmtId="0" fontId="9" fillId="0" borderId="0" xfId="22" applyFont="1" applyFill="1" applyAlignment="1" applyProtection="1">
      <alignment horizontal="center"/>
      <protection/>
    </xf>
    <xf numFmtId="0" fontId="2" fillId="0" borderId="0" xfId="22" applyFont="1" applyFill="1" applyAlignment="1" applyProtection="1">
      <alignment horizontal="center"/>
      <protection/>
    </xf>
    <xf numFmtId="165" fontId="2" fillId="0" borderId="0" xfId="15" applyNumberFormat="1" applyFont="1" applyFill="1" applyBorder="1" applyAlignment="1" applyProtection="1">
      <alignment horizontal="center"/>
      <protection/>
    </xf>
    <xf numFmtId="37" fontId="2" fillId="0" borderId="0" xfId="22" applyNumberFormat="1" applyFont="1" applyFill="1" applyProtection="1">
      <alignment/>
      <protection/>
    </xf>
    <xf numFmtId="37" fontId="2" fillId="0" borderId="0" xfId="24" applyNumberFormat="1" applyFont="1" applyFill="1" applyProtection="1">
      <alignment/>
      <protection/>
    </xf>
    <xf numFmtId="37" fontId="2" fillId="0" borderId="0" xfId="24" applyNumberFormat="1" applyFont="1" applyFill="1" applyBorder="1" applyProtection="1">
      <alignment/>
      <protection/>
    </xf>
    <xf numFmtId="37" fontId="2" fillId="0" borderId="0" xfId="22" applyNumberFormat="1" applyFont="1" applyFill="1" applyBorder="1" applyProtection="1">
      <alignment/>
      <protection/>
    </xf>
    <xf numFmtId="37" fontId="2" fillId="0" borderId="16" xfId="24" applyNumberFormat="1" applyFont="1" applyFill="1" applyBorder="1" applyProtection="1">
      <alignment/>
      <protection/>
    </xf>
    <xf numFmtId="37" fontId="2" fillId="0" borderId="16" xfId="22" applyNumberFormat="1" applyFont="1" applyFill="1" applyBorder="1" applyProtection="1">
      <alignment/>
      <protection/>
    </xf>
    <xf numFmtId="37" fontId="2" fillId="0" borderId="1" xfId="22" applyNumberFormat="1" applyFont="1" applyFill="1" applyBorder="1" applyProtection="1">
      <alignment/>
      <protection/>
    </xf>
    <xf numFmtId="37" fontId="2" fillId="0" borderId="0" xfId="22" applyNumberFormat="1" applyFont="1" applyFill="1">
      <alignment/>
      <protection/>
    </xf>
    <xf numFmtId="0" fontId="2" fillId="0" borderId="17" xfId="22" applyFont="1" applyFill="1" applyBorder="1" applyProtection="1">
      <alignment/>
      <protection/>
    </xf>
    <xf numFmtId="0" fontId="2" fillId="0" borderId="18" xfId="22" applyFont="1" applyFill="1" applyBorder="1" applyProtection="1">
      <alignment/>
      <protection/>
    </xf>
    <xf numFmtId="10" fontId="2" fillId="0" borderId="18" xfId="25" applyNumberFormat="1" applyFont="1" applyFill="1" applyBorder="1" applyAlignment="1" applyProtection="1">
      <alignment/>
      <protection/>
    </xf>
    <xf numFmtId="164" fontId="2" fillId="0" borderId="18" xfId="25" applyNumberFormat="1" applyFont="1" applyFill="1" applyBorder="1" applyAlignment="1" applyProtection="1">
      <alignment/>
      <protection/>
    </xf>
    <xf numFmtId="164" fontId="2" fillId="0" borderId="19" xfId="25" applyNumberFormat="1" applyFont="1" applyFill="1" applyBorder="1" applyAlignment="1" applyProtection="1">
      <alignment/>
      <protection/>
    </xf>
    <xf numFmtId="10" fontId="2" fillId="0" borderId="19" xfId="25" applyNumberFormat="1" applyFont="1" applyFill="1" applyBorder="1" applyAlignment="1" applyProtection="1">
      <alignment/>
      <protection/>
    </xf>
    <xf numFmtId="165" fontId="2" fillId="0" borderId="1" xfId="15" applyNumberFormat="1" applyFont="1" applyFill="1" applyBorder="1" applyAlignment="1">
      <alignment/>
    </xf>
    <xf numFmtId="37" fontId="2" fillId="0" borderId="2" xfId="22" applyNumberFormat="1" applyFont="1" applyFill="1" applyBorder="1" applyProtection="1">
      <alignment/>
      <protection/>
    </xf>
    <xf numFmtId="165" fontId="2" fillId="0" borderId="0" xfId="22" applyNumberFormat="1" applyFont="1" applyFill="1">
      <alignment/>
      <protection/>
    </xf>
    <xf numFmtId="164" fontId="2" fillId="0" borderId="18" xfId="22" applyNumberFormat="1" applyFont="1" applyFill="1" applyBorder="1" applyProtection="1">
      <alignment/>
      <protection/>
    </xf>
    <xf numFmtId="10" fontId="2" fillId="0" borderId="18" xfId="22" applyNumberFormat="1" applyFont="1" applyFill="1" applyBorder="1" applyProtection="1">
      <alignment/>
      <protection/>
    </xf>
    <xf numFmtId="10" fontId="2" fillId="0" borderId="19" xfId="22" applyNumberFormat="1" applyFont="1" applyFill="1" applyBorder="1" applyProtection="1">
      <alignment/>
      <protection/>
    </xf>
    <xf numFmtId="164" fontId="2" fillId="0" borderId="0" xfId="22" applyNumberFormat="1" applyFont="1" applyFill="1" applyProtection="1">
      <alignment/>
      <protection/>
    </xf>
    <xf numFmtId="3" fontId="2" fillId="0" borderId="0" xfId="22" applyNumberFormat="1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0" fontId="2" fillId="0" borderId="0" xfId="25" applyNumberFormat="1" applyFont="1" applyFill="1" applyAlignment="1">
      <alignment/>
    </xf>
    <xf numFmtId="43" fontId="2" fillId="0" borderId="3" xfId="15" applyFont="1" applyFill="1" applyBorder="1" applyAlignment="1">
      <alignment/>
    </xf>
    <xf numFmtId="0" fontId="2" fillId="0" borderId="0" xfId="24" applyFont="1" applyFill="1">
      <alignment/>
      <protection/>
    </xf>
    <xf numFmtId="0" fontId="9" fillId="0" borderId="0" xfId="24" applyFont="1" applyFill="1" applyAlignment="1">
      <alignment horizontal="right"/>
      <protection/>
    </xf>
    <xf numFmtId="0" fontId="9" fillId="0" borderId="0" xfId="24" applyFont="1" applyFill="1" applyAlignment="1" applyProtection="1">
      <alignment horizontal="right"/>
      <protection/>
    </xf>
    <xf numFmtId="0" fontId="2" fillId="0" borderId="0" xfId="23" applyFont="1" applyFill="1">
      <alignment/>
      <protection/>
    </xf>
    <xf numFmtId="0" fontId="2" fillId="0" borderId="0" xfId="24" applyFont="1" applyFill="1" applyAlignment="1" applyProtection="1">
      <alignment horizontal="centerContinuous"/>
      <protection/>
    </xf>
    <xf numFmtId="0" fontId="2" fillId="0" borderId="0" xfId="24" applyFont="1" applyFill="1" applyAlignment="1">
      <alignment horizontal="centerContinuous"/>
      <protection/>
    </xf>
    <xf numFmtId="0" fontId="2" fillId="0" borderId="0" xfId="24" applyFont="1" applyFill="1" applyAlignment="1">
      <alignment horizontal="center"/>
      <protection/>
    </xf>
    <xf numFmtId="0" fontId="2" fillId="0" borderId="16" xfId="24" applyFont="1" applyFill="1" applyBorder="1" applyAlignment="1" applyProtection="1">
      <alignment horizontal="center"/>
      <protection/>
    </xf>
    <xf numFmtId="0" fontId="2" fillId="0" borderId="16" xfId="24" applyFont="1" applyFill="1" applyBorder="1" applyAlignment="1">
      <alignment horizontal="center"/>
      <protection/>
    </xf>
    <xf numFmtId="0" fontId="2" fillId="0" borderId="0" xfId="24" applyFont="1" applyFill="1" applyBorder="1" applyAlignment="1" applyProtection="1">
      <alignment horizontal="center"/>
      <protection/>
    </xf>
    <xf numFmtId="0" fontId="2" fillId="0" borderId="0" xfId="24" applyFont="1" applyFill="1" applyBorder="1" applyAlignment="1">
      <alignment horizontal="center"/>
      <protection/>
    </xf>
    <xf numFmtId="0" fontId="2" fillId="0" borderId="0" xfId="24" applyFont="1" applyFill="1" applyBorder="1" applyAlignment="1" applyProtection="1">
      <alignment horizontal="left"/>
      <protection/>
    </xf>
    <xf numFmtId="0" fontId="2" fillId="0" borderId="0" xfId="24" applyFont="1" applyFill="1" applyAlignment="1" applyProtection="1">
      <alignment horizontal="center"/>
      <protection/>
    </xf>
    <xf numFmtId="0" fontId="2" fillId="0" borderId="0" xfId="24" applyFont="1" applyFill="1" applyProtection="1">
      <alignment/>
      <protection/>
    </xf>
    <xf numFmtId="165" fontId="2" fillId="0" borderId="16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Border="1" applyAlignment="1" applyProtection="1">
      <alignment/>
      <protection/>
    </xf>
    <xf numFmtId="37" fontId="2" fillId="0" borderId="1" xfId="24" applyNumberFormat="1" applyFont="1" applyFill="1" applyBorder="1" applyProtection="1">
      <alignment/>
      <protection/>
    </xf>
    <xf numFmtId="168" fontId="2" fillId="0" borderId="0" xfId="15" applyNumberFormat="1" applyFont="1" applyFill="1" applyAlignment="1" applyProtection="1">
      <alignment/>
      <protection/>
    </xf>
    <xf numFmtId="10" fontId="2" fillId="0" borderId="0" xfId="25" applyNumberFormat="1" applyFont="1" applyFill="1" applyAlignment="1" applyProtection="1">
      <alignment/>
      <protection/>
    </xf>
    <xf numFmtId="165" fontId="2" fillId="0" borderId="1" xfId="15" applyNumberFormat="1" applyFont="1" applyFill="1" applyBorder="1" applyAlignment="1" applyProtection="1">
      <alignment/>
      <protection/>
    </xf>
    <xf numFmtId="0" fontId="9" fillId="0" borderId="0" xfId="24" applyFont="1" applyFill="1" applyAlignment="1" applyProtection="1">
      <alignment horizontal="center"/>
      <protection/>
    </xf>
    <xf numFmtId="0" fontId="11" fillId="0" borderId="0" xfId="0" applyFont="1" applyFill="1" applyAlignment="1" quotePrefix="1">
      <alignment horizontal="centerContinuous"/>
    </xf>
    <xf numFmtId="0" fontId="2" fillId="0" borderId="17" xfId="24" applyFont="1" applyFill="1" applyBorder="1" applyAlignment="1" applyProtection="1">
      <alignment horizontal="center"/>
      <protection/>
    </xf>
    <xf numFmtId="164" fontId="2" fillId="0" borderId="0" xfId="25" applyNumberFormat="1" applyFont="1" applyFill="1" applyAlignment="1" applyProtection="1">
      <alignment/>
      <protection/>
    </xf>
    <xf numFmtId="0" fontId="2" fillId="0" borderId="17" xfId="24" applyFont="1" applyFill="1" applyBorder="1" applyAlignment="1">
      <alignment horizontal="center"/>
      <protection/>
    </xf>
    <xf numFmtId="10" fontId="2" fillId="0" borderId="18" xfId="25" applyNumberFormat="1" applyFont="1" applyFill="1" applyBorder="1" applyAlignment="1">
      <alignment/>
    </xf>
    <xf numFmtId="164" fontId="2" fillId="0" borderId="18" xfId="25" applyNumberFormat="1" applyFont="1" applyFill="1" applyBorder="1" applyAlignment="1">
      <alignment/>
    </xf>
    <xf numFmtId="164" fontId="2" fillId="0" borderId="19" xfId="25" applyNumberFormat="1" applyFont="1" applyFill="1" applyBorder="1" applyAlignment="1">
      <alignment/>
    </xf>
    <xf numFmtId="0" fontId="9" fillId="0" borderId="0" xfId="24" applyFont="1" applyFill="1" applyAlignment="1" applyProtection="1">
      <alignment horizontal="left"/>
      <protection/>
    </xf>
    <xf numFmtId="0" fontId="9" fillId="0" borderId="0" xfId="24" applyFont="1" applyFill="1" applyAlignment="1">
      <alignment horizontal="center"/>
      <protection/>
    </xf>
    <xf numFmtId="0" fontId="2" fillId="0" borderId="0" xfId="23" applyFont="1" applyFill="1" applyAlignment="1" applyProtection="1">
      <alignment horizontal="centerContinuous"/>
      <protection/>
    </xf>
    <xf numFmtId="0" fontId="2" fillId="0" borderId="0" xfId="23" applyFont="1" applyFill="1" applyAlignment="1">
      <alignment horizontal="centerContinuous"/>
      <protection/>
    </xf>
    <xf numFmtId="165" fontId="2" fillId="0" borderId="0" xfId="23" applyNumberFormat="1" applyFont="1" applyFill="1">
      <alignment/>
      <protection/>
    </xf>
    <xf numFmtId="0" fontId="2" fillId="0" borderId="0" xfId="23" applyFont="1" applyFill="1" applyAlignment="1">
      <alignment horizontal="center"/>
      <protection/>
    </xf>
    <xf numFmtId="0" fontId="2" fillId="0" borderId="16" xfId="23" applyFont="1" applyFill="1" applyBorder="1" applyProtection="1">
      <alignment/>
      <protection/>
    </xf>
    <xf numFmtId="0" fontId="2" fillId="0" borderId="16" xfId="23" applyFont="1" applyFill="1" applyBorder="1" applyAlignment="1" applyProtection="1">
      <alignment horizontal="center"/>
      <protection/>
    </xf>
    <xf numFmtId="0" fontId="2" fillId="0" borderId="16" xfId="23" applyFont="1" applyFill="1" applyBorder="1" applyAlignment="1">
      <alignment horizontal="center"/>
      <protection/>
    </xf>
    <xf numFmtId="0" fontId="2" fillId="0" borderId="0" xfId="23" applyFont="1" applyFill="1" applyBorder="1" applyProtection="1">
      <alignment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2" fillId="0" borderId="0" xfId="23" applyFont="1" applyFill="1" applyBorder="1">
      <alignment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left"/>
      <protection/>
    </xf>
    <xf numFmtId="37" fontId="2" fillId="0" borderId="0" xfId="23" applyNumberFormat="1" applyFont="1" applyFill="1" applyProtection="1">
      <alignment/>
      <protection/>
    </xf>
    <xf numFmtId="14" fontId="2" fillId="0" borderId="0" xfId="23" applyNumberFormat="1" applyFont="1" applyFill="1" applyAlignment="1">
      <alignment horizontal="center"/>
      <protection/>
    </xf>
    <xf numFmtId="0" fontId="2" fillId="0" borderId="0" xfId="23" applyFont="1" applyFill="1" applyProtection="1">
      <alignment/>
      <protection/>
    </xf>
    <xf numFmtId="0" fontId="9" fillId="0" borderId="0" xfId="23" applyFont="1" applyFill="1" applyAlignment="1" applyProtection="1">
      <alignment horizontal="center"/>
      <protection/>
    </xf>
    <xf numFmtId="165" fontId="9" fillId="0" borderId="0" xfId="15" applyNumberFormat="1" applyFont="1" applyFill="1" applyAlignment="1" applyProtection="1">
      <alignment horizontal="center"/>
      <protection/>
    </xf>
    <xf numFmtId="165" fontId="2" fillId="0" borderId="0" xfId="15" applyNumberFormat="1" applyFont="1" applyFill="1" applyAlignment="1" applyProtection="1">
      <alignment horizontal="center"/>
      <protection/>
    </xf>
    <xf numFmtId="37" fontId="2" fillId="0" borderId="0" xfId="23" applyNumberFormat="1" applyFont="1" applyFill="1" applyBorder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16" xfId="23" applyNumberFormat="1" applyFont="1" applyFill="1" applyBorder="1" applyProtection="1">
      <alignment/>
      <protection/>
    </xf>
    <xf numFmtId="37" fontId="2" fillId="0" borderId="1" xfId="23" applyNumberFormat="1" applyFont="1" applyFill="1" applyBorder="1" applyProtection="1">
      <alignment/>
      <protection/>
    </xf>
    <xf numFmtId="37" fontId="2" fillId="0" borderId="2" xfId="23" applyNumberFormat="1" applyFont="1" applyFill="1" applyBorder="1" applyProtection="1">
      <alignment/>
      <protection/>
    </xf>
    <xf numFmtId="43" fontId="2" fillId="0" borderId="0" xfId="23" applyNumberFormat="1" applyFont="1" applyFill="1">
      <alignment/>
      <protection/>
    </xf>
    <xf numFmtId="0" fontId="2" fillId="0" borderId="17" xfId="23" applyFont="1" applyFill="1" applyBorder="1" applyProtection="1">
      <alignment/>
      <protection/>
    </xf>
    <xf numFmtId="0" fontId="2" fillId="0" borderId="18" xfId="23" applyFont="1" applyFill="1" applyBorder="1" applyProtection="1">
      <alignment/>
      <protection/>
    </xf>
    <xf numFmtId="164" fontId="2" fillId="0" borderId="18" xfId="23" applyNumberFormat="1" applyFont="1" applyFill="1" applyBorder="1" applyProtection="1">
      <alignment/>
      <protection/>
    </xf>
    <xf numFmtId="164" fontId="2" fillId="0" borderId="19" xfId="23" applyNumberFormat="1" applyFont="1" applyFill="1" applyBorder="1" applyProtection="1">
      <alignment/>
      <protection/>
    </xf>
    <xf numFmtId="43" fontId="2" fillId="0" borderId="0" xfId="15" applyFont="1" applyFill="1" applyBorder="1" applyAlignment="1" applyProtection="1">
      <alignment/>
      <protection/>
    </xf>
    <xf numFmtId="164" fontId="2" fillId="0" borderId="0" xfId="23" applyNumberFormat="1" applyFont="1" applyFill="1">
      <alignment/>
      <protection/>
    </xf>
    <xf numFmtId="164" fontId="9" fillId="0" borderId="0" xfId="23" applyNumberFormat="1" applyFont="1" applyFill="1" applyAlignment="1" applyProtection="1">
      <alignment horizontal="center"/>
      <protection/>
    </xf>
    <xf numFmtId="164" fontId="9" fillId="0" borderId="0" xfId="23" applyNumberFormat="1" applyFont="1" applyFill="1" applyAlignment="1">
      <alignment horizontal="center"/>
      <protection/>
    </xf>
    <xf numFmtId="17" fontId="2" fillId="0" borderId="0" xfId="0" applyNumberFormat="1" applyFont="1" applyFill="1" applyAlignment="1">
      <alignment horizontal="centerContinuous"/>
    </xf>
    <xf numFmtId="17" fontId="2" fillId="0" borderId="0" xfId="0" applyNumberFormat="1" applyFont="1" applyFill="1" applyAlignment="1" quotePrefix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20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64" fontId="2" fillId="0" borderId="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217" fontId="2" fillId="0" borderId="0" xfId="15" applyNumberFormat="1" applyFont="1" applyFill="1" applyAlignment="1">
      <alignment/>
    </xf>
    <xf numFmtId="217" fontId="2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217" fontId="2" fillId="0" borderId="6" xfId="15" applyNumberFormat="1" applyFont="1" applyFill="1" applyBorder="1" applyAlignment="1">
      <alignment/>
    </xf>
    <xf numFmtId="217" fontId="2" fillId="0" borderId="7" xfId="15" applyNumberFormat="1" applyFont="1" applyFill="1" applyBorder="1" applyAlignment="1">
      <alignment/>
    </xf>
    <xf numFmtId="165" fontId="2" fillId="0" borderId="16" xfId="15" applyNumberFormat="1" applyFont="1" applyFill="1" applyBorder="1" applyAlignment="1">
      <alignment/>
    </xf>
    <xf numFmtId="165" fontId="2" fillId="0" borderId="0" xfId="15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 vertical="center"/>
    </xf>
    <xf numFmtId="165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 applyProtection="1">
      <alignment vertical="center"/>
      <protection/>
    </xf>
    <xf numFmtId="165" fontId="2" fillId="0" borderId="16" xfId="15" applyNumberFormat="1" applyFont="1" applyFill="1" applyBorder="1" applyAlignment="1">
      <alignment/>
    </xf>
    <xf numFmtId="43" fontId="2" fillId="0" borderId="0" xfId="15" applyFont="1" applyFill="1" applyBorder="1" applyAlignment="1" applyProtection="1">
      <alignment vertical="center"/>
      <protection/>
    </xf>
    <xf numFmtId="165" fontId="2" fillId="0" borderId="0" xfId="15" applyNumberFormat="1" applyFont="1" applyFill="1" applyBorder="1" applyAlignment="1" applyProtection="1">
      <alignment vertical="center"/>
      <protection/>
    </xf>
    <xf numFmtId="165" fontId="2" fillId="0" borderId="16" xfId="15" applyNumberFormat="1" applyFont="1" applyFill="1" applyBorder="1" applyAlignment="1" applyProtection="1">
      <alignment vertical="center"/>
      <protection/>
    </xf>
    <xf numFmtId="165" fontId="2" fillId="0" borderId="6" xfId="15" applyNumberFormat="1" applyFont="1" applyFill="1" applyBorder="1" applyAlignment="1" applyProtection="1">
      <alignment vertical="center"/>
      <protection/>
    </xf>
    <xf numFmtId="165" fontId="2" fillId="0" borderId="7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 horizontal="centerContinuous"/>
    </xf>
    <xf numFmtId="165" fontId="2" fillId="0" borderId="6" xfId="15" applyNumberFormat="1" applyFont="1" applyFill="1" applyBorder="1" applyAlignment="1" applyProtection="1">
      <alignment vertical="center"/>
      <protection/>
    </xf>
    <xf numFmtId="165" fontId="12" fillId="0" borderId="0" xfId="15" applyNumberFormat="1" applyFont="1" applyFill="1" applyBorder="1" applyAlignment="1">
      <alignment vertical="center"/>
    </xf>
    <xf numFmtId="38" fontId="2" fillId="0" borderId="0" xfId="15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10" fontId="2" fillId="0" borderId="0" xfId="25" applyNumberFormat="1" applyFont="1" applyFill="1" applyAlignment="1">
      <alignment horizontal="center"/>
    </xf>
    <xf numFmtId="164" fontId="2" fillId="0" borderId="0" xfId="25" applyNumberFormat="1" applyFont="1" applyFill="1" applyBorder="1" applyAlignment="1">
      <alignment horizontal="center"/>
    </xf>
    <xf numFmtId="164" fontId="2" fillId="0" borderId="0" xfId="25" applyNumberFormat="1" applyFont="1" applyFill="1" applyAlignment="1">
      <alignment horizontal="center"/>
    </xf>
    <xf numFmtId="164" fontId="2" fillId="0" borderId="0" xfId="25" applyNumberFormat="1" applyFont="1" applyFill="1" applyAlignment="1">
      <alignment/>
    </xf>
    <xf numFmtId="0" fontId="2" fillId="0" borderId="0" xfId="0" applyFont="1" applyFill="1" applyAlignment="1" quotePrefix="1">
      <alignment horizontal="centerContinuous"/>
    </xf>
    <xf numFmtId="0" fontId="13" fillId="0" borderId="0" xfId="0" applyFont="1" applyFill="1" applyAlignment="1">
      <alignment horizontal="centerContinuous"/>
    </xf>
    <xf numFmtId="0" fontId="2" fillId="0" borderId="14" xfId="0" applyFont="1" applyFill="1" applyBorder="1" applyAlignment="1">
      <alignment horizontal="left"/>
    </xf>
    <xf numFmtId="10" fontId="2" fillId="0" borderId="15" xfId="25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2" fillId="0" borderId="0" xfId="15" applyNumberFormat="1" applyFont="1" applyFill="1" applyAlignment="1">
      <alignment/>
    </xf>
    <xf numFmtId="3" fontId="2" fillId="0" borderId="0" xfId="15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168" fontId="2" fillId="0" borderId="0" xfId="15" applyNumberFormat="1" applyFont="1" applyFill="1" applyAlignment="1">
      <alignment/>
    </xf>
    <xf numFmtId="3" fontId="2" fillId="0" borderId="0" xfId="15" applyNumberFormat="1" applyFont="1" applyFill="1" applyBorder="1" applyAlignment="1">
      <alignment/>
    </xf>
    <xf numFmtId="3" fontId="2" fillId="0" borderId="7" xfId="15" applyNumberFormat="1" applyFont="1" applyFill="1" applyBorder="1" applyAlignment="1">
      <alignment vertical="center"/>
    </xf>
    <xf numFmtId="165" fontId="2" fillId="0" borderId="7" xfId="15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0" xfId="25" applyNumberFormat="1" applyFont="1" applyFill="1" applyAlignment="1">
      <alignment vertical="center"/>
    </xf>
    <xf numFmtId="43" fontId="2" fillId="0" borderId="0" xfId="15" applyFont="1" applyFill="1" applyBorder="1" applyAlignment="1">
      <alignment/>
    </xf>
    <xf numFmtId="43" fontId="2" fillId="0" borderId="6" xfId="15" applyFont="1" applyFill="1" applyBorder="1" applyAlignment="1">
      <alignment vertical="center"/>
    </xf>
    <xf numFmtId="43" fontId="2" fillId="0" borderId="6" xfId="15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0" fontId="2" fillId="0" borderId="3" xfId="25" applyNumberFormat="1" applyFont="1" applyFill="1" applyBorder="1" applyAlignment="1">
      <alignment vertical="center"/>
    </xf>
    <xf numFmtId="164" fontId="2" fillId="0" borderId="3" xfId="25" applyNumberFormat="1" applyFont="1" applyFill="1" applyBorder="1" applyAlignment="1">
      <alignment vertical="center"/>
    </xf>
    <xf numFmtId="164" fontId="2" fillId="0" borderId="15" xfId="25" applyNumberFormat="1" applyFont="1" applyFill="1" applyBorder="1" applyAlignment="1">
      <alignment vertical="center"/>
    </xf>
    <xf numFmtId="10" fontId="2" fillId="0" borderId="0" xfId="25" applyNumberFormat="1" applyFont="1" applyFill="1" applyAlignment="1">
      <alignment vertical="center"/>
    </xf>
    <xf numFmtId="165" fontId="2" fillId="0" borderId="7" xfId="0" applyNumberFormat="1" applyFont="1" applyFill="1" applyBorder="1" applyAlignment="1">
      <alignment/>
    </xf>
    <xf numFmtId="10" fontId="2" fillId="0" borderId="15" xfId="25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/>
    </xf>
    <xf numFmtId="165" fontId="2" fillId="0" borderId="0" xfId="15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 horizontal="centerContinuous"/>
    </xf>
    <xf numFmtId="175" fontId="2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14" fillId="0" borderId="2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ount 397 Communications Allocation" xfId="21"/>
    <cellStyle name="Normal_G-FACT" xfId="22"/>
    <cellStyle name="Normal_GP-FACT" xfId="23"/>
    <cellStyle name="Normal_I-FACT" xfId="24"/>
    <cellStyle name="Percent" xfId="25"/>
    <cellStyle name="Percent_Account 397 Communications Allocatio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Wyoming%20Rate%20Case\1999%20Case\JAM%20Dec%201998%20-%20Wy%20East%20FU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"/>
      <sheetName val="Report"/>
      <sheetName val="NRO"/>
      <sheetName val="ADJ"/>
      <sheetName val="URO"/>
      <sheetName val="UTCR"/>
      <sheetName val="Unadj Data for RAM"/>
      <sheetName val="Inputs"/>
      <sheetName val="Variables"/>
      <sheetName val="Factors"/>
      <sheetName val="Check"/>
      <sheetName val="WelcomeDialog"/>
      <sheetName val="Macro"/>
    </sheetNames>
    <sheetDataSet>
      <sheetData sheetId="8">
        <row r="2">
          <cell r="A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8.57421875" style="7" customWidth="1"/>
    <col min="2" max="2" width="11.7109375" style="7" customWidth="1"/>
    <col min="3" max="3" width="5.28125" style="7" customWidth="1"/>
    <col min="4" max="4" width="17.57421875" style="7" customWidth="1"/>
    <col min="5" max="9" width="14.7109375" style="7" customWidth="1"/>
    <col min="10" max="10" width="15.57421875" style="7" customWidth="1"/>
    <col min="11" max="16384" width="9.140625" style="7" customWidth="1"/>
  </cols>
  <sheetData>
    <row r="1" spans="1:10" ht="15">
      <c r="A1" s="28" t="s">
        <v>384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5">
      <c r="A2" s="28" t="s">
        <v>381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">
      <c r="A3" s="291" t="s">
        <v>385</v>
      </c>
      <c r="B3" s="291"/>
      <c r="C3" s="291"/>
      <c r="D3" s="291"/>
      <c r="E3" s="291"/>
      <c r="F3" s="291"/>
      <c r="G3" s="291"/>
      <c r="H3" s="291"/>
      <c r="I3" s="291"/>
      <c r="J3" s="291"/>
    </row>
    <row r="4" ht="12.75">
      <c r="J4" s="285"/>
    </row>
    <row r="5" ht="12.75">
      <c r="J5" s="285"/>
    </row>
    <row r="6" spans="1:10" ht="13.5" thickBot="1">
      <c r="A6" s="288" t="s">
        <v>152</v>
      </c>
      <c r="B6" s="289" t="s">
        <v>174</v>
      </c>
      <c r="C6" s="290"/>
      <c r="D6" s="286"/>
      <c r="E6" s="218" t="s">
        <v>136</v>
      </c>
      <c r="F6" s="218" t="s">
        <v>137</v>
      </c>
      <c r="G6" s="218" t="s">
        <v>142</v>
      </c>
      <c r="H6" s="218" t="s">
        <v>145</v>
      </c>
      <c r="I6" s="218" t="s">
        <v>146</v>
      </c>
      <c r="J6" s="218" t="s">
        <v>144</v>
      </c>
    </row>
    <row r="7" spans="1:12" ht="12.75">
      <c r="A7" s="7" t="s">
        <v>267</v>
      </c>
      <c r="B7" s="7" t="s">
        <v>173</v>
      </c>
      <c r="E7" s="254">
        <f>BOOKDPR!D18</f>
        <v>0.49377430741571604</v>
      </c>
      <c r="F7" s="254">
        <f>BOOKDPR!E18</f>
        <v>0.15576943861098014</v>
      </c>
      <c r="G7" s="254">
        <f>BOOKDPR!F18</f>
        <v>0.3459381930836351</v>
      </c>
      <c r="H7" s="254">
        <f>BOOKDPR!G18</f>
        <v>0.004518060889668698</v>
      </c>
      <c r="I7" s="254">
        <f>BOOKDPR!H18</f>
        <v>0</v>
      </c>
      <c r="J7" s="6">
        <f>ROUND(SUM(E7:I7),4)</f>
        <v>1</v>
      </c>
      <c r="L7" s="6"/>
    </row>
    <row r="8" spans="1:12" ht="12.75">
      <c r="A8" s="7" t="s">
        <v>84</v>
      </c>
      <c r="B8" s="7" t="s">
        <v>85</v>
      </c>
      <c r="E8" s="254">
        <f>Comm_Eq!H32</f>
        <v>0.159157</v>
      </c>
      <c r="F8" s="254">
        <f>Comm_Eq!J32</f>
        <v>0.387609</v>
      </c>
      <c r="G8" s="254">
        <f>Comm_Eq!L32</f>
        <v>0.438869</v>
      </c>
      <c r="H8" s="254">
        <f>Comm_Eq!N32</f>
        <v>0.014365</v>
      </c>
      <c r="I8" s="254">
        <v>0</v>
      </c>
      <c r="J8" s="6">
        <f>ROUND(SUM(E8:I8),4)</f>
        <v>1</v>
      </c>
      <c r="L8" s="6"/>
    </row>
    <row r="9" spans="1:12" ht="12.75">
      <c r="A9" s="7" t="s">
        <v>145</v>
      </c>
      <c r="B9" s="7" t="s">
        <v>268</v>
      </c>
      <c r="E9" s="254">
        <v>0</v>
      </c>
      <c r="F9" s="254">
        <v>0</v>
      </c>
      <c r="G9" s="254">
        <v>0</v>
      </c>
      <c r="H9" s="254">
        <v>1</v>
      </c>
      <c r="I9" s="254">
        <v>0</v>
      </c>
      <c r="J9" s="6">
        <f>ROUND(SUM(E9:I9),4)</f>
        <v>1</v>
      </c>
      <c r="L9" s="6"/>
    </row>
    <row r="10" spans="1:12" ht="12.75">
      <c r="A10" s="7" t="s">
        <v>269</v>
      </c>
      <c r="B10" s="7" t="s">
        <v>270</v>
      </c>
      <c r="E10" s="254">
        <f>DDS!E82</f>
        <v>0.5681110727916937</v>
      </c>
      <c r="F10" s="254">
        <f>DDS!F82</f>
        <v>0.09141570243496536</v>
      </c>
      <c r="G10" s="254">
        <f>DDS!G82</f>
        <v>0.15516772297627154</v>
      </c>
      <c r="H10" s="254">
        <f>DDS!H82</f>
        <v>0.1853055017970694</v>
      </c>
      <c r="I10" s="254">
        <f>DDS!I82</f>
        <v>0</v>
      </c>
      <c r="J10" s="6">
        <f>ROUND(SUM(E10:I10),4)</f>
        <v>1</v>
      </c>
      <c r="L10" s="6"/>
    </row>
    <row r="11" spans="1:12" ht="12.75">
      <c r="A11" s="7" t="s">
        <v>271</v>
      </c>
      <c r="B11" s="7" t="s">
        <v>270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6">
        <f>ROUND(SUM(E11:I11),4)</f>
        <v>0</v>
      </c>
      <c r="L11" s="6"/>
    </row>
    <row r="12" spans="1:12" ht="12.75">
      <c r="A12" s="7" t="s">
        <v>272</v>
      </c>
      <c r="B12" s="7" t="s">
        <v>273</v>
      </c>
      <c r="E12" s="254">
        <f>DDS!E57</f>
        <v>0.4570777741620566</v>
      </c>
      <c r="F12" s="254">
        <f>DDS!F57</f>
        <v>0.08073189970142472</v>
      </c>
      <c r="G12" s="254">
        <f>DDS!G57</f>
        <v>0.2430233882907653</v>
      </c>
      <c r="H12" s="254">
        <f>DDS!H57</f>
        <v>0</v>
      </c>
      <c r="I12" s="254">
        <f>DDS!I57</f>
        <v>0.21916693784575333</v>
      </c>
      <c r="J12" s="6">
        <f aca="true" t="shared" si="0" ref="J12:J63">ROUND(SUM(E12:I12),4)</f>
        <v>1</v>
      </c>
      <c r="L12" s="6"/>
    </row>
    <row r="13" spans="1:12" ht="12.75">
      <c r="A13" s="7" t="s">
        <v>274</v>
      </c>
      <c r="B13" s="7" t="s">
        <v>273</v>
      </c>
      <c r="E13" s="254">
        <f>IF(DDS!E250=0,0,DDS!E250)</f>
        <v>0</v>
      </c>
      <c r="F13" s="254">
        <f>DDS!F250</f>
        <v>0</v>
      </c>
      <c r="G13" s="254">
        <f>DDS!G250</f>
        <v>0</v>
      </c>
      <c r="H13" s="254">
        <f>DDS!H250</f>
        <v>0</v>
      </c>
      <c r="I13" s="254">
        <f>DDS!I250</f>
        <v>1</v>
      </c>
      <c r="J13" s="6">
        <f t="shared" si="0"/>
        <v>1</v>
      </c>
      <c r="L13" s="6"/>
    </row>
    <row r="14" spans="1:12" ht="12.75">
      <c r="A14" s="7" t="s">
        <v>275</v>
      </c>
      <c r="B14" s="7" t="s">
        <v>276</v>
      </c>
      <c r="E14" s="254">
        <f>DDS!E158</f>
        <v>0.25792694746753064</v>
      </c>
      <c r="F14" s="254">
        <f>DDS!F158</f>
        <v>0.7420730525324694</v>
      </c>
      <c r="G14" s="254">
        <f>DDS!G158</f>
        <v>0</v>
      </c>
      <c r="H14" s="254">
        <f>DDS!H158</f>
        <v>0</v>
      </c>
      <c r="I14" s="254">
        <f>DDS!I158</f>
        <v>0</v>
      </c>
      <c r="J14" s="6">
        <f t="shared" si="0"/>
        <v>1</v>
      </c>
      <c r="L14" s="6"/>
    </row>
    <row r="15" spans="1:12" ht="12.75">
      <c r="A15" s="7" t="s">
        <v>146</v>
      </c>
      <c r="B15" s="7" t="s">
        <v>277</v>
      </c>
      <c r="E15" s="254">
        <v>0</v>
      </c>
      <c r="F15" s="254">
        <v>0</v>
      </c>
      <c r="G15" s="254">
        <v>0</v>
      </c>
      <c r="H15" s="254">
        <v>0</v>
      </c>
      <c r="I15" s="254">
        <v>1</v>
      </c>
      <c r="J15" s="6">
        <f t="shared" si="0"/>
        <v>1</v>
      </c>
      <c r="L15" s="6"/>
    </row>
    <row r="16" spans="1:12" ht="12.75">
      <c r="A16" s="7" t="s">
        <v>142</v>
      </c>
      <c r="B16" s="7" t="s">
        <v>278</v>
      </c>
      <c r="E16" s="254">
        <f>'FORM 1'!C15</f>
        <v>0</v>
      </c>
      <c r="F16" s="254">
        <f>'FORM 1'!D15</f>
        <v>0</v>
      </c>
      <c r="G16" s="254">
        <f>'FORM 1'!E15</f>
        <v>1</v>
      </c>
      <c r="H16" s="254">
        <f>'FORM 1'!F15</f>
        <v>0</v>
      </c>
      <c r="I16" s="254">
        <f>'FORM 1'!G15</f>
        <v>0</v>
      </c>
      <c r="J16" s="6">
        <f t="shared" si="0"/>
        <v>1</v>
      </c>
      <c r="L16" s="6"/>
    </row>
    <row r="17" spans="1:12" ht="12.75">
      <c r="A17" s="7" t="s">
        <v>178</v>
      </c>
      <c r="B17" s="7" t="s">
        <v>279</v>
      </c>
      <c r="E17" s="254">
        <v>0.3</v>
      </c>
      <c r="F17" s="254">
        <v>0.1</v>
      </c>
      <c r="G17" s="254">
        <v>0.6</v>
      </c>
      <c r="H17" s="254">
        <v>0</v>
      </c>
      <c r="I17" s="254">
        <v>0</v>
      </c>
      <c r="J17" s="6">
        <f t="shared" si="0"/>
        <v>1</v>
      </c>
      <c r="L17" s="6"/>
    </row>
    <row r="18" spans="1:12" ht="12.75">
      <c r="A18" s="7" t="s">
        <v>201</v>
      </c>
      <c r="B18" s="7" t="s">
        <v>280</v>
      </c>
      <c r="E18" s="254">
        <f>'FORM 1'!C39</f>
        <v>0.5147177297844168</v>
      </c>
      <c r="F18" s="254">
        <f>'FORM 1'!D39</f>
        <v>0.48528227021558323</v>
      </c>
      <c r="G18" s="254">
        <f>'FORM 1'!E39</f>
        <v>0</v>
      </c>
      <c r="H18" s="254">
        <f>'FORM 1'!F39</f>
        <v>0</v>
      </c>
      <c r="I18" s="254">
        <f>'FORM 1'!G39</f>
        <v>0</v>
      </c>
      <c r="J18" s="6">
        <f t="shared" si="0"/>
        <v>1</v>
      </c>
      <c r="L18" s="6"/>
    </row>
    <row r="19" spans="1:12" ht="12.75">
      <c r="A19" s="7" t="s">
        <v>143</v>
      </c>
      <c r="B19" s="7" t="s">
        <v>213</v>
      </c>
      <c r="E19" s="254">
        <f>'GENERAL PLANT'!E58</f>
        <v>0.25958689249106964</v>
      </c>
      <c r="F19" s="254">
        <f>'GENERAL PLANT'!F58</f>
        <v>0.2190355996512511</v>
      </c>
      <c r="G19" s="254">
        <f>'GENERAL PLANT'!G58</f>
        <v>0.49530165061974646</v>
      </c>
      <c r="H19" s="254">
        <f>'GENERAL PLANT'!H58</f>
        <v>0.02607585723793277</v>
      </c>
      <c r="I19" s="254">
        <f>'GENERAL PLANT'!I58</f>
        <v>0</v>
      </c>
      <c r="J19" s="6">
        <f t="shared" si="0"/>
        <v>1</v>
      </c>
      <c r="L19" s="6"/>
    </row>
    <row r="20" spans="1:12" ht="12.75">
      <c r="A20" s="7" t="s">
        <v>194</v>
      </c>
      <c r="B20" s="7" t="s">
        <v>281</v>
      </c>
      <c r="E20" s="254">
        <f>'GROSS PLANT'!E55</f>
        <v>0.4616254339827272</v>
      </c>
      <c r="F20" s="254">
        <f>'GROSS PLANT'!F55</f>
        <v>0.19317649645797214</v>
      </c>
      <c r="G20" s="254">
        <f>'GROSS PLANT'!G55</f>
        <v>0.33716033425505554</v>
      </c>
      <c r="H20" s="254">
        <f>'GROSS PLANT'!H55</f>
        <v>0.008037735304245107</v>
      </c>
      <c r="I20" s="254">
        <f>'GROSS PLANT'!I55</f>
        <v>0</v>
      </c>
      <c r="J20" s="6">
        <f t="shared" si="0"/>
        <v>1</v>
      </c>
      <c r="L20" s="6"/>
    </row>
    <row r="21" spans="1:12" ht="12.75">
      <c r="A21" s="7" t="s">
        <v>282</v>
      </c>
      <c r="B21" s="7" t="s">
        <v>283</v>
      </c>
      <c r="E21" s="254">
        <f>'GENERAL PLANT'!E32</f>
        <v>0.686789619196068</v>
      </c>
      <c r="F21" s="254">
        <f>'GENERAL PLANT'!F32</f>
        <v>0.30657076910595454</v>
      </c>
      <c r="G21" s="254">
        <f>'GENERAL PLANT'!G32</f>
        <v>0.00663961169797753</v>
      </c>
      <c r="H21" s="254">
        <f>'GENERAL PLANT'!H32</f>
        <v>0</v>
      </c>
      <c r="I21" s="254">
        <f>'GENERAL PLANT'!I32</f>
        <v>0</v>
      </c>
      <c r="J21" s="6">
        <f t="shared" si="0"/>
        <v>1</v>
      </c>
      <c r="L21" s="6"/>
    </row>
    <row r="22" spans="1:12" ht="12.75">
      <c r="A22" s="7" t="s">
        <v>31</v>
      </c>
      <c r="B22" s="7" t="s">
        <v>32</v>
      </c>
      <c r="E22" s="254">
        <f>'GENERAL PLANT'!E46</f>
        <v>0.0001498433160108669</v>
      </c>
      <c r="F22" s="254">
        <f>'GENERAL PLANT'!F46</f>
        <v>0.21173099533633488</v>
      </c>
      <c r="G22" s="254">
        <f>'GENERAL PLANT'!G46</f>
        <v>0.7881191613476541</v>
      </c>
      <c r="H22" s="254">
        <f>'GENERAL PLANT'!H46</f>
        <v>0</v>
      </c>
      <c r="I22" s="254">
        <f>'GENERAL PLANT'!I46</f>
        <v>0</v>
      </c>
      <c r="J22" s="6">
        <f t="shared" si="0"/>
        <v>1</v>
      </c>
      <c r="L22" s="6"/>
    </row>
    <row r="23" spans="1:12" ht="12.75">
      <c r="A23" s="7" t="s">
        <v>284</v>
      </c>
      <c r="B23" s="7" t="s">
        <v>225</v>
      </c>
      <c r="E23" s="254">
        <f>'INTANGIBLE PLANT'!D52</f>
        <v>0.4657216194321459</v>
      </c>
      <c r="F23" s="254">
        <f>'INTANGIBLE PLANT'!E52</f>
        <v>0.14185055504128924</v>
      </c>
      <c r="G23" s="254">
        <f>'INTANGIBLE PLANT'!F52</f>
        <v>0.22192598827108265</v>
      </c>
      <c r="H23" s="254">
        <f>'INTANGIBLE PLANT'!G52</f>
        <v>0.17050183725548212</v>
      </c>
      <c r="I23" s="254">
        <f>'INTANGIBLE PLANT'!H52</f>
        <v>0</v>
      </c>
      <c r="J23" s="6">
        <f t="shared" si="0"/>
        <v>1</v>
      </c>
      <c r="L23" s="6"/>
    </row>
    <row r="24" spans="1:12" ht="12.75">
      <c r="A24" s="7" t="s">
        <v>285</v>
      </c>
      <c r="B24" s="7" t="s">
        <v>286</v>
      </c>
      <c r="E24" s="254">
        <v>1</v>
      </c>
      <c r="F24" s="254">
        <v>0</v>
      </c>
      <c r="G24" s="254">
        <v>0</v>
      </c>
      <c r="H24" s="254">
        <v>0</v>
      </c>
      <c r="I24" s="254">
        <v>0</v>
      </c>
      <c r="J24" s="6">
        <f t="shared" si="0"/>
        <v>1</v>
      </c>
      <c r="L24" s="6"/>
    </row>
    <row r="25" spans="1:12" ht="12.75">
      <c r="A25" s="7" t="s">
        <v>287</v>
      </c>
      <c r="B25" s="7" t="s">
        <v>288</v>
      </c>
      <c r="E25" s="254">
        <v>1</v>
      </c>
      <c r="F25" s="254">
        <v>0</v>
      </c>
      <c r="G25" s="254">
        <v>0</v>
      </c>
      <c r="H25" s="254">
        <v>0</v>
      </c>
      <c r="I25" s="254">
        <v>0</v>
      </c>
      <c r="J25" s="6">
        <f t="shared" si="0"/>
        <v>1</v>
      </c>
      <c r="L25" s="6"/>
    </row>
    <row r="26" spans="1:12" ht="12.75">
      <c r="A26" s="7" t="s">
        <v>289</v>
      </c>
      <c r="B26" s="7" t="s">
        <v>290</v>
      </c>
      <c r="E26" s="254">
        <f>'INTANGIBLE PLANT'!D29</f>
        <v>0.8923812071810965</v>
      </c>
      <c r="F26" s="254">
        <f>'INTANGIBLE PLANT'!E29</f>
        <v>0.10696038952603923</v>
      </c>
      <c r="G26" s="254">
        <f>'INTANGIBLE PLANT'!F29</f>
        <v>0.0006584032928643107</v>
      </c>
      <c r="H26" s="254">
        <f>'INTANGIBLE PLANT'!G29</f>
        <v>0</v>
      </c>
      <c r="I26" s="254">
        <f>'INTANGIBLE PLANT'!H29</f>
        <v>0</v>
      </c>
      <c r="J26" s="6">
        <f t="shared" si="0"/>
        <v>1</v>
      </c>
      <c r="L26" s="6"/>
    </row>
    <row r="27" spans="1:12" ht="12.75">
      <c r="A27" s="7" t="s">
        <v>37</v>
      </c>
      <c r="B27" s="7" t="s">
        <v>38</v>
      </c>
      <c r="E27" s="254">
        <f>'INTANGIBLE PLANT'!D39</f>
        <v>0</v>
      </c>
      <c r="F27" s="254">
        <f>'INTANGIBLE PLANT'!E39</f>
        <v>0.37072930705909285</v>
      </c>
      <c r="G27" s="254">
        <f>'INTANGIBLE PLANT'!F39</f>
        <v>0.6292706929409071</v>
      </c>
      <c r="H27" s="254">
        <f>'INTANGIBLE PLANT'!G39</f>
        <v>0</v>
      </c>
      <c r="I27" s="254">
        <f>'INTANGIBLE PLANT'!H39</f>
        <v>0</v>
      </c>
      <c r="J27" s="6">
        <f t="shared" si="0"/>
        <v>1</v>
      </c>
      <c r="L27" s="6"/>
    </row>
    <row r="28" spans="1:12" ht="12.75">
      <c r="A28" s="7" t="s">
        <v>181</v>
      </c>
      <c r="B28" s="7" t="s">
        <v>291</v>
      </c>
      <c r="E28" s="254">
        <f>'FORM 1'!C25</f>
        <v>0.43266363145982245</v>
      </c>
      <c r="F28" s="254">
        <f>'FORM 1'!D25</f>
        <v>0.059048835194200504</v>
      </c>
      <c r="G28" s="254">
        <f>'FORM 1'!E25</f>
        <v>0.36137758528624353</v>
      </c>
      <c r="H28" s="254">
        <f>'FORM 1'!F25</f>
        <v>0.1469099480597335</v>
      </c>
      <c r="I28" s="254">
        <f>'FORM 1'!G25</f>
        <v>0</v>
      </c>
      <c r="J28" s="6">
        <f t="shared" si="0"/>
        <v>1</v>
      </c>
      <c r="L28" s="6"/>
    </row>
    <row r="29" spans="1:12" ht="12.75">
      <c r="A29" s="7" t="s">
        <v>292</v>
      </c>
      <c r="B29" s="7" t="s">
        <v>293</v>
      </c>
      <c r="E29" s="254">
        <f>'FORM 1'!C32</f>
        <v>0.8033119537542193</v>
      </c>
      <c r="F29" s="254">
        <f>'FORM 1'!D32</f>
        <v>0.0675526646760731</v>
      </c>
      <c r="G29" s="254">
        <f>'FORM 1'!E32</f>
        <v>0.12913538156970766</v>
      </c>
      <c r="H29" s="254">
        <f>'FORM 1'!F32</f>
        <v>0</v>
      </c>
      <c r="I29" s="254">
        <f>'FORM 1'!G32</f>
        <v>0</v>
      </c>
      <c r="J29" s="6">
        <f t="shared" si="0"/>
        <v>1</v>
      </c>
      <c r="L29" s="6"/>
    </row>
    <row r="30" spans="1:12" ht="12.75">
      <c r="A30" s="7" t="s">
        <v>294</v>
      </c>
      <c r="B30" s="7" t="s">
        <v>295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6">
        <f t="shared" si="0"/>
        <v>0</v>
      </c>
      <c r="L30" s="6"/>
    </row>
    <row r="31" spans="1:12" ht="12.75">
      <c r="A31" s="7" t="s">
        <v>296</v>
      </c>
      <c r="B31" s="7" t="s">
        <v>297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6">
        <f t="shared" si="0"/>
        <v>0</v>
      </c>
      <c r="L31" s="6"/>
    </row>
    <row r="32" spans="1:12" ht="12.75">
      <c r="A32" s="7" t="s">
        <v>298</v>
      </c>
      <c r="B32" s="7" t="s">
        <v>299</v>
      </c>
      <c r="E32" s="254">
        <f>E35</f>
        <v>0.4843799545921538</v>
      </c>
      <c r="F32" s="254">
        <f>F35</f>
        <v>0.5156200454078461</v>
      </c>
      <c r="G32" s="254">
        <f>G35</f>
        <v>0</v>
      </c>
      <c r="H32" s="254">
        <f>H35</f>
        <v>0</v>
      </c>
      <c r="I32" s="254">
        <f>I35</f>
        <v>0</v>
      </c>
      <c r="J32" s="6">
        <f t="shared" si="0"/>
        <v>1</v>
      </c>
      <c r="L32" s="6"/>
    </row>
    <row r="33" spans="1:12" ht="12.75">
      <c r="A33" s="7" t="s">
        <v>300</v>
      </c>
      <c r="B33" s="7" t="s">
        <v>301</v>
      </c>
      <c r="E33" s="254">
        <f>E35</f>
        <v>0.4843799545921538</v>
      </c>
      <c r="F33" s="254">
        <f>F35</f>
        <v>0.5156200454078461</v>
      </c>
      <c r="G33" s="254">
        <f>G35</f>
        <v>0</v>
      </c>
      <c r="H33" s="254">
        <f>H35</f>
        <v>0</v>
      </c>
      <c r="I33" s="254">
        <f>I35</f>
        <v>0</v>
      </c>
      <c r="J33" s="6">
        <f t="shared" si="0"/>
        <v>1</v>
      </c>
      <c r="L33" s="6"/>
    </row>
    <row r="34" spans="1:12" ht="12.75">
      <c r="A34" s="7" t="s">
        <v>302</v>
      </c>
      <c r="B34" s="7" t="s">
        <v>303</v>
      </c>
      <c r="E34" s="254">
        <f>'OTHER REVENUE'!E50</f>
        <v>0.00019262874020803904</v>
      </c>
      <c r="F34" s="254">
        <f>'OTHER REVENUE'!F50</f>
        <v>0.9998073712597919</v>
      </c>
      <c r="G34" s="254">
        <f>'OTHER REVENUE'!G50</f>
        <v>0</v>
      </c>
      <c r="H34" s="254">
        <f>'OTHER REVENUE'!H50</f>
        <v>0</v>
      </c>
      <c r="I34" s="254">
        <f>'OTHER REVENUE'!I50</f>
        <v>0</v>
      </c>
      <c r="J34" s="6">
        <f t="shared" si="0"/>
        <v>1</v>
      </c>
      <c r="L34" s="6"/>
    </row>
    <row r="35" spans="1:12" ht="12.75">
      <c r="A35" s="7" t="s">
        <v>304</v>
      </c>
      <c r="B35" s="7" t="s">
        <v>305</v>
      </c>
      <c r="E35" s="254">
        <f>'OTHER REVENUE'!E66</f>
        <v>0.4843799545921538</v>
      </c>
      <c r="F35" s="254">
        <f>'OTHER REVENUE'!F66</f>
        <v>0.5156200454078461</v>
      </c>
      <c r="G35" s="254">
        <f>'OTHER REVENUE'!G66</f>
        <v>0</v>
      </c>
      <c r="H35" s="254">
        <f>'OTHER REVENUE'!H66</f>
        <v>0</v>
      </c>
      <c r="I35" s="254">
        <f>'OTHER REVENUE'!I66</f>
        <v>0</v>
      </c>
      <c r="J35" s="6">
        <f t="shared" si="0"/>
        <v>1</v>
      </c>
      <c r="L35" s="6"/>
    </row>
    <row r="36" spans="1:12" ht="12.75">
      <c r="A36" s="7" t="s">
        <v>306</v>
      </c>
      <c r="B36" s="7" t="s">
        <v>307</v>
      </c>
      <c r="E36" s="254">
        <f>E35</f>
        <v>0.4843799545921538</v>
      </c>
      <c r="F36" s="254">
        <f>F35</f>
        <v>0.5156200454078461</v>
      </c>
      <c r="G36" s="254">
        <f>G35</f>
        <v>0</v>
      </c>
      <c r="H36" s="254">
        <f>H35</f>
        <v>0</v>
      </c>
      <c r="I36" s="254">
        <f>I35</f>
        <v>0</v>
      </c>
      <c r="J36" s="6">
        <f t="shared" si="0"/>
        <v>1</v>
      </c>
      <c r="L36" s="6"/>
    </row>
    <row r="37" spans="1:12" ht="12.75">
      <c r="A37" s="7" t="s">
        <v>72</v>
      </c>
      <c r="B37" s="7" t="s">
        <v>73</v>
      </c>
      <c r="E37" s="254">
        <f>'OTHER REVENUE'!E34</f>
        <v>0.42176794862873573</v>
      </c>
      <c r="F37" s="254">
        <f>'OTHER REVENUE'!F34</f>
        <v>0.1791549274480045</v>
      </c>
      <c r="G37" s="254">
        <f>'OTHER REVENUE'!G34</f>
        <v>0.3040950450702131</v>
      </c>
      <c r="H37" s="254">
        <f>'OTHER REVENUE'!H34</f>
        <v>0</v>
      </c>
      <c r="I37" s="254">
        <f>'OTHER REVENUE'!I34</f>
        <v>0.09498207885304659</v>
      </c>
      <c r="J37" s="6">
        <f t="shared" si="0"/>
        <v>1</v>
      </c>
      <c r="L37" s="6"/>
    </row>
    <row r="38" spans="1:12" ht="12.75">
      <c r="A38" s="7" t="s">
        <v>308</v>
      </c>
      <c r="B38" s="7" t="s">
        <v>309</v>
      </c>
      <c r="E38" s="254">
        <f>'OTHER REVENUE'!E73</f>
        <v>0.004050293132200674</v>
      </c>
      <c r="F38" s="254">
        <f>'OTHER REVENUE'!F73</f>
        <v>0.0017204483522319605</v>
      </c>
      <c r="G38" s="254">
        <f>'OTHER REVENUE'!G73</f>
        <v>0.0029202647488710165</v>
      </c>
      <c r="H38" s="254">
        <f>'OTHER REVENUE'!H73</f>
        <v>0</v>
      </c>
      <c r="I38" s="254">
        <f>'OTHER REVENUE'!I73</f>
        <v>0.9913089937666963</v>
      </c>
      <c r="J38" s="6">
        <f t="shared" si="0"/>
        <v>1</v>
      </c>
      <c r="L38" s="6"/>
    </row>
    <row r="39" spans="1:12" ht="12.75">
      <c r="A39" s="7" t="s">
        <v>140</v>
      </c>
      <c r="B39" s="7" t="s">
        <v>136</v>
      </c>
      <c r="E39" s="254">
        <f>'FORM 1'!C13</f>
        <v>1</v>
      </c>
      <c r="F39" s="254">
        <f>'FORM 1'!D13</f>
        <v>0</v>
      </c>
      <c r="G39" s="254">
        <f>'FORM 1'!E13</f>
        <v>0</v>
      </c>
      <c r="H39" s="254">
        <f>'FORM 1'!F13</f>
        <v>0</v>
      </c>
      <c r="I39" s="254">
        <f>'FORM 1'!G13</f>
        <v>0</v>
      </c>
      <c r="J39" s="6">
        <f t="shared" si="0"/>
        <v>1</v>
      </c>
      <c r="L39" s="6"/>
    </row>
    <row r="40" spans="1:12" ht="12.75">
      <c r="A40" s="7" t="s">
        <v>310</v>
      </c>
      <c r="B40" s="7" t="s">
        <v>311</v>
      </c>
      <c r="E40" s="254">
        <f>'SCH M'!E165</f>
        <v>0.4186476509089497</v>
      </c>
      <c r="F40" s="254">
        <f>'SCH M'!F165</f>
        <v>0.16260587881992428</v>
      </c>
      <c r="G40" s="254">
        <f>'SCH M'!G165</f>
        <v>0.39475817199844215</v>
      </c>
      <c r="H40" s="254">
        <f>'SCH M'!H165</f>
        <v>0.01093939906005865</v>
      </c>
      <c r="I40" s="254">
        <f>'SCH M'!I165</f>
        <v>0.013048899212625323</v>
      </c>
      <c r="J40" s="6">
        <f t="shared" si="0"/>
        <v>1</v>
      </c>
      <c r="L40" s="23"/>
    </row>
    <row r="41" spans="1:12" ht="12.75">
      <c r="A41" s="7" t="s">
        <v>247</v>
      </c>
      <c r="B41" s="7" t="s">
        <v>312</v>
      </c>
      <c r="E41" s="254">
        <v>1</v>
      </c>
      <c r="F41" s="254">
        <v>0</v>
      </c>
      <c r="G41" s="254">
        <v>0</v>
      </c>
      <c r="H41" s="254">
        <v>0</v>
      </c>
      <c r="I41" s="254">
        <v>0</v>
      </c>
      <c r="J41" s="6">
        <f t="shared" si="0"/>
        <v>1</v>
      </c>
      <c r="L41" s="284"/>
    </row>
    <row r="42" spans="1:12" ht="12.75">
      <c r="A42" s="7" t="s">
        <v>240</v>
      </c>
      <c r="B42" s="7" t="s">
        <v>313</v>
      </c>
      <c r="E42" s="254">
        <f>'SCH M'!E29</f>
        <v>0.4387056419459905</v>
      </c>
      <c r="F42" s="254">
        <f>'SCH M'!F29</f>
        <v>0.07624193531066789</v>
      </c>
      <c r="G42" s="254">
        <f>'SCH M'!G29</f>
        <v>0.3570142361134608</v>
      </c>
      <c r="H42" s="254">
        <f>'SCH M'!H29</f>
        <v>0.1280381866298808</v>
      </c>
      <c r="I42" s="254">
        <f>'SCH M'!I29</f>
        <v>0</v>
      </c>
      <c r="J42" s="6">
        <f>ROUND(SUM(E42:I42),4)</f>
        <v>1</v>
      </c>
      <c r="L42" s="23"/>
    </row>
    <row r="43" spans="1:12" ht="12.75">
      <c r="A43" s="7" t="s">
        <v>39</v>
      </c>
      <c r="B43" s="7" t="s">
        <v>40</v>
      </c>
      <c r="E43" s="254">
        <f>'SCH M'!E25</f>
        <v>0.43405002557591393</v>
      </c>
      <c r="F43" s="254">
        <f>'SCH M'!F25</f>
        <v>0.06482010486013298</v>
      </c>
      <c r="G43" s="254">
        <f>'SCH M'!G25</f>
        <v>0.3603236299479621</v>
      </c>
      <c r="H43" s="254">
        <f>'SCH M'!H25</f>
        <v>0.140806239615991</v>
      </c>
      <c r="I43" s="254">
        <f>'SCH M'!I25</f>
        <v>0</v>
      </c>
      <c r="J43" s="6">
        <f>ROUND(SUM(E43:I43),4)</f>
        <v>1</v>
      </c>
      <c r="L43" s="23"/>
    </row>
    <row r="44" spans="1:12" ht="12.75">
      <c r="A44" s="7" t="s">
        <v>243</v>
      </c>
      <c r="B44" s="7" t="s">
        <v>314</v>
      </c>
      <c r="E44" s="254">
        <f>'SCH M'!E153</f>
        <v>0.4183135323484395</v>
      </c>
      <c r="F44" s="254">
        <f>'SCH M'!F153</f>
        <v>0.16404449729532444</v>
      </c>
      <c r="G44" s="254">
        <f>'SCH M'!G153</f>
        <v>0.39538689645557207</v>
      </c>
      <c r="H44" s="254">
        <f>'SCH M'!H153</f>
        <v>0.008988810974339182</v>
      </c>
      <c r="I44" s="254">
        <f>'SCH M'!I153</f>
        <v>0.013266262926324957</v>
      </c>
      <c r="J44" s="6">
        <f>ROUND(SUM(E44:I44),4)</f>
        <v>1</v>
      </c>
      <c r="L44" s="23"/>
    </row>
    <row r="45" spans="1:12" ht="12.75">
      <c r="A45" s="7" t="s">
        <v>41</v>
      </c>
      <c r="B45" s="7" t="s">
        <v>42</v>
      </c>
      <c r="E45" s="254">
        <f>'SCH M'!E45</f>
        <v>0.46162543398272715</v>
      </c>
      <c r="F45" s="254">
        <f>'SCH M'!F45</f>
        <v>0.19317649645797214</v>
      </c>
      <c r="G45" s="254">
        <f>'SCH M'!G45</f>
        <v>0.33716033425505554</v>
      </c>
      <c r="H45" s="254">
        <f>'SCH M'!H45</f>
        <v>0.008037735304245107</v>
      </c>
      <c r="I45" s="254">
        <f>'SCH M'!I45</f>
        <v>0</v>
      </c>
      <c r="J45" s="6">
        <f>ROUND(SUM(E45:I45),4)</f>
        <v>1</v>
      </c>
      <c r="L45" s="23"/>
    </row>
    <row r="46" spans="1:12" ht="12.75">
      <c r="A46" s="7" t="s">
        <v>43</v>
      </c>
      <c r="B46" s="7" t="s">
        <v>44</v>
      </c>
      <c r="E46" s="254">
        <f>'SCH M'!E65</f>
        <v>0.9779497969122025</v>
      </c>
      <c r="F46" s="254">
        <f>'SCH M'!F65</f>
        <v>0.002295003247333329</v>
      </c>
      <c r="G46" s="254">
        <f>'SCH M'!G65</f>
        <v>0.014045369887785052</v>
      </c>
      <c r="H46" s="254">
        <f>'SCH M'!H65</f>
        <v>0.005709829952679122</v>
      </c>
      <c r="I46" s="254">
        <f>'SCH M'!I65</f>
        <v>0</v>
      </c>
      <c r="J46" s="6">
        <f>ROUND(SUM(E46:I46),4)</f>
        <v>1</v>
      </c>
      <c r="L46" s="23"/>
    </row>
    <row r="47" spans="1:12" ht="12.75">
      <c r="A47" s="7" t="s">
        <v>50</v>
      </c>
      <c r="B47" s="7" t="s">
        <v>51</v>
      </c>
      <c r="E47" s="254">
        <f>'SCH M'!E149</f>
        <v>0.5257170128870253</v>
      </c>
      <c r="F47" s="254">
        <f>'SCH M'!F149</f>
        <v>0.061745182541614756</v>
      </c>
      <c r="G47" s="254">
        <f>'SCH M'!G149</f>
        <v>0.3124711143613614</v>
      </c>
      <c r="H47" s="254">
        <f>'SCH M'!H149</f>
        <v>0.10006669020999863</v>
      </c>
      <c r="I47" s="254">
        <f>'SCH M'!I149</f>
        <v>0</v>
      </c>
      <c r="J47" s="6">
        <f t="shared" si="0"/>
        <v>1</v>
      </c>
      <c r="L47" s="23"/>
    </row>
    <row r="48" spans="1:12" ht="12.75">
      <c r="A48" s="7" t="s">
        <v>45</v>
      </c>
      <c r="B48" s="7" t="s">
        <v>46</v>
      </c>
      <c r="E48" s="254">
        <f>'SCH M'!E86</f>
        <v>0.46569533414714753</v>
      </c>
      <c r="F48" s="254">
        <f>'SCH M'!F86</f>
        <v>0.1975913608894279</v>
      </c>
      <c r="G48" s="254">
        <f>'SCH M'!G86</f>
        <v>0.3360980291022492</v>
      </c>
      <c r="H48" s="254">
        <f>'SCH M'!H86</f>
        <v>0.0006152758611753478</v>
      </c>
      <c r="I48" s="254">
        <f>'SCH M'!I86</f>
        <v>0</v>
      </c>
      <c r="J48" s="6">
        <f t="shared" si="0"/>
        <v>1</v>
      </c>
      <c r="L48" s="23"/>
    </row>
    <row r="49" spans="1:12" ht="12.75">
      <c r="A49" s="7" t="s">
        <v>48</v>
      </c>
      <c r="B49" s="7" t="s">
        <v>49</v>
      </c>
      <c r="E49" s="254">
        <f>'SCH M'!E107</f>
        <v>0.38034007968183486</v>
      </c>
      <c r="F49" s="254">
        <f>'SCH M'!F107</f>
        <v>0.10902703676061494</v>
      </c>
      <c r="G49" s="254">
        <f>'SCH M'!G107</f>
        <v>0.41220227749474747</v>
      </c>
      <c r="H49" s="254">
        <f>'SCH M'!H107</f>
        <v>0.05187151428399035</v>
      </c>
      <c r="I49" s="254">
        <f>'SCH M'!I107</f>
        <v>0.04655909177881242</v>
      </c>
      <c r="J49" s="6">
        <f t="shared" si="0"/>
        <v>1</v>
      </c>
      <c r="L49" s="23"/>
    </row>
    <row r="50" spans="1:12" ht="12.75">
      <c r="A50" s="7" t="s">
        <v>315</v>
      </c>
      <c r="B50" s="7" t="s">
        <v>316</v>
      </c>
      <c r="E50" s="254">
        <f>'SCH M'!E297</f>
        <v>0.46124531771933813</v>
      </c>
      <c r="F50" s="254">
        <f>'SCH M'!F297</f>
        <v>0.18610223380899302</v>
      </c>
      <c r="G50" s="254">
        <f>'SCH M'!G297</f>
        <v>0.33295941636750154</v>
      </c>
      <c r="H50" s="254">
        <f>'SCH M'!H297</f>
        <v>0.014634272995452426</v>
      </c>
      <c r="I50" s="254">
        <f>'SCH M'!I297</f>
        <v>0.005058759108714881</v>
      </c>
      <c r="J50" s="6">
        <f t="shared" si="0"/>
        <v>1</v>
      </c>
      <c r="L50" s="23"/>
    </row>
    <row r="51" spans="1:12" ht="12.75">
      <c r="A51" s="7" t="s">
        <v>256</v>
      </c>
      <c r="B51" s="7" t="s">
        <v>317</v>
      </c>
      <c r="E51" s="254">
        <v>1</v>
      </c>
      <c r="F51" s="254">
        <v>0</v>
      </c>
      <c r="G51" s="254">
        <v>0</v>
      </c>
      <c r="H51" s="254">
        <v>0</v>
      </c>
      <c r="I51" s="254">
        <v>0</v>
      </c>
      <c r="J51" s="6">
        <f t="shared" si="0"/>
        <v>1</v>
      </c>
      <c r="L51" s="23"/>
    </row>
    <row r="52" spans="1:12" ht="12.75">
      <c r="A52" s="7" t="s">
        <v>250</v>
      </c>
      <c r="B52" s="7" t="s">
        <v>0</v>
      </c>
      <c r="E52" s="254">
        <f>'SCH M'!E189</f>
        <v>0.6373609129878448</v>
      </c>
      <c r="F52" s="254">
        <f>'SCH M'!F189</f>
        <v>0.039079245816938786</v>
      </c>
      <c r="G52" s="254">
        <f>'SCH M'!G189</f>
        <v>0.23095250216858695</v>
      </c>
      <c r="H52" s="254">
        <f>'SCH M'!H189</f>
        <v>0.09260733902662947</v>
      </c>
      <c r="I52" s="254">
        <f>'SCH M'!I189</f>
        <v>0</v>
      </c>
      <c r="J52" s="6">
        <f t="shared" si="0"/>
        <v>1</v>
      </c>
      <c r="L52" s="23"/>
    </row>
    <row r="53" spans="1:12" ht="12.75">
      <c r="A53" s="7" t="s">
        <v>52</v>
      </c>
      <c r="B53" s="7" t="s">
        <v>53</v>
      </c>
      <c r="E53" s="254">
        <f>'SCH M'!E185</f>
        <v>0.4326649635053365</v>
      </c>
      <c r="F53" s="254">
        <f>'SCH M'!F185</f>
        <v>0.059054380221967066</v>
      </c>
      <c r="G53" s="254">
        <f>'SCH M'!G185</f>
        <v>0.361376572647439</v>
      </c>
      <c r="H53" s="254">
        <f>'SCH M'!H185</f>
        <v>0.14690408362525745</v>
      </c>
      <c r="I53" s="254">
        <f>'SCH M'!I185</f>
        <v>0</v>
      </c>
      <c r="J53" s="6">
        <f t="shared" si="0"/>
        <v>1</v>
      </c>
      <c r="L53" s="23"/>
    </row>
    <row r="54" spans="1:12" ht="12.75">
      <c r="A54" s="7" t="s">
        <v>253</v>
      </c>
      <c r="B54" s="7" t="s">
        <v>1</v>
      </c>
      <c r="E54" s="254">
        <f>'SCH M'!E287</f>
        <v>0.45335384752527064</v>
      </c>
      <c r="F54" s="254">
        <f>'SCH M'!F287</f>
        <v>0.1926901088112786</v>
      </c>
      <c r="G54" s="254">
        <f>'SCH M'!G287</f>
        <v>0.33753019002194284</v>
      </c>
      <c r="H54" s="254">
        <f>'SCH M'!H287</f>
        <v>0.011140419282003782</v>
      </c>
      <c r="I54" s="254">
        <f>'SCH M'!I287</f>
        <v>0.005285434359504155</v>
      </c>
      <c r="J54" s="6">
        <f t="shared" si="0"/>
        <v>1</v>
      </c>
      <c r="L54" s="23"/>
    </row>
    <row r="55" spans="1:12" ht="12.75">
      <c r="A55" s="7" t="s">
        <v>54</v>
      </c>
      <c r="B55" s="7" t="s">
        <v>55</v>
      </c>
      <c r="E55" s="254">
        <f>'SCH M'!E202</f>
        <v>0.46603270363333577</v>
      </c>
      <c r="F55" s="254">
        <f>'SCH M'!F202</f>
        <v>0.1979573257742307</v>
      </c>
      <c r="G55" s="254">
        <f>'SCH M'!G202</f>
        <v>0.33600997059243354</v>
      </c>
      <c r="H55" s="254">
        <f>'SCH M'!H202</f>
        <v>0</v>
      </c>
      <c r="I55" s="254">
        <f>'SCH M'!I202</f>
        <v>0</v>
      </c>
      <c r="J55" s="6">
        <f t="shared" si="0"/>
        <v>1</v>
      </c>
      <c r="L55" s="23"/>
    </row>
    <row r="56" spans="1:12" ht="12.75">
      <c r="A56" s="7" t="s">
        <v>56</v>
      </c>
      <c r="B56" s="7" t="s">
        <v>57</v>
      </c>
      <c r="E56" s="254">
        <f>'SCH M'!E220</f>
        <v>0.4985709519468139</v>
      </c>
      <c r="F56" s="254">
        <f>'SCH M'!F220</f>
        <v>0.17991991605722127</v>
      </c>
      <c r="G56" s="254">
        <f>'SCH M'!G220</f>
        <v>0.3140229797582646</v>
      </c>
      <c r="H56" s="254">
        <f>'SCH M'!H220</f>
        <v>0.007486152237700256</v>
      </c>
      <c r="I56" s="254">
        <f>'SCH M'!I220</f>
        <v>0</v>
      </c>
      <c r="J56" s="6">
        <f t="shared" si="0"/>
        <v>1</v>
      </c>
      <c r="L56" s="23"/>
    </row>
    <row r="57" spans="1:12" ht="12.75">
      <c r="A57" s="7" t="s">
        <v>62</v>
      </c>
      <c r="B57" s="7" t="s">
        <v>63</v>
      </c>
      <c r="E57" s="254">
        <f>'SCH M'!E282</f>
        <v>0.3482382286527661</v>
      </c>
      <c r="F57" s="254">
        <f>'SCH M'!F282</f>
        <v>0.1375248906381623</v>
      </c>
      <c r="G57" s="254">
        <f>'SCH M'!G282</f>
        <v>0.4310867864663648</v>
      </c>
      <c r="H57" s="254">
        <f>'SCH M'!H282</f>
        <v>0.012759753133809814</v>
      </c>
      <c r="I57" s="254">
        <f>'SCH M'!I282</f>
        <v>0.07039034110889697</v>
      </c>
      <c r="J57" s="6">
        <f t="shared" si="0"/>
        <v>1</v>
      </c>
      <c r="L57" s="23"/>
    </row>
    <row r="58" spans="1:12" ht="12.75">
      <c r="A58" s="7" t="s">
        <v>58</v>
      </c>
      <c r="B58" s="7" t="s">
        <v>59</v>
      </c>
      <c r="E58" s="254">
        <f>'SCH M'!E226</f>
        <v>0.46603270363333577</v>
      </c>
      <c r="F58" s="254">
        <f>'SCH M'!F226</f>
        <v>0.1979573257742307</v>
      </c>
      <c r="G58" s="254">
        <f>'SCH M'!G226</f>
        <v>0.33600997059243354</v>
      </c>
      <c r="H58" s="254">
        <f>'SCH M'!H226</f>
        <v>0</v>
      </c>
      <c r="I58" s="254">
        <f>'SCH M'!I226</f>
        <v>0</v>
      </c>
      <c r="J58" s="6">
        <f t="shared" si="0"/>
        <v>1</v>
      </c>
      <c r="L58" s="23"/>
    </row>
    <row r="59" spans="1:12" ht="12.75">
      <c r="A59" s="7" t="s">
        <v>60</v>
      </c>
      <c r="B59" s="7" t="s">
        <v>61</v>
      </c>
      <c r="E59" s="254">
        <f>'SCH M'!E244</f>
        <v>0.4694646167984892</v>
      </c>
      <c r="F59" s="254">
        <f>'SCH M'!F244</f>
        <v>0.10976755660726303</v>
      </c>
      <c r="G59" s="254">
        <f>'SCH M'!G244</f>
        <v>0.35243380016540243</v>
      </c>
      <c r="H59" s="254">
        <f>'SCH M'!H244</f>
        <v>0.0683340264288453</v>
      </c>
      <c r="I59" s="254">
        <f>'SCH M'!I244</f>
        <v>0</v>
      </c>
      <c r="J59" s="6">
        <f t="shared" si="0"/>
        <v>1</v>
      </c>
      <c r="L59" s="23"/>
    </row>
    <row r="60" spans="1:12" ht="12.75">
      <c r="A60" s="7" t="s">
        <v>141</v>
      </c>
      <c r="B60" s="7" t="s">
        <v>137</v>
      </c>
      <c r="E60" s="254">
        <f>'FORM 1'!C14</f>
        <v>0</v>
      </c>
      <c r="F60" s="254">
        <f>'FORM 1'!D14</f>
        <v>1</v>
      </c>
      <c r="G60" s="254">
        <f>'FORM 1'!E14</f>
        <v>0</v>
      </c>
      <c r="H60" s="254">
        <f>'FORM 1'!F14</f>
        <v>0</v>
      </c>
      <c r="I60" s="254">
        <f>'FORM 1'!G14</f>
        <v>0</v>
      </c>
      <c r="J60" s="6">
        <f t="shared" si="0"/>
        <v>1</v>
      </c>
      <c r="L60" s="6"/>
    </row>
    <row r="61" spans="1:12" ht="12.75">
      <c r="A61" s="7" t="s">
        <v>337</v>
      </c>
      <c r="B61" s="7" t="s">
        <v>362</v>
      </c>
      <c r="E61" s="254">
        <f>'TAX DEPR'!C72</f>
        <v>0.4427855426223334</v>
      </c>
      <c r="F61" s="254">
        <f>'TAX DEPR'!D72</f>
        <v>0.21612863998115678</v>
      </c>
      <c r="G61" s="254">
        <f>'TAX DEPR'!E72</f>
        <v>0.33347689695283245</v>
      </c>
      <c r="H61" s="254">
        <f>'TAX DEPR'!F72</f>
        <v>0.007608920443677394</v>
      </c>
      <c r="I61" s="254">
        <f>'TAX DEPR'!G72</f>
        <v>0</v>
      </c>
      <c r="J61" s="6">
        <f t="shared" si="0"/>
        <v>1</v>
      </c>
      <c r="L61" s="6"/>
    </row>
    <row r="62" spans="1:12" ht="12.75">
      <c r="A62" s="7" t="s">
        <v>175</v>
      </c>
      <c r="B62" s="7" t="s">
        <v>2</v>
      </c>
      <c r="E62" s="254">
        <f>'FORM 1'!C18</f>
        <v>0</v>
      </c>
      <c r="F62" s="254">
        <f>'FORM 1'!D18</f>
        <v>0.37072930705909285</v>
      </c>
      <c r="G62" s="254">
        <f>'FORM 1'!E18</f>
        <v>0.6292706929409071</v>
      </c>
      <c r="H62" s="254">
        <f>'FORM 1'!F18</f>
        <v>0</v>
      </c>
      <c r="I62" s="254">
        <f>'FORM 1'!G18</f>
        <v>0</v>
      </c>
      <c r="J62" s="6">
        <f t="shared" si="0"/>
        <v>1</v>
      </c>
      <c r="L62" s="6"/>
    </row>
    <row r="63" spans="1:12" ht="12.75">
      <c r="A63" s="7" t="s">
        <v>3</v>
      </c>
      <c r="B63" s="7" t="s">
        <v>4</v>
      </c>
      <c r="E63" s="254">
        <f>'FORM 1'!C46</f>
        <v>0.9055295431771548</v>
      </c>
      <c r="F63" s="254">
        <f>'FORM 1'!D46</f>
        <v>0.09447045682284513</v>
      </c>
      <c r="G63" s="254">
        <f>'FORM 1'!E46</f>
        <v>0</v>
      </c>
      <c r="H63" s="254">
        <f>'FORM 1'!F46</f>
        <v>0</v>
      </c>
      <c r="I63" s="254">
        <f>'FORM 1'!G46</f>
        <v>0</v>
      </c>
      <c r="J63" s="6">
        <f t="shared" si="0"/>
        <v>1</v>
      </c>
      <c r="L63" s="6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5:12" ht="12.75">
      <c r="E65" s="5"/>
      <c r="F65" s="5"/>
      <c r="G65" s="5"/>
      <c r="H65" s="5"/>
      <c r="I65" s="5"/>
      <c r="J65" s="5"/>
      <c r="L65" s="6"/>
    </row>
    <row r="67" spans="5:10" ht="12.75">
      <c r="E67" s="6"/>
      <c r="J67" s="287"/>
    </row>
  </sheetData>
  <mergeCells count="1">
    <mergeCell ref="A3:J3"/>
  </mergeCells>
  <printOptions horizontalCentered="1"/>
  <pageMargins left="0.5" right="0.5" top="0.25" bottom="0.25" header="0.4" footer="0.2"/>
  <pageSetup horizontalDpi="600" verticalDpi="600" orientation="landscape" scale="90" r:id="rId3"/>
  <headerFooter alignWithMargins="0">
    <oddFooter>&amp;LExhibit RMP____(CCP-3)&amp;CTab 3 -Page 2 of 20&amp;R&amp;F</oddFooter>
  </headerFooter>
  <rowBreaks count="1" manualBreakCount="1">
    <brk id="33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K282"/>
  <sheetViews>
    <sheetView zoomScale="90" zoomScaleNormal="90" workbookViewId="0" topLeftCell="A75">
      <selection activeCell="A159" sqref="A159:I267"/>
    </sheetView>
  </sheetViews>
  <sheetFormatPr defaultColWidth="9.140625" defaultRowHeight="12.75"/>
  <cols>
    <col min="1" max="1" width="15.00390625" style="4" customWidth="1"/>
    <col min="2" max="2" width="10.8515625" style="4" customWidth="1"/>
    <col min="3" max="3" width="9.140625" style="4" customWidth="1"/>
    <col min="4" max="4" width="14.28125" style="4" bestFit="1" customWidth="1"/>
    <col min="5" max="6" width="15.7109375" style="4" customWidth="1"/>
    <col min="7" max="7" width="15.140625" style="4" bestFit="1" customWidth="1"/>
    <col min="8" max="9" width="15.7109375" style="4" customWidth="1"/>
    <col min="10" max="10" width="9.140625" style="4" customWidth="1"/>
    <col min="11" max="11" width="12.57421875" style="4" bestFit="1" customWidth="1"/>
    <col min="12" max="16384" width="9.140625" style="4" customWidth="1"/>
  </cols>
  <sheetData>
    <row r="1" spans="1:9" ht="12.75">
      <c r="A1" s="294" t="str">
        <f>+'TOTAL FUNCFAC'!$A$1</f>
        <v>PACIFICORP</v>
      </c>
      <c r="B1" s="294"/>
      <c r="C1" s="294"/>
      <c r="D1" s="294"/>
      <c r="E1" s="294"/>
      <c r="F1" s="294"/>
      <c r="G1" s="294"/>
      <c r="H1" s="294"/>
      <c r="I1" s="294"/>
    </row>
    <row r="2" spans="1:9" ht="12.75">
      <c r="A2" s="294" t="str">
        <f>+'TOTAL FUNCFAC'!$A$2</f>
        <v>12 Months Ended December 2007</v>
      </c>
      <c r="B2" s="294"/>
      <c r="C2" s="294"/>
      <c r="D2" s="294"/>
      <c r="E2" s="294"/>
      <c r="F2" s="294"/>
      <c r="G2" s="294"/>
      <c r="H2" s="294"/>
      <c r="I2" s="294"/>
    </row>
    <row r="3" spans="1:9" ht="12.75">
      <c r="A3" s="294" t="s">
        <v>367</v>
      </c>
      <c r="B3" s="294"/>
      <c r="C3" s="294"/>
      <c r="D3" s="294"/>
      <c r="E3" s="294"/>
      <c r="F3" s="294"/>
      <c r="G3" s="294"/>
      <c r="H3" s="294"/>
      <c r="I3" s="294"/>
    </row>
    <row r="6" spans="1:11" ht="12.75">
      <c r="A6" s="275" t="s">
        <v>176</v>
      </c>
      <c r="B6" s="275" t="s">
        <v>151</v>
      </c>
      <c r="C6" s="275" t="s">
        <v>152</v>
      </c>
      <c r="D6" s="275" t="s">
        <v>144</v>
      </c>
      <c r="E6" s="45" t="s">
        <v>136</v>
      </c>
      <c r="F6" s="45" t="s">
        <v>137</v>
      </c>
      <c r="G6" s="45" t="s">
        <v>142</v>
      </c>
      <c r="H6" s="45" t="s">
        <v>145</v>
      </c>
      <c r="I6" s="45" t="s">
        <v>146</v>
      </c>
      <c r="K6" s="54"/>
    </row>
    <row r="7" spans="1:11" ht="12.75">
      <c r="A7" s="260" t="s">
        <v>5</v>
      </c>
      <c r="B7" s="261" t="s">
        <v>163</v>
      </c>
      <c r="C7" s="261" t="s">
        <v>140</v>
      </c>
      <c r="D7" s="9">
        <v>0</v>
      </c>
      <c r="E7" s="31">
        <f>VLOOKUP($C7,$C$257:$I$267,3,FALSE)*$D7</f>
        <v>0</v>
      </c>
      <c r="F7" s="31">
        <f>VLOOKUP($C7,$C$257:$I$267,4,FALSE)*$D7</f>
        <v>0</v>
      </c>
      <c r="G7" s="31">
        <f>VLOOKUP($C7,$C$257:$I$267,5,FALSE)*$D7</f>
        <v>0</v>
      </c>
      <c r="H7" s="31">
        <f>VLOOKUP($C7,$C$257:$I$267,6,FALSE)*$D7</f>
        <v>0</v>
      </c>
      <c r="I7" s="31">
        <f>VLOOKUP($C7,$C$257:$I$267,7,FALSE)*$D7</f>
        <v>0</v>
      </c>
      <c r="K7" s="55"/>
    </row>
    <row r="8" spans="1:11" ht="12.75">
      <c r="A8" s="260" t="s">
        <v>5</v>
      </c>
      <c r="B8" s="261" t="s">
        <v>163</v>
      </c>
      <c r="C8" s="261" t="s">
        <v>140</v>
      </c>
      <c r="D8" s="16">
        <v>0</v>
      </c>
      <c r="E8" s="16">
        <f>VLOOKUP($C8,$C$257:$I$267,3,FALSE)*$D8</f>
        <v>0</v>
      </c>
      <c r="F8" s="16">
        <f>VLOOKUP($C8,$C$257:$I$267,4,FALSE)*$D8</f>
        <v>0</v>
      </c>
      <c r="G8" s="16">
        <f>VLOOKUP($C8,$C$257:$I$267,5,FALSE)*$D8</f>
        <v>0</v>
      </c>
      <c r="H8" s="16">
        <f>VLOOKUP($C8,$C$257:$I$267,6,FALSE)*$D8</f>
        <v>0</v>
      </c>
      <c r="I8" s="16">
        <f>VLOOKUP($C8,$C$257:$I$267,7,FALSE)*$D8</f>
        <v>0</v>
      </c>
      <c r="K8" s="54"/>
    </row>
    <row r="9" spans="1:9" ht="12.75">
      <c r="A9" s="260" t="s">
        <v>5</v>
      </c>
      <c r="B9" s="261" t="s">
        <v>165</v>
      </c>
      <c r="C9" s="261" t="s">
        <v>140</v>
      </c>
      <c r="D9" s="11">
        <f>3546+4288+2938</f>
        <v>10772</v>
      </c>
      <c r="E9" s="262">
        <f>VLOOKUP($C9,$C$257:$I$267,3,FALSE)*$D9</f>
        <v>10772</v>
      </c>
      <c r="F9" s="16">
        <f>VLOOKUP($C9,$C$257:$I$267,4,FALSE)*$D9</f>
        <v>0</v>
      </c>
      <c r="G9" s="16">
        <f>VLOOKUP($C9,$C$257:$I$267,5,FALSE)*$D9</f>
        <v>0</v>
      </c>
      <c r="H9" s="16">
        <f>VLOOKUP($C9,$C$257:$I$267,6,FALSE)*$D9</f>
        <v>0</v>
      </c>
      <c r="I9" s="16">
        <f>VLOOKUP($C9,$C$257:$I$267,7,FALSE)*$D9</f>
        <v>0</v>
      </c>
    </row>
    <row r="10" spans="1:9" ht="12.75">
      <c r="A10" s="260" t="s">
        <v>5</v>
      </c>
      <c r="B10" s="261" t="s">
        <v>177</v>
      </c>
      <c r="C10" s="261" t="s">
        <v>140</v>
      </c>
      <c r="D10" s="16">
        <f>11318</f>
        <v>11318</v>
      </c>
      <c r="E10" s="262">
        <f>VLOOKUP($C10,$C$257:$I$267,3,FALSE)*$D10</f>
        <v>11318</v>
      </c>
      <c r="F10" s="16">
        <f>VLOOKUP($C10,$C$257:$I$267,4,FALSE)*$D10</f>
        <v>0</v>
      </c>
      <c r="G10" s="16">
        <f>VLOOKUP($C10,$C$257:$I$267,5,FALSE)*$D10</f>
        <v>0</v>
      </c>
      <c r="H10" s="16">
        <f>VLOOKUP($C10,$C$257:$I$267,6,FALSE)*$D10</f>
        <v>0</v>
      </c>
      <c r="I10" s="16">
        <f>VLOOKUP($C10,$C$257:$I$267,7,FALSE)*$D10</f>
        <v>0</v>
      </c>
    </row>
    <row r="11" spans="1:9" ht="12.75">
      <c r="A11" s="260"/>
      <c r="B11" s="261"/>
      <c r="C11" s="261"/>
      <c r="D11" s="263"/>
      <c r="E11" s="264"/>
      <c r="F11" s="264"/>
      <c r="G11" s="264"/>
      <c r="H11" s="264"/>
      <c r="I11" s="264"/>
    </row>
    <row r="12" spans="1:9" ht="12.75">
      <c r="A12" s="260" t="s">
        <v>5</v>
      </c>
      <c r="B12" s="261" t="s">
        <v>167</v>
      </c>
      <c r="C12" s="261" t="s">
        <v>142</v>
      </c>
      <c r="D12" s="16">
        <v>0</v>
      </c>
      <c r="E12" s="16">
        <f aca="true" t="shared" si="0" ref="E12:E54">VLOOKUP($C12,$C$257:$I$267,3,FALSE)*$D12</f>
        <v>0</v>
      </c>
      <c r="F12" s="16">
        <f aca="true" t="shared" si="1" ref="F12:F54">VLOOKUP($C12,$C$257:$I$267,4,FALSE)*$D12</f>
        <v>0</v>
      </c>
      <c r="G12" s="16">
        <f aca="true" t="shared" si="2" ref="G12:G54">VLOOKUP($C12,$C$257:$I$267,5,FALSE)*$D12</f>
        <v>0</v>
      </c>
      <c r="H12" s="16">
        <f aca="true" t="shared" si="3" ref="H12:H54">VLOOKUP($C12,$C$257:$I$267,6,FALSE)*$D12</f>
        <v>0</v>
      </c>
      <c r="I12" s="16">
        <f aca="true" t="shared" si="4" ref="I12:I54">VLOOKUP($C12,$C$257:$I$267,7,FALSE)*$D12</f>
        <v>0</v>
      </c>
    </row>
    <row r="13" spans="1:9" ht="12.75">
      <c r="A13" s="260" t="s">
        <v>5</v>
      </c>
      <c r="B13" s="261" t="s">
        <v>167</v>
      </c>
      <c r="C13" s="261" t="s">
        <v>178</v>
      </c>
      <c r="D13" s="264">
        <v>1514</v>
      </c>
      <c r="E13" s="262">
        <f t="shared" si="0"/>
        <v>454.2</v>
      </c>
      <c r="F13" s="262">
        <f t="shared" si="1"/>
        <v>151.4</v>
      </c>
      <c r="G13" s="262">
        <f t="shared" si="2"/>
        <v>908.4</v>
      </c>
      <c r="H13" s="16">
        <f t="shared" si="3"/>
        <v>0</v>
      </c>
      <c r="I13" s="16">
        <f t="shared" si="4"/>
        <v>0</v>
      </c>
    </row>
    <row r="14" spans="1:9" ht="12.75">
      <c r="A14" s="260" t="s">
        <v>5</v>
      </c>
      <c r="B14" s="261" t="s">
        <v>167</v>
      </c>
      <c r="C14" s="261" t="s">
        <v>175</v>
      </c>
      <c r="D14" s="263">
        <v>930</v>
      </c>
      <c r="E14" s="265">
        <f t="shared" si="0"/>
        <v>0</v>
      </c>
      <c r="F14" s="262">
        <f t="shared" si="1"/>
        <v>344.77825556495634</v>
      </c>
      <c r="G14" s="262">
        <f t="shared" si="2"/>
        <v>585.2217444350435</v>
      </c>
      <c r="H14" s="16">
        <f t="shared" si="3"/>
        <v>0</v>
      </c>
      <c r="I14" s="16">
        <f t="shared" si="4"/>
        <v>0</v>
      </c>
    </row>
    <row r="15" spans="1:9" ht="12.75">
      <c r="A15" s="260" t="s">
        <v>5</v>
      </c>
      <c r="B15" s="261" t="s">
        <v>167</v>
      </c>
      <c r="C15" s="261" t="s">
        <v>146</v>
      </c>
      <c r="D15" s="264">
        <v>1347</v>
      </c>
      <c r="E15" s="265">
        <f t="shared" si="0"/>
        <v>0</v>
      </c>
      <c r="F15" s="16">
        <f t="shared" si="1"/>
        <v>0</v>
      </c>
      <c r="G15" s="16">
        <f t="shared" si="2"/>
        <v>0</v>
      </c>
      <c r="H15" s="16">
        <f t="shared" si="3"/>
        <v>0</v>
      </c>
      <c r="I15" s="262">
        <f t="shared" si="4"/>
        <v>1347</v>
      </c>
    </row>
    <row r="16" spans="1:9" ht="12.75" hidden="1">
      <c r="A16" s="260" t="s">
        <v>5</v>
      </c>
      <c r="B16" s="261" t="s">
        <v>167</v>
      </c>
      <c r="C16" s="261" t="s">
        <v>146</v>
      </c>
      <c r="D16" s="263">
        <v>0</v>
      </c>
      <c r="E16" s="262">
        <f t="shared" si="0"/>
        <v>0</v>
      </c>
      <c r="F16" s="16">
        <f t="shared" si="1"/>
        <v>0</v>
      </c>
      <c r="G16" s="16">
        <f t="shared" si="2"/>
        <v>0</v>
      </c>
      <c r="H16" s="16">
        <f t="shared" si="3"/>
        <v>0</v>
      </c>
      <c r="I16" s="262">
        <f t="shared" si="4"/>
        <v>0</v>
      </c>
    </row>
    <row r="17" spans="1:9" ht="12.75" hidden="1">
      <c r="A17" s="260" t="s">
        <v>5</v>
      </c>
      <c r="B17" s="261" t="s">
        <v>167</v>
      </c>
      <c r="C17" s="261" t="s">
        <v>178</v>
      </c>
      <c r="D17" s="263">
        <v>0</v>
      </c>
      <c r="E17" s="262">
        <f t="shared" si="0"/>
        <v>0</v>
      </c>
      <c r="F17" s="16">
        <f t="shared" si="1"/>
        <v>0</v>
      </c>
      <c r="G17" s="16">
        <f t="shared" si="2"/>
        <v>0</v>
      </c>
      <c r="H17" s="16">
        <f t="shared" si="3"/>
        <v>0</v>
      </c>
      <c r="I17" s="262">
        <f t="shared" si="4"/>
        <v>0</v>
      </c>
    </row>
    <row r="18" spans="1:9" ht="12.75" hidden="1">
      <c r="A18" s="260" t="s">
        <v>5</v>
      </c>
      <c r="B18" s="261" t="s">
        <v>167</v>
      </c>
      <c r="C18" s="261" t="s">
        <v>178</v>
      </c>
      <c r="D18" s="263">
        <v>0</v>
      </c>
      <c r="E18" s="262">
        <f t="shared" si="0"/>
        <v>0</v>
      </c>
      <c r="F18" s="16">
        <f t="shared" si="1"/>
        <v>0</v>
      </c>
      <c r="G18" s="16">
        <f t="shared" si="2"/>
        <v>0</v>
      </c>
      <c r="H18" s="16">
        <f t="shared" si="3"/>
        <v>0</v>
      </c>
      <c r="I18" s="262">
        <f t="shared" si="4"/>
        <v>0</v>
      </c>
    </row>
    <row r="19" spans="1:9" ht="12.75" hidden="1">
      <c r="A19" s="260" t="s">
        <v>5</v>
      </c>
      <c r="B19" s="261" t="s">
        <v>167</v>
      </c>
      <c r="C19" s="261" t="s">
        <v>146</v>
      </c>
      <c r="D19" s="263">
        <v>0</v>
      </c>
      <c r="E19" s="262">
        <f t="shared" si="0"/>
        <v>0</v>
      </c>
      <c r="F19" s="16">
        <f t="shared" si="1"/>
        <v>0</v>
      </c>
      <c r="G19" s="16">
        <f t="shared" si="2"/>
        <v>0</v>
      </c>
      <c r="H19" s="16">
        <f t="shared" si="3"/>
        <v>0</v>
      </c>
      <c r="I19" s="262">
        <f t="shared" si="4"/>
        <v>0</v>
      </c>
    </row>
    <row r="20" spans="1:9" ht="12.75">
      <c r="A20" s="260" t="s">
        <v>5</v>
      </c>
      <c r="B20" s="261" t="s">
        <v>167</v>
      </c>
      <c r="C20" s="261" t="s">
        <v>140</v>
      </c>
      <c r="D20" s="262">
        <v>2355</v>
      </c>
      <c r="E20" s="262">
        <f t="shared" si="0"/>
        <v>2355</v>
      </c>
      <c r="F20" s="16">
        <f t="shared" si="1"/>
        <v>0</v>
      </c>
      <c r="G20" s="16">
        <f t="shared" si="2"/>
        <v>0</v>
      </c>
      <c r="H20" s="16">
        <f t="shared" si="3"/>
        <v>0</v>
      </c>
      <c r="I20" s="16">
        <f t="shared" si="4"/>
        <v>0</v>
      </c>
    </row>
    <row r="21" spans="1:9" ht="12.75">
      <c r="A21" s="260" t="s">
        <v>5</v>
      </c>
      <c r="B21" s="261" t="s">
        <v>167</v>
      </c>
      <c r="C21" s="261" t="s">
        <v>141</v>
      </c>
      <c r="D21" s="39">
        <v>0</v>
      </c>
      <c r="E21" s="39">
        <f t="shared" si="0"/>
        <v>0</v>
      </c>
      <c r="F21" s="39">
        <f t="shared" si="1"/>
        <v>0</v>
      </c>
      <c r="G21" s="39">
        <f t="shared" si="2"/>
        <v>0</v>
      </c>
      <c r="H21" s="39">
        <f t="shared" si="3"/>
        <v>0</v>
      </c>
      <c r="I21" s="39">
        <f t="shared" si="4"/>
        <v>0</v>
      </c>
    </row>
    <row r="22" spans="1:9" ht="12.75" hidden="1">
      <c r="A22" s="261" t="s">
        <v>5</v>
      </c>
      <c r="B22" s="261" t="s">
        <v>167</v>
      </c>
      <c r="C22" s="261" t="s">
        <v>178</v>
      </c>
      <c r="D22" s="263">
        <v>0</v>
      </c>
      <c r="E22" s="262">
        <f t="shared" si="0"/>
        <v>0</v>
      </c>
      <c r="F22" s="262">
        <f t="shared" si="1"/>
        <v>0</v>
      </c>
      <c r="G22" s="262">
        <f t="shared" si="2"/>
        <v>0</v>
      </c>
      <c r="H22" s="262">
        <f t="shared" si="3"/>
        <v>0</v>
      </c>
      <c r="I22" s="262">
        <f t="shared" si="4"/>
        <v>0</v>
      </c>
    </row>
    <row r="23" spans="1:9" ht="12.75" hidden="1">
      <c r="A23" s="261" t="s">
        <v>5</v>
      </c>
      <c r="B23" s="261" t="s">
        <v>167</v>
      </c>
      <c r="C23" s="261" t="s">
        <v>178</v>
      </c>
      <c r="D23" s="263">
        <v>0</v>
      </c>
      <c r="E23" s="262">
        <f t="shared" si="0"/>
        <v>0</v>
      </c>
      <c r="F23" s="262">
        <f t="shared" si="1"/>
        <v>0</v>
      </c>
      <c r="G23" s="262">
        <f t="shared" si="2"/>
        <v>0</v>
      </c>
      <c r="H23" s="262">
        <f t="shared" si="3"/>
        <v>0</v>
      </c>
      <c r="I23" s="262">
        <f t="shared" si="4"/>
        <v>0</v>
      </c>
    </row>
    <row r="24" spans="1:9" ht="12.75" hidden="1">
      <c r="A24" s="261" t="s">
        <v>5</v>
      </c>
      <c r="B24" s="261" t="s">
        <v>167</v>
      </c>
      <c r="C24" s="261" t="s">
        <v>146</v>
      </c>
      <c r="D24" s="263">
        <v>0</v>
      </c>
      <c r="E24" s="262">
        <f t="shared" si="0"/>
        <v>0</v>
      </c>
      <c r="F24" s="262">
        <f t="shared" si="1"/>
        <v>0</v>
      </c>
      <c r="G24" s="262">
        <f t="shared" si="2"/>
        <v>0</v>
      </c>
      <c r="H24" s="262">
        <f t="shared" si="3"/>
        <v>0</v>
      </c>
      <c r="I24" s="262">
        <f t="shared" si="4"/>
        <v>0</v>
      </c>
    </row>
    <row r="25" spans="1:9" ht="12.75" hidden="1">
      <c r="A25" s="261" t="s">
        <v>5</v>
      </c>
      <c r="B25" s="261" t="s">
        <v>167</v>
      </c>
      <c r="C25" s="261" t="s">
        <v>146</v>
      </c>
      <c r="D25" s="263">
        <v>0</v>
      </c>
      <c r="E25" s="262">
        <f t="shared" si="0"/>
        <v>0</v>
      </c>
      <c r="F25" s="262">
        <f t="shared" si="1"/>
        <v>0</v>
      </c>
      <c r="G25" s="262">
        <f t="shared" si="2"/>
        <v>0</v>
      </c>
      <c r="H25" s="262">
        <f t="shared" si="3"/>
        <v>0</v>
      </c>
      <c r="I25" s="262">
        <f t="shared" si="4"/>
        <v>0</v>
      </c>
    </row>
    <row r="26" spans="1:9" ht="12.75" hidden="1">
      <c r="A26" s="261" t="s">
        <v>5</v>
      </c>
      <c r="B26" s="261" t="s">
        <v>167</v>
      </c>
      <c r="C26" s="261" t="s">
        <v>178</v>
      </c>
      <c r="D26" s="263">
        <v>0</v>
      </c>
      <c r="E26" s="262">
        <f t="shared" si="0"/>
        <v>0</v>
      </c>
      <c r="F26" s="262">
        <f t="shared" si="1"/>
        <v>0</v>
      </c>
      <c r="G26" s="262">
        <f t="shared" si="2"/>
        <v>0</v>
      </c>
      <c r="H26" s="262">
        <f t="shared" si="3"/>
        <v>0</v>
      </c>
      <c r="I26" s="262">
        <f t="shared" si="4"/>
        <v>0</v>
      </c>
    </row>
    <row r="27" spans="1:9" ht="12.75" hidden="1">
      <c r="A27" s="261" t="s">
        <v>5</v>
      </c>
      <c r="B27" s="261" t="s">
        <v>167</v>
      </c>
      <c r="C27" s="261" t="s">
        <v>146</v>
      </c>
      <c r="D27" s="263">
        <v>0</v>
      </c>
      <c r="E27" s="262">
        <f t="shared" si="0"/>
        <v>0</v>
      </c>
      <c r="F27" s="262">
        <f t="shared" si="1"/>
        <v>0</v>
      </c>
      <c r="G27" s="262">
        <f t="shared" si="2"/>
        <v>0</v>
      </c>
      <c r="H27" s="262">
        <f t="shared" si="3"/>
        <v>0</v>
      </c>
      <c r="I27" s="262">
        <f t="shared" si="4"/>
        <v>0</v>
      </c>
    </row>
    <row r="28" spans="1:9" ht="12.75" hidden="1">
      <c r="A28" s="261" t="s">
        <v>5</v>
      </c>
      <c r="B28" s="261" t="s">
        <v>167</v>
      </c>
      <c r="C28" s="261" t="s">
        <v>140</v>
      </c>
      <c r="D28" s="263">
        <v>0</v>
      </c>
      <c r="E28" s="262">
        <f t="shared" si="0"/>
        <v>0</v>
      </c>
      <c r="F28" s="262">
        <f t="shared" si="1"/>
        <v>0</v>
      </c>
      <c r="G28" s="262">
        <f t="shared" si="2"/>
        <v>0</v>
      </c>
      <c r="H28" s="262">
        <f t="shared" si="3"/>
        <v>0</v>
      </c>
      <c r="I28" s="262">
        <f t="shared" si="4"/>
        <v>0</v>
      </c>
    </row>
    <row r="29" spans="1:9" ht="12.75" hidden="1">
      <c r="A29" s="261" t="s">
        <v>5</v>
      </c>
      <c r="B29" s="261" t="s">
        <v>167</v>
      </c>
      <c r="C29" s="261" t="s">
        <v>178</v>
      </c>
      <c r="D29" s="263">
        <v>0</v>
      </c>
      <c r="E29" s="262">
        <f t="shared" si="0"/>
        <v>0</v>
      </c>
      <c r="F29" s="262">
        <f t="shared" si="1"/>
        <v>0</v>
      </c>
      <c r="G29" s="262">
        <f t="shared" si="2"/>
        <v>0</v>
      </c>
      <c r="H29" s="262">
        <f t="shared" si="3"/>
        <v>0</v>
      </c>
      <c r="I29" s="262">
        <f t="shared" si="4"/>
        <v>0</v>
      </c>
    </row>
    <row r="30" spans="1:9" ht="12.75" hidden="1">
      <c r="A30" s="261" t="s">
        <v>5</v>
      </c>
      <c r="B30" s="261" t="s">
        <v>167</v>
      </c>
      <c r="C30" s="261" t="s">
        <v>178</v>
      </c>
      <c r="D30" s="263">
        <v>0</v>
      </c>
      <c r="E30" s="262">
        <f t="shared" si="0"/>
        <v>0</v>
      </c>
      <c r="F30" s="262">
        <f t="shared" si="1"/>
        <v>0</v>
      </c>
      <c r="G30" s="262">
        <f t="shared" si="2"/>
        <v>0</v>
      </c>
      <c r="H30" s="262">
        <f t="shared" si="3"/>
        <v>0</v>
      </c>
      <c r="I30" s="262">
        <f t="shared" si="4"/>
        <v>0</v>
      </c>
    </row>
    <row r="31" spans="1:9" ht="12.75" hidden="1">
      <c r="A31" s="261" t="s">
        <v>5</v>
      </c>
      <c r="B31" s="261" t="s">
        <v>167</v>
      </c>
      <c r="C31" s="261" t="s">
        <v>140</v>
      </c>
      <c r="D31" s="263">
        <v>0</v>
      </c>
      <c r="E31" s="262">
        <f t="shared" si="0"/>
        <v>0</v>
      </c>
      <c r="F31" s="262">
        <f t="shared" si="1"/>
        <v>0</v>
      </c>
      <c r="G31" s="262">
        <f t="shared" si="2"/>
        <v>0</v>
      </c>
      <c r="H31" s="262">
        <f t="shared" si="3"/>
        <v>0</v>
      </c>
      <c r="I31" s="262">
        <f t="shared" si="4"/>
        <v>0</v>
      </c>
    </row>
    <row r="32" spans="1:9" ht="12.75" hidden="1">
      <c r="A32" s="261" t="s">
        <v>5</v>
      </c>
      <c r="B32" s="261" t="s">
        <v>167</v>
      </c>
      <c r="C32" s="261" t="s">
        <v>178</v>
      </c>
      <c r="D32" s="263">
        <v>0</v>
      </c>
      <c r="E32" s="262">
        <f t="shared" si="0"/>
        <v>0</v>
      </c>
      <c r="F32" s="262">
        <f t="shared" si="1"/>
        <v>0</v>
      </c>
      <c r="G32" s="262">
        <f t="shared" si="2"/>
        <v>0</v>
      </c>
      <c r="H32" s="262">
        <f t="shared" si="3"/>
        <v>0</v>
      </c>
      <c r="I32" s="262">
        <f t="shared" si="4"/>
        <v>0</v>
      </c>
    </row>
    <row r="33" spans="1:9" ht="12.75" hidden="1">
      <c r="A33" s="261" t="s">
        <v>5</v>
      </c>
      <c r="B33" s="261" t="s">
        <v>167</v>
      </c>
      <c r="C33" s="261" t="s">
        <v>146</v>
      </c>
      <c r="D33" s="263">
        <v>0</v>
      </c>
      <c r="E33" s="262">
        <f t="shared" si="0"/>
        <v>0</v>
      </c>
      <c r="F33" s="262">
        <f t="shared" si="1"/>
        <v>0</v>
      </c>
      <c r="G33" s="262">
        <f t="shared" si="2"/>
        <v>0</v>
      </c>
      <c r="H33" s="262">
        <f t="shared" si="3"/>
        <v>0</v>
      </c>
      <c r="I33" s="262">
        <f t="shared" si="4"/>
        <v>0</v>
      </c>
    </row>
    <row r="34" spans="1:9" ht="12.75" hidden="1">
      <c r="A34" s="261" t="s">
        <v>5</v>
      </c>
      <c r="B34" s="261" t="s">
        <v>167</v>
      </c>
      <c r="C34" s="261" t="s">
        <v>146</v>
      </c>
      <c r="D34" s="263">
        <v>0</v>
      </c>
      <c r="E34" s="262">
        <f t="shared" si="0"/>
        <v>0</v>
      </c>
      <c r="F34" s="262">
        <f t="shared" si="1"/>
        <v>0</v>
      </c>
      <c r="G34" s="262">
        <f t="shared" si="2"/>
        <v>0</v>
      </c>
      <c r="H34" s="262">
        <f t="shared" si="3"/>
        <v>0</v>
      </c>
      <c r="I34" s="262">
        <f t="shared" si="4"/>
        <v>0</v>
      </c>
    </row>
    <row r="35" spans="1:9" ht="12.75" hidden="1">
      <c r="A35" s="261" t="s">
        <v>5</v>
      </c>
      <c r="B35" s="261" t="s">
        <v>167</v>
      </c>
      <c r="C35" s="261" t="s">
        <v>140</v>
      </c>
      <c r="D35" s="263">
        <v>0</v>
      </c>
      <c r="E35" s="262">
        <f t="shared" si="0"/>
        <v>0</v>
      </c>
      <c r="F35" s="262">
        <f t="shared" si="1"/>
        <v>0</v>
      </c>
      <c r="G35" s="262">
        <f t="shared" si="2"/>
        <v>0</v>
      </c>
      <c r="H35" s="262">
        <f t="shared" si="3"/>
        <v>0</v>
      </c>
      <c r="I35" s="262">
        <f t="shared" si="4"/>
        <v>0</v>
      </c>
    </row>
    <row r="36" spans="1:9" ht="12.75" hidden="1">
      <c r="A36" s="261" t="s">
        <v>5</v>
      </c>
      <c r="B36" s="261" t="s">
        <v>167</v>
      </c>
      <c r="C36" s="261" t="s">
        <v>141</v>
      </c>
      <c r="D36" s="263">
        <v>0</v>
      </c>
      <c r="E36" s="262">
        <f t="shared" si="0"/>
        <v>0</v>
      </c>
      <c r="F36" s="262">
        <f t="shared" si="1"/>
        <v>0</v>
      </c>
      <c r="G36" s="262">
        <f t="shared" si="2"/>
        <v>0</v>
      </c>
      <c r="H36" s="262">
        <f t="shared" si="3"/>
        <v>0</v>
      </c>
      <c r="I36" s="262">
        <f t="shared" si="4"/>
        <v>0</v>
      </c>
    </row>
    <row r="37" spans="1:9" ht="12.75" hidden="1">
      <c r="A37" s="261" t="s">
        <v>5</v>
      </c>
      <c r="B37" s="261" t="s">
        <v>167</v>
      </c>
      <c r="C37" s="261" t="s">
        <v>146</v>
      </c>
      <c r="D37" s="263">
        <v>0</v>
      </c>
      <c r="E37" s="262">
        <f t="shared" si="0"/>
        <v>0</v>
      </c>
      <c r="F37" s="262">
        <f t="shared" si="1"/>
        <v>0</v>
      </c>
      <c r="G37" s="262">
        <f t="shared" si="2"/>
        <v>0</v>
      </c>
      <c r="H37" s="262">
        <f t="shared" si="3"/>
        <v>0</v>
      </c>
      <c r="I37" s="262">
        <f t="shared" si="4"/>
        <v>0</v>
      </c>
    </row>
    <row r="38" spans="1:9" ht="12.75" hidden="1">
      <c r="A38" s="261" t="s">
        <v>5</v>
      </c>
      <c r="B38" s="261" t="s">
        <v>167</v>
      </c>
      <c r="C38" s="261" t="s">
        <v>140</v>
      </c>
      <c r="D38" s="263">
        <v>0</v>
      </c>
      <c r="E38" s="262">
        <f t="shared" si="0"/>
        <v>0</v>
      </c>
      <c r="F38" s="262">
        <f t="shared" si="1"/>
        <v>0</v>
      </c>
      <c r="G38" s="262">
        <f t="shared" si="2"/>
        <v>0</v>
      </c>
      <c r="H38" s="262">
        <f t="shared" si="3"/>
        <v>0</v>
      </c>
      <c r="I38" s="262">
        <f t="shared" si="4"/>
        <v>0</v>
      </c>
    </row>
    <row r="39" spans="1:9" ht="12.75" hidden="1">
      <c r="A39" s="261" t="s">
        <v>5</v>
      </c>
      <c r="B39" s="261" t="s">
        <v>167</v>
      </c>
      <c r="C39" s="261" t="s">
        <v>140</v>
      </c>
      <c r="D39" s="263">
        <v>0</v>
      </c>
      <c r="E39" s="262">
        <f t="shared" si="0"/>
        <v>0</v>
      </c>
      <c r="F39" s="262">
        <f t="shared" si="1"/>
        <v>0</v>
      </c>
      <c r="G39" s="262">
        <f t="shared" si="2"/>
        <v>0</v>
      </c>
      <c r="H39" s="262">
        <f t="shared" si="3"/>
        <v>0</v>
      </c>
      <c r="I39" s="262">
        <f t="shared" si="4"/>
        <v>0</v>
      </c>
    </row>
    <row r="40" spans="1:9" ht="12.75" hidden="1">
      <c r="A40" s="261" t="s">
        <v>5</v>
      </c>
      <c r="B40" s="261" t="s">
        <v>167</v>
      </c>
      <c r="C40" s="261" t="s">
        <v>146</v>
      </c>
      <c r="D40" s="263">
        <v>0</v>
      </c>
      <c r="E40" s="262">
        <f t="shared" si="0"/>
        <v>0</v>
      </c>
      <c r="F40" s="262">
        <f t="shared" si="1"/>
        <v>0</v>
      </c>
      <c r="G40" s="262">
        <f t="shared" si="2"/>
        <v>0</v>
      </c>
      <c r="H40" s="262">
        <f t="shared" si="3"/>
        <v>0</v>
      </c>
      <c r="I40" s="262">
        <f t="shared" si="4"/>
        <v>0</v>
      </c>
    </row>
    <row r="41" spans="1:9" ht="12.75" hidden="1">
      <c r="A41" s="261" t="s">
        <v>5</v>
      </c>
      <c r="B41" s="261" t="s">
        <v>167</v>
      </c>
      <c r="C41" s="261" t="s">
        <v>178</v>
      </c>
      <c r="D41" s="263">
        <v>0</v>
      </c>
      <c r="E41" s="262">
        <f t="shared" si="0"/>
        <v>0</v>
      </c>
      <c r="F41" s="262">
        <f t="shared" si="1"/>
        <v>0</v>
      </c>
      <c r="G41" s="262">
        <f t="shared" si="2"/>
        <v>0</v>
      </c>
      <c r="H41" s="262">
        <f t="shared" si="3"/>
        <v>0</v>
      </c>
      <c r="I41" s="262">
        <f t="shared" si="4"/>
        <v>0</v>
      </c>
    </row>
    <row r="42" spans="1:9" ht="12.75" hidden="1">
      <c r="A42" s="261" t="s">
        <v>5</v>
      </c>
      <c r="B42" s="261" t="s">
        <v>167</v>
      </c>
      <c r="C42" s="261" t="s">
        <v>140</v>
      </c>
      <c r="D42" s="263">
        <v>0</v>
      </c>
      <c r="E42" s="262">
        <f t="shared" si="0"/>
        <v>0</v>
      </c>
      <c r="F42" s="262">
        <f t="shared" si="1"/>
        <v>0</v>
      </c>
      <c r="G42" s="262">
        <f t="shared" si="2"/>
        <v>0</v>
      </c>
      <c r="H42" s="262">
        <f t="shared" si="3"/>
        <v>0</v>
      </c>
      <c r="I42" s="262">
        <f t="shared" si="4"/>
        <v>0</v>
      </c>
    </row>
    <row r="43" spans="1:9" ht="12.75" hidden="1">
      <c r="A43" s="261" t="s">
        <v>5</v>
      </c>
      <c r="B43" s="261" t="s">
        <v>167</v>
      </c>
      <c r="C43" s="261" t="s">
        <v>140</v>
      </c>
      <c r="D43" s="263">
        <v>0</v>
      </c>
      <c r="E43" s="262">
        <f t="shared" si="0"/>
        <v>0</v>
      </c>
      <c r="F43" s="262">
        <f t="shared" si="1"/>
        <v>0</v>
      </c>
      <c r="G43" s="262">
        <f t="shared" si="2"/>
        <v>0</v>
      </c>
      <c r="H43" s="262">
        <f t="shared" si="3"/>
        <v>0</v>
      </c>
      <c r="I43" s="262">
        <f t="shared" si="4"/>
        <v>0</v>
      </c>
    </row>
    <row r="44" spans="1:9" ht="12.75" hidden="1">
      <c r="A44" s="261" t="s">
        <v>5</v>
      </c>
      <c r="B44" s="261" t="s">
        <v>167</v>
      </c>
      <c r="C44" s="261" t="s">
        <v>146</v>
      </c>
      <c r="D44" s="263">
        <v>0</v>
      </c>
      <c r="E44" s="262">
        <f t="shared" si="0"/>
        <v>0</v>
      </c>
      <c r="F44" s="262">
        <f t="shared" si="1"/>
        <v>0</v>
      </c>
      <c r="G44" s="262">
        <f t="shared" si="2"/>
        <v>0</v>
      </c>
      <c r="H44" s="262">
        <f t="shared" si="3"/>
        <v>0</v>
      </c>
      <c r="I44" s="262">
        <f t="shared" si="4"/>
        <v>0</v>
      </c>
    </row>
    <row r="45" spans="1:9" ht="12.75" hidden="1">
      <c r="A45" s="261" t="s">
        <v>5</v>
      </c>
      <c r="B45" s="261" t="s">
        <v>167</v>
      </c>
      <c r="C45" s="261" t="s">
        <v>146</v>
      </c>
      <c r="D45" s="263">
        <v>0</v>
      </c>
      <c r="E45" s="262">
        <f t="shared" si="0"/>
        <v>0</v>
      </c>
      <c r="F45" s="262">
        <f t="shared" si="1"/>
        <v>0</v>
      </c>
      <c r="G45" s="262">
        <f t="shared" si="2"/>
        <v>0</v>
      </c>
      <c r="H45" s="262">
        <f t="shared" si="3"/>
        <v>0</v>
      </c>
      <c r="I45" s="262">
        <f t="shared" si="4"/>
        <v>0</v>
      </c>
    </row>
    <row r="46" spans="1:9" ht="12.75" hidden="1">
      <c r="A46" s="261" t="s">
        <v>5</v>
      </c>
      <c r="B46" s="261" t="s">
        <v>167</v>
      </c>
      <c r="C46" s="261" t="s">
        <v>146</v>
      </c>
      <c r="D46" s="263">
        <v>0</v>
      </c>
      <c r="E46" s="262">
        <f t="shared" si="0"/>
        <v>0</v>
      </c>
      <c r="F46" s="262">
        <f t="shared" si="1"/>
        <v>0</v>
      </c>
      <c r="G46" s="262">
        <f t="shared" si="2"/>
        <v>0</v>
      </c>
      <c r="H46" s="262">
        <f t="shared" si="3"/>
        <v>0</v>
      </c>
      <c r="I46" s="262">
        <f t="shared" si="4"/>
        <v>0</v>
      </c>
    </row>
    <row r="47" spans="1:9" ht="12.75" hidden="1">
      <c r="A47" s="261" t="s">
        <v>5</v>
      </c>
      <c r="B47" s="261" t="s">
        <v>167</v>
      </c>
      <c r="C47" s="261" t="s">
        <v>146</v>
      </c>
      <c r="D47" s="263">
        <v>0</v>
      </c>
      <c r="E47" s="262">
        <f t="shared" si="0"/>
        <v>0</v>
      </c>
      <c r="F47" s="262">
        <f t="shared" si="1"/>
        <v>0</v>
      </c>
      <c r="G47" s="262">
        <f t="shared" si="2"/>
        <v>0</v>
      </c>
      <c r="H47" s="262">
        <f t="shared" si="3"/>
        <v>0</v>
      </c>
      <c r="I47" s="262">
        <f t="shared" si="4"/>
        <v>0</v>
      </c>
    </row>
    <row r="48" spans="1:9" ht="12.75" hidden="1">
      <c r="A48" s="261" t="s">
        <v>5</v>
      </c>
      <c r="B48" s="261" t="s">
        <v>167</v>
      </c>
      <c r="C48" s="261" t="s">
        <v>146</v>
      </c>
      <c r="D48" s="263">
        <v>0</v>
      </c>
      <c r="E48" s="262">
        <f t="shared" si="0"/>
        <v>0</v>
      </c>
      <c r="F48" s="262">
        <f t="shared" si="1"/>
        <v>0</v>
      </c>
      <c r="G48" s="262">
        <f t="shared" si="2"/>
        <v>0</v>
      </c>
      <c r="H48" s="262">
        <f t="shared" si="3"/>
        <v>0</v>
      </c>
      <c r="I48" s="262">
        <f t="shared" si="4"/>
        <v>0</v>
      </c>
    </row>
    <row r="49" spans="1:9" ht="12.75" hidden="1">
      <c r="A49" s="261" t="s">
        <v>5</v>
      </c>
      <c r="B49" s="261" t="s">
        <v>167</v>
      </c>
      <c r="C49" s="261" t="s">
        <v>146</v>
      </c>
      <c r="D49" s="263">
        <v>0</v>
      </c>
      <c r="E49" s="262">
        <f t="shared" si="0"/>
        <v>0</v>
      </c>
      <c r="F49" s="262">
        <f t="shared" si="1"/>
        <v>0</v>
      </c>
      <c r="G49" s="262">
        <f t="shared" si="2"/>
        <v>0</v>
      </c>
      <c r="H49" s="262">
        <f t="shared" si="3"/>
        <v>0</v>
      </c>
      <c r="I49" s="262">
        <f t="shared" si="4"/>
        <v>0</v>
      </c>
    </row>
    <row r="50" spans="1:9" ht="12.75" hidden="1">
      <c r="A50" s="261" t="s">
        <v>5</v>
      </c>
      <c r="B50" s="261" t="s">
        <v>167</v>
      </c>
      <c r="C50" s="261" t="s">
        <v>146</v>
      </c>
      <c r="D50" s="263">
        <v>0</v>
      </c>
      <c r="E50" s="262">
        <f t="shared" si="0"/>
        <v>0</v>
      </c>
      <c r="F50" s="262">
        <f t="shared" si="1"/>
        <v>0</v>
      </c>
      <c r="G50" s="262">
        <f t="shared" si="2"/>
        <v>0</v>
      </c>
      <c r="H50" s="262">
        <f t="shared" si="3"/>
        <v>0</v>
      </c>
      <c r="I50" s="262">
        <f t="shared" si="4"/>
        <v>0</v>
      </c>
    </row>
    <row r="51" spans="1:9" ht="12.75" hidden="1">
      <c r="A51" s="261" t="s">
        <v>5</v>
      </c>
      <c r="B51" s="261" t="s">
        <v>167</v>
      </c>
      <c r="C51" s="261" t="s">
        <v>140</v>
      </c>
      <c r="D51" s="263">
        <v>0</v>
      </c>
      <c r="E51" s="262">
        <f t="shared" si="0"/>
        <v>0</v>
      </c>
      <c r="F51" s="262">
        <f t="shared" si="1"/>
        <v>0</v>
      </c>
      <c r="G51" s="262">
        <f t="shared" si="2"/>
        <v>0</v>
      </c>
      <c r="H51" s="262">
        <f t="shared" si="3"/>
        <v>0</v>
      </c>
      <c r="I51" s="262">
        <f t="shared" si="4"/>
        <v>0</v>
      </c>
    </row>
    <row r="52" spans="1:9" ht="12.75" hidden="1">
      <c r="A52" s="261" t="s">
        <v>5</v>
      </c>
      <c r="B52" s="261" t="s">
        <v>319</v>
      </c>
      <c r="C52" s="261" t="s">
        <v>140</v>
      </c>
      <c r="D52" s="266">
        <f>132895772.5*0</f>
        <v>0</v>
      </c>
      <c r="E52" s="262">
        <f t="shared" si="0"/>
        <v>0</v>
      </c>
      <c r="F52" s="262">
        <f t="shared" si="1"/>
        <v>0</v>
      </c>
      <c r="G52" s="262">
        <f t="shared" si="2"/>
        <v>0</v>
      </c>
      <c r="H52" s="262">
        <f t="shared" si="3"/>
        <v>0</v>
      </c>
      <c r="I52" s="262">
        <f t="shared" si="4"/>
        <v>0</v>
      </c>
    </row>
    <row r="53" spans="1:9" ht="13.5" customHeight="1" hidden="1">
      <c r="A53" s="261" t="s">
        <v>5</v>
      </c>
      <c r="B53" s="261" t="s">
        <v>319</v>
      </c>
      <c r="C53" s="261" t="s">
        <v>170</v>
      </c>
      <c r="D53" s="266">
        <f>10892051.86*0</f>
        <v>0</v>
      </c>
      <c r="E53" s="262">
        <f t="shared" si="0"/>
        <v>0</v>
      </c>
      <c r="F53" s="262">
        <f t="shared" si="1"/>
        <v>0</v>
      </c>
      <c r="G53" s="262">
        <f t="shared" si="2"/>
        <v>0</v>
      </c>
      <c r="H53" s="262">
        <f t="shared" si="3"/>
        <v>0</v>
      </c>
      <c r="I53" s="262">
        <f t="shared" si="4"/>
        <v>0</v>
      </c>
    </row>
    <row r="54" spans="1:9" ht="12.75" hidden="1">
      <c r="A54" s="261" t="s">
        <v>5</v>
      </c>
      <c r="B54" s="261" t="s">
        <v>319</v>
      </c>
      <c r="C54" s="261" t="s">
        <v>145</v>
      </c>
      <c r="D54" s="266">
        <f>11903630.7*0</f>
        <v>0</v>
      </c>
      <c r="E54" s="262">
        <f t="shared" si="0"/>
        <v>0</v>
      </c>
      <c r="F54" s="262">
        <f t="shared" si="1"/>
        <v>0</v>
      </c>
      <c r="G54" s="262">
        <f t="shared" si="2"/>
        <v>0</v>
      </c>
      <c r="H54" s="262">
        <f t="shared" si="3"/>
        <v>0</v>
      </c>
      <c r="I54" s="262">
        <f t="shared" si="4"/>
        <v>0</v>
      </c>
    </row>
    <row r="55" spans="1:9" ht="13.5" thickBot="1">
      <c r="A55" s="261"/>
      <c r="B55" s="261" t="s">
        <v>179</v>
      </c>
      <c r="C55" s="261"/>
      <c r="D55" s="267">
        <f aca="true" t="shared" si="5" ref="D55:I55">SUM(D12:D54)</f>
        <v>6146</v>
      </c>
      <c r="E55" s="267">
        <f t="shared" si="5"/>
        <v>2809.2</v>
      </c>
      <c r="F55" s="267">
        <f t="shared" si="5"/>
        <v>496.1782555649563</v>
      </c>
      <c r="G55" s="267">
        <f t="shared" si="5"/>
        <v>1493.6217444350436</v>
      </c>
      <c r="H55" s="268">
        <f t="shared" si="5"/>
        <v>0</v>
      </c>
      <c r="I55" s="267">
        <f t="shared" si="5"/>
        <v>1347</v>
      </c>
    </row>
    <row r="56" spans="1:9" ht="13.5" thickTop="1">
      <c r="A56" s="261"/>
      <c r="B56" s="261"/>
      <c r="C56" s="261"/>
      <c r="D56" s="9"/>
      <c r="E56" s="35"/>
      <c r="F56" s="35"/>
      <c r="G56" s="35"/>
      <c r="H56" s="35"/>
      <c r="I56" s="35"/>
    </row>
    <row r="57" spans="1:9" ht="12.75">
      <c r="A57" s="276" t="s">
        <v>180</v>
      </c>
      <c r="B57" s="269"/>
      <c r="C57" s="269"/>
      <c r="D57" s="277">
        <f aca="true" t="shared" si="6" ref="D57:I57">D55/$D55</f>
        <v>1</v>
      </c>
      <c r="E57" s="278">
        <f t="shared" si="6"/>
        <v>0.4570777741620566</v>
      </c>
      <c r="F57" s="278">
        <f t="shared" si="6"/>
        <v>0.08073189970142472</v>
      </c>
      <c r="G57" s="278">
        <f t="shared" si="6"/>
        <v>0.2430233882907653</v>
      </c>
      <c r="H57" s="278">
        <f t="shared" si="6"/>
        <v>0</v>
      </c>
      <c r="I57" s="279">
        <f t="shared" si="6"/>
        <v>0.21916693784575333</v>
      </c>
    </row>
    <row r="58" spans="1:9" ht="12.75">
      <c r="A58" s="261"/>
      <c r="B58" s="261"/>
      <c r="C58" s="261"/>
      <c r="D58" s="9"/>
      <c r="E58" s="31"/>
      <c r="F58" s="31"/>
      <c r="G58" s="31"/>
      <c r="H58" s="31"/>
      <c r="I58" s="31"/>
    </row>
    <row r="59" spans="1:9" ht="12.75" hidden="1">
      <c r="A59" s="261" t="s">
        <v>5</v>
      </c>
      <c r="B59" s="261" t="s">
        <v>155</v>
      </c>
      <c r="C59" s="261" t="s">
        <v>145</v>
      </c>
      <c r="D59" s="72"/>
      <c r="E59" s="31">
        <f aca="true" t="shared" si="7" ref="E59:E79">VLOOKUP($C59,$C$257:$I$267,3,FALSE)*$D59</f>
        <v>0</v>
      </c>
      <c r="F59" s="31">
        <f aca="true" t="shared" si="8" ref="F59:F79">VLOOKUP($C59,$C$257:$I$267,4,FALSE)*$D59</f>
        <v>0</v>
      </c>
      <c r="G59" s="31">
        <f aca="true" t="shared" si="9" ref="G59:G79">VLOOKUP($C59,$C$257:$I$267,5,FALSE)*$D59</f>
        <v>0</v>
      </c>
      <c r="H59" s="31">
        <f aca="true" t="shared" si="10" ref="H59:H79">VLOOKUP($C59,$C$257:$I$267,6,FALSE)*$D59</f>
        <v>0</v>
      </c>
      <c r="I59" s="31">
        <f aca="true" t="shared" si="11" ref="I59:I79">VLOOKUP($C59,$C$257:$I$267,7,FALSE)*$D59</f>
        <v>0</v>
      </c>
    </row>
    <row r="60" spans="1:9" ht="12.75" hidden="1">
      <c r="A60" s="261" t="s">
        <v>5</v>
      </c>
      <c r="B60" s="261" t="s">
        <v>155</v>
      </c>
      <c r="C60" s="261" t="s">
        <v>170</v>
      </c>
      <c r="D60" s="72"/>
      <c r="E60" s="31">
        <f t="shared" si="7"/>
        <v>0</v>
      </c>
      <c r="F60" s="31">
        <f t="shared" si="8"/>
        <v>0</v>
      </c>
      <c r="G60" s="31">
        <f t="shared" si="9"/>
        <v>0</v>
      </c>
      <c r="H60" s="31">
        <f t="shared" si="10"/>
        <v>0</v>
      </c>
      <c r="I60" s="31">
        <f t="shared" si="11"/>
        <v>0</v>
      </c>
    </row>
    <row r="61" spans="1:9" ht="12.75" hidden="1">
      <c r="A61" s="261" t="s">
        <v>5</v>
      </c>
      <c r="B61" s="261" t="s">
        <v>157</v>
      </c>
      <c r="C61" s="261" t="s">
        <v>170</v>
      </c>
      <c r="D61" s="72"/>
      <c r="E61" s="31">
        <f t="shared" si="7"/>
        <v>0</v>
      </c>
      <c r="F61" s="31">
        <f t="shared" si="8"/>
        <v>0</v>
      </c>
      <c r="G61" s="31">
        <f t="shared" si="9"/>
        <v>0</v>
      </c>
      <c r="H61" s="31">
        <f t="shared" si="10"/>
        <v>0</v>
      </c>
      <c r="I61" s="31">
        <f t="shared" si="11"/>
        <v>0</v>
      </c>
    </row>
    <row r="62" spans="1:9" ht="12.75" hidden="1">
      <c r="A62" s="261" t="s">
        <v>5</v>
      </c>
      <c r="B62" s="261" t="s">
        <v>157</v>
      </c>
      <c r="C62" s="261" t="s">
        <v>140</v>
      </c>
      <c r="D62" s="72"/>
      <c r="E62" s="31">
        <f t="shared" si="7"/>
        <v>0</v>
      </c>
      <c r="F62" s="31">
        <f t="shared" si="8"/>
        <v>0</v>
      </c>
      <c r="G62" s="31">
        <f t="shared" si="9"/>
        <v>0</v>
      </c>
      <c r="H62" s="31">
        <f t="shared" si="10"/>
        <v>0</v>
      </c>
      <c r="I62" s="31">
        <f t="shared" si="11"/>
        <v>0</v>
      </c>
    </row>
    <row r="63" spans="1:9" ht="12.75" hidden="1">
      <c r="A63" s="261" t="s">
        <v>5</v>
      </c>
      <c r="B63" s="261" t="s">
        <v>157</v>
      </c>
      <c r="C63" s="261" t="s">
        <v>145</v>
      </c>
      <c r="D63" s="72"/>
      <c r="E63" s="31">
        <f t="shared" si="7"/>
        <v>0</v>
      </c>
      <c r="F63" s="31">
        <f t="shared" si="8"/>
        <v>0</v>
      </c>
      <c r="G63" s="31">
        <f t="shared" si="9"/>
        <v>0</v>
      </c>
      <c r="H63" s="31">
        <f t="shared" si="10"/>
        <v>0</v>
      </c>
      <c r="I63" s="31">
        <f t="shared" si="11"/>
        <v>0</v>
      </c>
    </row>
    <row r="64" spans="1:9" ht="12.75" hidden="1">
      <c r="A64" s="261" t="s">
        <v>5</v>
      </c>
      <c r="B64" s="261" t="s">
        <v>15</v>
      </c>
      <c r="C64" s="261" t="s">
        <v>140</v>
      </c>
      <c r="D64" s="72"/>
      <c r="E64" s="31">
        <f t="shared" si="7"/>
        <v>0</v>
      </c>
      <c r="F64" s="31">
        <f t="shared" si="8"/>
        <v>0</v>
      </c>
      <c r="G64" s="31">
        <f t="shared" si="9"/>
        <v>0</v>
      </c>
      <c r="H64" s="31">
        <f t="shared" si="10"/>
        <v>0</v>
      </c>
      <c r="I64" s="31">
        <f t="shared" si="11"/>
        <v>0</v>
      </c>
    </row>
    <row r="65" spans="1:9" ht="12.75" hidden="1">
      <c r="A65" s="261" t="s">
        <v>5</v>
      </c>
      <c r="B65" s="261" t="s">
        <v>15</v>
      </c>
      <c r="C65" s="261" t="s">
        <v>170</v>
      </c>
      <c r="D65" s="72"/>
      <c r="E65" s="31">
        <f t="shared" si="7"/>
        <v>0</v>
      </c>
      <c r="F65" s="31">
        <f t="shared" si="8"/>
        <v>0</v>
      </c>
      <c r="G65" s="31">
        <f t="shared" si="9"/>
        <v>0</v>
      </c>
      <c r="H65" s="31">
        <f t="shared" si="10"/>
        <v>0</v>
      </c>
      <c r="I65" s="31">
        <f t="shared" si="11"/>
        <v>0</v>
      </c>
    </row>
    <row r="66" spans="1:9" ht="12.75" hidden="1">
      <c r="A66" s="261" t="s">
        <v>5</v>
      </c>
      <c r="B66" s="261" t="s">
        <v>158</v>
      </c>
      <c r="C66" s="261" t="s">
        <v>140</v>
      </c>
      <c r="D66" s="72"/>
      <c r="E66" s="31">
        <f t="shared" si="7"/>
        <v>0</v>
      </c>
      <c r="F66" s="31">
        <f t="shared" si="8"/>
        <v>0</v>
      </c>
      <c r="G66" s="31">
        <f t="shared" si="9"/>
        <v>0</v>
      </c>
      <c r="H66" s="31">
        <f t="shared" si="10"/>
        <v>0</v>
      </c>
      <c r="I66" s="31">
        <f t="shared" si="11"/>
        <v>0</v>
      </c>
    </row>
    <row r="67" spans="1:9" ht="12.75" hidden="1">
      <c r="A67" s="261" t="s">
        <v>5</v>
      </c>
      <c r="B67" s="261" t="s">
        <v>158</v>
      </c>
      <c r="C67" s="261" t="s">
        <v>170</v>
      </c>
      <c r="D67" s="72"/>
      <c r="E67" s="31">
        <f t="shared" si="7"/>
        <v>0</v>
      </c>
      <c r="F67" s="31">
        <f t="shared" si="8"/>
        <v>0</v>
      </c>
      <c r="G67" s="31">
        <f t="shared" si="9"/>
        <v>0</v>
      </c>
      <c r="H67" s="31">
        <f t="shared" si="10"/>
        <v>0</v>
      </c>
      <c r="I67" s="31">
        <f t="shared" si="11"/>
        <v>0</v>
      </c>
    </row>
    <row r="68" spans="1:9" ht="12.75" hidden="1">
      <c r="A68" s="261" t="s">
        <v>5</v>
      </c>
      <c r="B68" s="261" t="s">
        <v>159</v>
      </c>
      <c r="C68" s="261" t="s">
        <v>140</v>
      </c>
      <c r="D68" s="72"/>
      <c r="E68" s="31">
        <f t="shared" si="7"/>
        <v>0</v>
      </c>
      <c r="F68" s="31">
        <f t="shared" si="8"/>
        <v>0</v>
      </c>
      <c r="G68" s="31">
        <f t="shared" si="9"/>
        <v>0</v>
      </c>
      <c r="H68" s="31">
        <f t="shared" si="10"/>
        <v>0</v>
      </c>
      <c r="I68" s="31">
        <f t="shared" si="11"/>
        <v>0</v>
      </c>
    </row>
    <row r="69" spans="1:9" ht="12.75" hidden="1">
      <c r="A69" s="261" t="s">
        <v>5</v>
      </c>
      <c r="B69" s="261" t="s">
        <v>159</v>
      </c>
      <c r="C69" s="261" t="s">
        <v>170</v>
      </c>
      <c r="D69" s="72"/>
      <c r="E69" s="31">
        <f t="shared" si="7"/>
        <v>0</v>
      </c>
      <c r="F69" s="31">
        <f t="shared" si="8"/>
        <v>0</v>
      </c>
      <c r="G69" s="31">
        <f t="shared" si="9"/>
        <v>0</v>
      </c>
      <c r="H69" s="31">
        <f t="shared" si="10"/>
        <v>0</v>
      </c>
      <c r="I69" s="31">
        <f t="shared" si="11"/>
        <v>0</v>
      </c>
    </row>
    <row r="70" spans="1:9" ht="12.75" hidden="1">
      <c r="A70" s="261" t="s">
        <v>5</v>
      </c>
      <c r="B70" s="261" t="s">
        <v>160</v>
      </c>
      <c r="C70" s="261" t="s">
        <v>181</v>
      </c>
      <c r="D70" s="72"/>
      <c r="E70" s="31">
        <f t="shared" si="7"/>
        <v>0</v>
      </c>
      <c r="F70" s="31">
        <f t="shared" si="8"/>
        <v>0</v>
      </c>
      <c r="G70" s="31">
        <f t="shared" si="9"/>
        <v>0</v>
      </c>
      <c r="H70" s="31">
        <f t="shared" si="10"/>
        <v>0</v>
      </c>
      <c r="I70" s="31">
        <f t="shared" si="11"/>
        <v>0</v>
      </c>
    </row>
    <row r="71" spans="1:9" ht="12.75" hidden="1">
      <c r="A71" s="261" t="s">
        <v>5</v>
      </c>
      <c r="B71" s="261" t="s">
        <v>17</v>
      </c>
      <c r="C71" s="261" t="s">
        <v>140</v>
      </c>
      <c r="D71" s="72"/>
      <c r="E71" s="31">
        <f t="shared" si="7"/>
        <v>0</v>
      </c>
      <c r="F71" s="31">
        <f t="shared" si="8"/>
        <v>0</v>
      </c>
      <c r="G71" s="31">
        <f t="shared" si="9"/>
        <v>0</v>
      </c>
      <c r="H71" s="31">
        <f t="shared" si="10"/>
        <v>0</v>
      </c>
      <c r="I71" s="31">
        <f t="shared" si="11"/>
        <v>0</v>
      </c>
    </row>
    <row r="72" spans="1:9" ht="12.75">
      <c r="A72" s="261" t="s">
        <v>5</v>
      </c>
      <c r="B72" s="261" t="s">
        <v>319</v>
      </c>
      <c r="C72" s="46" t="s">
        <v>140</v>
      </c>
      <c r="D72" s="16">
        <v>18491</v>
      </c>
      <c r="E72" s="16">
        <f t="shared" si="7"/>
        <v>18491</v>
      </c>
      <c r="F72" s="16">
        <f t="shared" si="8"/>
        <v>0</v>
      </c>
      <c r="G72" s="16">
        <f t="shared" si="9"/>
        <v>0</v>
      </c>
      <c r="H72" s="16">
        <f t="shared" si="10"/>
        <v>0</v>
      </c>
      <c r="I72" s="16">
        <f t="shared" si="11"/>
        <v>0</v>
      </c>
    </row>
    <row r="73" spans="1:9" ht="12.75">
      <c r="A73" s="261" t="s">
        <v>5</v>
      </c>
      <c r="B73" s="261" t="s">
        <v>319</v>
      </c>
      <c r="C73" s="46" t="s">
        <v>146</v>
      </c>
      <c r="D73" s="16">
        <v>0</v>
      </c>
      <c r="E73" s="16">
        <f t="shared" si="7"/>
        <v>0</v>
      </c>
      <c r="F73" s="16">
        <f t="shared" si="8"/>
        <v>0</v>
      </c>
      <c r="G73" s="16">
        <f t="shared" si="9"/>
        <v>0</v>
      </c>
      <c r="H73" s="16">
        <f t="shared" si="10"/>
        <v>0</v>
      </c>
      <c r="I73" s="16">
        <f t="shared" si="11"/>
        <v>0</v>
      </c>
    </row>
    <row r="74" spans="1:9" ht="12.75">
      <c r="A74" s="261" t="s">
        <v>5</v>
      </c>
      <c r="B74" s="261" t="s">
        <v>319</v>
      </c>
      <c r="C74" s="46" t="s">
        <v>170</v>
      </c>
      <c r="D74" s="16">
        <v>1267</v>
      </c>
      <c r="E74" s="16">
        <f t="shared" si="7"/>
        <v>590.4634355034364</v>
      </c>
      <c r="F74" s="16">
        <f t="shared" si="8"/>
        <v>250.8119317559503</v>
      </c>
      <c r="G74" s="16">
        <f t="shared" si="9"/>
        <v>425.7246327406133</v>
      </c>
      <c r="H74" s="16">
        <f t="shared" si="10"/>
        <v>0</v>
      </c>
      <c r="I74" s="16">
        <f t="shared" si="11"/>
        <v>0</v>
      </c>
    </row>
    <row r="75" spans="1:9" ht="12.75">
      <c r="A75" s="261" t="s">
        <v>5</v>
      </c>
      <c r="B75" s="261" t="s">
        <v>319</v>
      </c>
      <c r="C75" s="46" t="s">
        <v>145</v>
      </c>
      <c r="D75" s="16">
        <v>10188</v>
      </c>
      <c r="E75" s="16">
        <f t="shared" si="7"/>
        <v>0</v>
      </c>
      <c r="F75" s="16">
        <f t="shared" si="8"/>
        <v>0</v>
      </c>
      <c r="G75" s="16">
        <f t="shared" si="9"/>
        <v>0</v>
      </c>
      <c r="H75" s="16">
        <f t="shared" si="10"/>
        <v>10188</v>
      </c>
      <c r="I75" s="16">
        <f t="shared" si="11"/>
        <v>0</v>
      </c>
    </row>
    <row r="76" spans="1:9" ht="12.75">
      <c r="A76" s="261" t="s">
        <v>5</v>
      </c>
      <c r="B76" s="261" t="s">
        <v>17</v>
      </c>
      <c r="C76" s="46" t="s">
        <v>146</v>
      </c>
      <c r="D76" s="16">
        <v>0</v>
      </c>
      <c r="E76" s="16">
        <f t="shared" si="7"/>
        <v>0</v>
      </c>
      <c r="F76" s="16">
        <f t="shared" si="8"/>
        <v>0</v>
      </c>
      <c r="G76" s="16">
        <f t="shared" si="9"/>
        <v>0</v>
      </c>
      <c r="H76" s="16">
        <f t="shared" si="10"/>
        <v>0</v>
      </c>
      <c r="I76" s="16">
        <f t="shared" si="11"/>
        <v>0</v>
      </c>
    </row>
    <row r="77" spans="1:9" ht="12.75">
      <c r="A77" s="261" t="s">
        <v>5</v>
      </c>
      <c r="B77" s="261" t="s">
        <v>17</v>
      </c>
      <c r="C77" s="46" t="s">
        <v>140</v>
      </c>
      <c r="D77" s="16">
        <v>1932</v>
      </c>
      <c r="E77" s="16">
        <f t="shared" si="7"/>
        <v>1932</v>
      </c>
      <c r="F77" s="16">
        <f t="shared" si="8"/>
        <v>0</v>
      </c>
      <c r="G77" s="16">
        <f t="shared" si="9"/>
        <v>0</v>
      </c>
      <c r="H77" s="16">
        <f t="shared" si="10"/>
        <v>0</v>
      </c>
      <c r="I77" s="16">
        <f t="shared" si="11"/>
        <v>0</v>
      </c>
    </row>
    <row r="78" spans="1:9" ht="12.75">
      <c r="A78" s="261" t="s">
        <v>5</v>
      </c>
      <c r="B78" s="261" t="s">
        <v>17</v>
      </c>
      <c r="C78" s="46" t="s">
        <v>170</v>
      </c>
      <c r="D78" s="37">
        <v>25458</v>
      </c>
      <c r="E78" s="16">
        <f t="shared" si="7"/>
        <v>11864.260569097461</v>
      </c>
      <c r="F78" s="16">
        <f t="shared" si="8"/>
        <v>5039.597599560365</v>
      </c>
      <c r="G78" s="16">
        <f t="shared" si="9"/>
        <v>8554.141831342173</v>
      </c>
      <c r="H78" s="16">
        <f t="shared" si="10"/>
        <v>0</v>
      </c>
      <c r="I78" s="16">
        <f t="shared" si="11"/>
        <v>0</v>
      </c>
    </row>
    <row r="79" spans="1:9" ht="12.75">
      <c r="A79" s="261" t="s">
        <v>5</v>
      </c>
      <c r="B79" s="261" t="s">
        <v>17</v>
      </c>
      <c r="C79" s="46" t="s">
        <v>145</v>
      </c>
      <c r="D79" s="39">
        <v>536</v>
      </c>
      <c r="E79" s="39">
        <f t="shared" si="7"/>
        <v>0</v>
      </c>
      <c r="F79" s="39">
        <f t="shared" si="8"/>
        <v>0</v>
      </c>
      <c r="G79" s="39">
        <f t="shared" si="9"/>
        <v>0</v>
      </c>
      <c r="H79" s="39">
        <f t="shared" si="10"/>
        <v>536</v>
      </c>
      <c r="I79" s="39">
        <f t="shared" si="11"/>
        <v>0</v>
      </c>
    </row>
    <row r="80" spans="1:9" ht="13.5" thickBot="1">
      <c r="A80" s="1"/>
      <c r="B80" s="1"/>
      <c r="C80" s="1"/>
      <c r="D80" s="268">
        <f aca="true" t="shared" si="12" ref="D80:I80">SUM(D59:D79)</f>
        <v>57872</v>
      </c>
      <c r="E80" s="268">
        <f t="shared" si="12"/>
        <v>32877.724004600896</v>
      </c>
      <c r="F80" s="268">
        <f t="shared" si="12"/>
        <v>5290.409531316315</v>
      </c>
      <c r="G80" s="268">
        <f t="shared" si="12"/>
        <v>8979.866464082786</v>
      </c>
      <c r="H80" s="268">
        <f t="shared" si="12"/>
        <v>10724</v>
      </c>
      <c r="I80" s="268">
        <f t="shared" si="12"/>
        <v>0</v>
      </c>
    </row>
    <row r="81" spans="1:9" ht="13.5" thickTop="1">
      <c r="A81" s="1"/>
      <c r="B81" s="1"/>
      <c r="C81" s="1"/>
      <c r="D81" s="10"/>
      <c r="E81" s="270"/>
      <c r="F81" s="270"/>
      <c r="G81" s="270"/>
      <c r="H81" s="270"/>
      <c r="I81" s="270"/>
    </row>
    <row r="82" spans="1:9" ht="12.75">
      <c r="A82" s="276" t="s">
        <v>183</v>
      </c>
      <c r="B82" s="269"/>
      <c r="C82" s="269"/>
      <c r="D82" s="277">
        <f aca="true" t="shared" si="13" ref="D82:I82">D80/$D80</f>
        <v>1</v>
      </c>
      <c r="E82" s="278">
        <f t="shared" si="13"/>
        <v>0.5681110727916937</v>
      </c>
      <c r="F82" s="278">
        <f t="shared" si="13"/>
        <v>0.09141570243496536</v>
      </c>
      <c r="G82" s="278">
        <f t="shared" si="13"/>
        <v>0.15516772297627154</v>
      </c>
      <c r="H82" s="278">
        <f t="shared" si="13"/>
        <v>0.1853055017970694</v>
      </c>
      <c r="I82" s="279">
        <f t="shared" si="13"/>
        <v>0</v>
      </c>
    </row>
    <row r="83" spans="1:9" ht="12.75">
      <c r="A83" s="1"/>
      <c r="B83" s="1"/>
      <c r="C83" s="1"/>
      <c r="D83" s="10"/>
      <c r="E83" s="31"/>
      <c r="F83" s="31"/>
      <c r="G83" s="31"/>
      <c r="H83" s="31"/>
      <c r="I83" s="31"/>
    </row>
    <row r="84" ht="12.75" hidden="1"/>
    <row r="85" spans="1:9" ht="12.75" hidden="1">
      <c r="A85" s="261" t="s">
        <v>6</v>
      </c>
      <c r="B85" s="261" t="s">
        <v>184</v>
      </c>
      <c r="C85" s="261" t="s">
        <v>141</v>
      </c>
      <c r="D85" s="9">
        <v>0</v>
      </c>
      <c r="E85" s="31">
        <f>VLOOKUP($C85,$C$257:$I$267,3,FALSE)*$D85</f>
        <v>0</v>
      </c>
      <c r="F85" s="31">
        <f>VLOOKUP($C85,$C$257:$I$267,4,FALSE)*$D85</f>
        <v>0</v>
      </c>
      <c r="G85" s="31">
        <f>VLOOKUP($C85,$C$257:$I$267,5,FALSE)*$D85</f>
        <v>0</v>
      </c>
      <c r="H85" s="31">
        <f>VLOOKUP($C85,$C$257:$I$267,6,FALSE)*$D85</f>
        <v>0</v>
      </c>
      <c r="I85" s="31">
        <f>VLOOKUP($C85,$C$257:$I$267,7,FALSE)*$D85</f>
        <v>0</v>
      </c>
    </row>
    <row r="86" spans="1:9" ht="12.75" hidden="1">
      <c r="A86" s="261" t="s">
        <v>6</v>
      </c>
      <c r="B86" s="261" t="s">
        <v>186</v>
      </c>
      <c r="C86" s="261" t="s">
        <v>140</v>
      </c>
      <c r="D86" s="9">
        <v>0</v>
      </c>
      <c r="E86" s="31">
        <f>VLOOKUP($C86,$C$257:$I$267,3,FALSE)*$D86</f>
        <v>0</v>
      </c>
      <c r="F86" s="31">
        <f>VLOOKUP($C86,$C$257:$I$267,4,FALSE)*$D86</f>
        <v>0</v>
      </c>
      <c r="G86" s="31">
        <f>VLOOKUP($C86,$C$257:$I$267,5,FALSE)*$D86</f>
        <v>0</v>
      </c>
      <c r="H86" s="31">
        <f>VLOOKUP($C86,$C$257:$I$267,6,FALSE)*$D86</f>
        <v>0</v>
      </c>
      <c r="I86" s="31">
        <f>VLOOKUP($C86,$C$257:$I$267,7,FALSE)*$D86</f>
        <v>0</v>
      </c>
    </row>
    <row r="87" spans="1:9" ht="12.75" hidden="1">
      <c r="A87" s="261"/>
      <c r="B87" s="261"/>
      <c r="C87" s="261"/>
      <c r="D87" s="9"/>
      <c r="E87" s="31"/>
      <c r="F87" s="31"/>
      <c r="G87" s="31"/>
      <c r="H87" s="31"/>
      <c r="I87" s="31"/>
    </row>
    <row r="88" spans="1:9" ht="12.75" hidden="1">
      <c r="A88" s="261"/>
      <c r="B88" s="261"/>
      <c r="C88" s="261"/>
      <c r="D88" s="9"/>
      <c r="E88" s="31"/>
      <c r="F88" s="31"/>
      <c r="G88" s="31"/>
      <c r="H88" s="31"/>
      <c r="I88" s="31"/>
    </row>
    <row r="89" spans="1:9" ht="12.75" hidden="1">
      <c r="A89" s="261" t="s">
        <v>6</v>
      </c>
      <c r="B89" s="261" t="s">
        <v>155</v>
      </c>
      <c r="C89" s="261" t="s">
        <v>142</v>
      </c>
      <c r="D89" s="9">
        <v>0</v>
      </c>
      <c r="E89" s="31">
        <f aca="true" t="shared" si="14" ref="E89:E106">VLOOKUP($C89,$C$257:$I$267,3,FALSE)*$D89</f>
        <v>0</v>
      </c>
      <c r="F89" s="31">
        <f aca="true" t="shared" si="15" ref="F89:F106">VLOOKUP($C89,$C$257:$I$267,4,FALSE)*$D89</f>
        <v>0</v>
      </c>
      <c r="G89" s="31">
        <f aca="true" t="shared" si="16" ref="G89:G106">VLOOKUP($C89,$C$257:$I$267,5,FALSE)*$D89</f>
        <v>0</v>
      </c>
      <c r="H89" s="31">
        <f aca="true" t="shared" si="17" ref="H89:H106">VLOOKUP($C89,$C$257:$I$267,6,FALSE)*$D89</f>
        <v>0</v>
      </c>
      <c r="I89" s="31">
        <f aca="true" t="shared" si="18" ref="I89:I106">VLOOKUP($C89,$C$257:$I$267,7,FALSE)*$D89</f>
        <v>0</v>
      </c>
    </row>
    <row r="90" spans="1:9" ht="12.75" hidden="1">
      <c r="A90" s="261" t="s">
        <v>6</v>
      </c>
      <c r="B90" s="261" t="s">
        <v>155</v>
      </c>
      <c r="C90" s="261" t="s">
        <v>170</v>
      </c>
      <c r="D90" s="9">
        <v>0</v>
      </c>
      <c r="E90" s="31">
        <f t="shared" si="14"/>
        <v>0</v>
      </c>
      <c r="F90" s="31">
        <f t="shared" si="15"/>
        <v>0</v>
      </c>
      <c r="G90" s="31">
        <f t="shared" si="16"/>
        <v>0</v>
      </c>
      <c r="H90" s="31">
        <f t="shared" si="17"/>
        <v>0</v>
      </c>
      <c r="I90" s="31">
        <f t="shared" si="18"/>
        <v>0</v>
      </c>
    </row>
    <row r="91" spans="1:9" ht="12.75" hidden="1">
      <c r="A91" s="261" t="s">
        <v>6</v>
      </c>
      <c r="B91" s="261" t="s">
        <v>155</v>
      </c>
      <c r="C91" s="261" t="s">
        <v>175</v>
      </c>
      <c r="D91" s="9">
        <v>0</v>
      </c>
      <c r="E91" s="31">
        <f t="shared" si="14"/>
        <v>0</v>
      </c>
      <c r="F91" s="31">
        <f t="shared" si="15"/>
        <v>0</v>
      </c>
      <c r="G91" s="31">
        <f t="shared" si="16"/>
        <v>0</v>
      </c>
      <c r="H91" s="31">
        <f t="shared" si="17"/>
        <v>0</v>
      </c>
      <c r="I91" s="31">
        <f t="shared" si="18"/>
        <v>0</v>
      </c>
    </row>
    <row r="92" spans="1:9" ht="12.75" hidden="1">
      <c r="A92" s="261" t="s">
        <v>6</v>
      </c>
      <c r="B92" s="261" t="s">
        <v>155</v>
      </c>
      <c r="C92" s="261" t="s">
        <v>142</v>
      </c>
      <c r="D92" s="9">
        <v>0</v>
      </c>
      <c r="E92" s="31">
        <f t="shared" si="14"/>
        <v>0</v>
      </c>
      <c r="F92" s="31">
        <f t="shared" si="15"/>
        <v>0</v>
      </c>
      <c r="G92" s="31">
        <f t="shared" si="16"/>
        <v>0</v>
      </c>
      <c r="H92" s="31">
        <f t="shared" si="17"/>
        <v>0</v>
      </c>
      <c r="I92" s="31">
        <f t="shared" si="18"/>
        <v>0</v>
      </c>
    </row>
    <row r="93" spans="1:9" ht="12.75" hidden="1">
      <c r="A93" s="261" t="s">
        <v>6</v>
      </c>
      <c r="B93" s="261" t="s">
        <v>155</v>
      </c>
      <c r="C93" s="261" t="s">
        <v>170</v>
      </c>
      <c r="D93" s="9">
        <v>0</v>
      </c>
      <c r="E93" s="31">
        <f t="shared" si="14"/>
        <v>0</v>
      </c>
      <c r="F93" s="31">
        <f t="shared" si="15"/>
        <v>0</v>
      </c>
      <c r="G93" s="31">
        <f t="shared" si="16"/>
        <v>0</v>
      </c>
      <c r="H93" s="31">
        <f t="shared" si="17"/>
        <v>0</v>
      </c>
      <c r="I93" s="31">
        <f t="shared" si="18"/>
        <v>0</v>
      </c>
    </row>
    <row r="94" spans="1:9" ht="12.75" hidden="1">
      <c r="A94" s="261" t="s">
        <v>6</v>
      </c>
      <c r="B94" s="261" t="s">
        <v>157</v>
      </c>
      <c r="C94" s="261" t="s">
        <v>170</v>
      </c>
      <c r="D94" s="9">
        <v>0</v>
      </c>
      <c r="E94" s="31">
        <f t="shared" si="14"/>
        <v>0</v>
      </c>
      <c r="F94" s="31">
        <f t="shared" si="15"/>
        <v>0</v>
      </c>
      <c r="G94" s="31">
        <f t="shared" si="16"/>
        <v>0</v>
      </c>
      <c r="H94" s="31">
        <f t="shared" si="17"/>
        <v>0</v>
      </c>
      <c r="I94" s="31">
        <f t="shared" si="18"/>
        <v>0</v>
      </c>
    </row>
    <row r="95" spans="1:9" ht="12.75" hidden="1">
      <c r="A95" s="261" t="s">
        <v>6</v>
      </c>
      <c r="B95" s="261" t="s">
        <v>157</v>
      </c>
      <c r="C95" s="261" t="s">
        <v>146</v>
      </c>
      <c r="D95" s="9">
        <v>0</v>
      </c>
      <c r="E95" s="31">
        <f t="shared" si="14"/>
        <v>0</v>
      </c>
      <c r="F95" s="31">
        <f t="shared" si="15"/>
        <v>0</v>
      </c>
      <c r="G95" s="31">
        <f t="shared" si="16"/>
        <v>0</v>
      </c>
      <c r="H95" s="31">
        <f t="shared" si="17"/>
        <v>0</v>
      </c>
      <c r="I95" s="31">
        <f t="shared" si="18"/>
        <v>0</v>
      </c>
    </row>
    <row r="96" spans="1:9" ht="12.75" hidden="1">
      <c r="A96" s="261" t="s">
        <v>6</v>
      </c>
      <c r="B96" s="261" t="s">
        <v>157</v>
      </c>
      <c r="C96" s="261" t="s">
        <v>146</v>
      </c>
      <c r="D96" s="9">
        <v>0</v>
      </c>
      <c r="E96" s="31">
        <f t="shared" si="14"/>
        <v>0</v>
      </c>
      <c r="F96" s="31">
        <f t="shared" si="15"/>
        <v>0</v>
      </c>
      <c r="G96" s="31">
        <f t="shared" si="16"/>
        <v>0</v>
      </c>
      <c r="H96" s="31">
        <f t="shared" si="17"/>
        <v>0</v>
      </c>
      <c r="I96" s="31">
        <f t="shared" si="18"/>
        <v>0</v>
      </c>
    </row>
    <row r="97" spans="1:9" ht="12.75" hidden="1">
      <c r="A97" s="261" t="s">
        <v>6</v>
      </c>
      <c r="B97" s="261" t="s">
        <v>157</v>
      </c>
      <c r="C97" s="261" t="s">
        <v>142</v>
      </c>
      <c r="D97" s="9">
        <v>0</v>
      </c>
      <c r="E97" s="31">
        <f t="shared" si="14"/>
        <v>0</v>
      </c>
      <c r="F97" s="31">
        <f t="shared" si="15"/>
        <v>0</v>
      </c>
      <c r="G97" s="31">
        <f t="shared" si="16"/>
        <v>0</v>
      </c>
      <c r="H97" s="31">
        <f t="shared" si="17"/>
        <v>0</v>
      </c>
      <c r="I97" s="31">
        <f t="shared" si="18"/>
        <v>0</v>
      </c>
    </row>
    <row r="98" spans="1:9" ht="12.75" hidden="1">
      <c r="A98" s="261" t="s">
        <v>6</v>
      </c>
      <c r="B98" s="261" t="s">
        <v>157</v>
      </c>
      <c r="C98" s="261" t="s">
        <v>146</v>
      </c>
      <c r="D98" s="9">
        <v>0</v>
      </c>
      <c r="E98" s="31">
        <f t="shared" si="14"/>
        <v>0</v>
      </c>
      <c r="F98" s="31">
        <f t="shared" si="15"/>
        <v>0</v>
      </c>
      <c r="G98" s="31">
        <f t="shared" si="16"/>
        <v>0</v>
      </c>
      <c r="H98" s="31">
        <f t="shared" si="17"/>
        <v>0</v>
      </c>
      <c r="I98" s="31">
        <f t="shared" si="18"/>
        <v>0</v>
      </c>
    </row>
    <row r="99" spans="1:9" ht="12.75" hidden="1">
      <c r="A99" s="261" t="s">
        <v>6</v>
      </c>
      <c r="B99" s="261" t="s">
        <v>157</v>
      </c>
      <c r="C99" s="261" t="s">
        <v>146</v>
      </c>
      <c r="D99" s="9">
        <v>0</v>
      </c>
      <c r="E99" s="31">
        <f t="shared" si="14"/>
        <v>0</v>
      </c>
      <c r="F99" s="31">
        <f t="shared" si="15"/>
        <v>0</v>
      </c>
      <c r="G99" s="31">
        <f t="shared" si="16"/>
        <v>0</v>
      </c>
      <c r="H99" s="31">
        <f t="shared" si="17"/>
        <v>0</v>
      </c>
      <c r="I99" s="31">
        <f t="shared" si="18"/>
        <v>0</v>
      </c>
    </row>
    <row r="100" spans="1:9" ht="12.75" hidden="1">
      <c r="A100" s="261" t="s">
        <v>6</v>
      </c>
      <c r="B100" s="261" t="s">
        <v>157</v>
      </c>
      <c r="C100" s="261" t="s">
        <v>146</v>
      </c>
      <c r="D100" s="9">
        <v>0</v>
      </c>
      <c r="E100" s="31">
        <f t="shared" si="14"/>
        <v>0</v>
      </c>
      <c r="F100" s="31">
        <f t="shared" si="15"/>
        <v>0</v>
      </c>
      <c r="G100" s="31">
        <f t="shared" si="16"/>
        <v>0</v>
      </c>
      <c r="H100" s="31">
        <f t="shared" si="17"/>
        <v>0</v>
      </c>
      <c r="I100" s="31">
        <f t="shared" si="18"/>
        <v>0</v>
      </c>
    </row>
    <row r="101" spans="1:9" ht="12.75" hidden="1">
      <c r="A101" s="261" t="s">
        <v>6</v>
      </c>
      <c r="B101" s="261" t="s">
        <v>157</v>
      </c>
      <c r="C101" s="261" t="s">
        <v>146</v>
      </c>
      <c r="D101" s="9">
        <v>0</v>
      </c>
      <c r="E101" s="31">
        <f t="shared" si="14"/>
        <v>0</v>
      </c>
      <c r="F101" s="31">
        <f t="shared" si="15"/>
        <v>0</v>
      </c>
      <c r="G101" s="31">
        <f t="shared" si="16"/>
        <v>0</v>
      </c>
      <c r="H101" s="31">
        <f t="shared" si="17"/>
        <v>0</v>
      </c>
      <c r="I101" s="31">
        <f t="shared" si="18"/>
        <v>0</v>
      </c>
    </row>
    <row r="102" spans="1:9" ht="12.75" hidden="1">
      <c r="A102" s="261" t="s">
        <v>6</v>
      </c>
      <c r="B102" s="261" t="s">
        <v>157</v>
      </c>
      <c r="C102" s="261" t="s">
        <v>146</v>
      </c>
      <c r="D102" s="9">
        <v>0</v>
      </c>
      <c r="E102" s="31">
        <f t="shared" si="14"/>
        <v>0</v>
      </c>
      <c r="F102" s="31">
        <f t="shared" si="15"/>
        <v>0</v>
      </c>
      <c r="G102" s="31">
        <f t="shared" si="16"/>
        <v>0</v>
      </c>
      <c r="H102" s="31">
        <f t="shared" si="17"/>
        <v>0</v>
      </c>
      <c r="I102" s="31">
        <f t="shared" si="18"/>
        <v>0</v>
      </c>
    </row>
    <row r="103" spans="1:9" ht="12.75" hidden="1">
      <c r="A103" s="261" t="s">
        <v>6</v>
      </c>
      <c r="B103" s="261" t="s">
        <v>214</v>
      </c>
      <c r="C103" s="261" t="s">
        <v>146</v>
      </c>
      <c r="D103" s="11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</row>
    <row r="104" spans="1:9" ht="12.75" hidden="1">
      <c r="A104" s="261" t="s">
        <v>6</v>
      </c>
      <c r="B104" s="261" t="s">
        <v>214</v>
      </c>
      <c r="C104" s="261" t="s">
        <v>142</v>
      </c>
      <c r="D104" s="11">
        <v>0</v>
      </c>
      <c r="E104" s="16">
        <f t="shared" si="14"/>
        <v>0</v>
      </c>
      <c r="F104" s="16">
        <f t="shared" si="15"/>
        <v>0</v>
      </c>
      <c r="G104" s="16">
        <f t="shared" si="16"/>
        <v>0</v>
      </c>
      <c r="H104" s="16">
        <f t="shared" si="17"/>
        <v>0</v>
      </c>
      <c r="I104" s="16">
        <f t="shared" si="18"/>
        <v>0</v>
      </c>
    </row>
    <row r="105" spans="1:9" ht="12.75" hidden="1">
      <c r="A105" s="261" t="s">
        <v>6</v>
      </c>
      <c r="B105" s="261" t="s">
        <v>214</v>
      </c>
      <c r="C105" s="261" t="s">
        <v>170</v>
      </c>
      <c r="D105" s="11">
        <v>0</v>
      </c>
      <c r="E105" s="16">
        <f t="shared" si="14"/>
        <v>0</v>
      </c>
      <c r="F105" s="16">
        <f t="shared" si="15"/>
        <v>0</v>
      </c>
      <c r="G105" s="16">
        <f t="shared" si="16"/>
        <v>0</v>
      </c>
      <c r="H105" s="16">
        <f t="shared" si="17"/>
        <v>0</v>
      </c>
      <c r="I105" s="16">
        <f t="shared" si="18"/>
        <v>0</v>
      </c>
    </row>
    <row r="106" spans="1:9" ht="12.75" hidden="1">
      <c r="A106" s="261" t="s">
        <v>6</v>
      </c>
      <c r="B106" s="261" t="s">
        <v>159</v>
      </c>
      <c r="C106" s="261" t="s">
        <v>170</v>
      </c>
      <c r="D106" s="237">
        <v>0</v>
      </c>
      <c r="E106" s="39">
        <f t="shared" si="14"/>
        <v>0</v>
      </c>
      <c r="F106" s="39">
        <f t="shared" si="15"/>
        <v>0</v>
      </c>
      <c r="G106" s="39">
        <f t="shared" si="16"/>
        <v>0</v>
      </c>
      <c r="H106" s="39">
        <f t="shared" si="17"/>
        <v>0</v>
      </c>
      <c r="I106" s="39">
        <f t="shared" si="18"/>
        <v>0</v>
      </c>
    </row>
    <row r="107" spans="1:9" ht="13.5" hidden="1" thickBot="1">
      <c r="A107" s="261"/>
      <c r="B107" s="261"/>
      <c r="C107" s="261"/>
      <c r="D107" s="268">
        <f aca="true" t="shared" si="19" ref="D107:I107">SUM(D89:D106)</f>
        <v>0</v>
      </c>
      <c r="E107" s="268">
        <f t="shared" si="19"/>
        <v>0</v>
      </c>
      <c r="F107" s="268">
        <f t="shared" si="19"/>
        <v>0</v>
      </c>
      <c r="G107" s="268">
        <f t="shared" si="19"/>
        <v>0</v>
      </c>
      <c r="H107" s="268">
        <f t="shared" si="19"/>
        <v>0</v>
      </c>
      <c r="I107" s="268">
        <f t="shared" si="19"/>
        <v>0</v>
      </c>
    </row>
    <row r="108" spans="1:9" ht="13.5" hidden="1" thickTop="1">
      <c r="A108" s="261"/>
      <c r="B108" s="261"/>
      <c r="C108" s="261"/>
      <c r="D108" s="9"/>
      <c r="E108" s="9"/>
      <c r="F108" s="9"/>
      <c r="G108" s="9"/>
      <c r="H108" s="9"/>
      <c r="I108" s="9"/>
    </row>
    <row r="109" spans="1:9" ht="12.75" hidden="1">
      <c r="A109" s="276" t="s">
        <v>187</v>
      </c>
      <c r="B109" s="269"/>
      <c r="C109" s="269"/>
      <c r="D109" s="277" t="e">
        <f aca="true" t="shared" si="20" ref="D109:I109">D107/$D107</f>
        <v>#DIV/0!</v>
      </c>
      <c r="E109" s="278" t="e">
        <f t="shared" si="20"/>
        <v>#DIV/0!</v>
      </c>
      <c r="F109" s="278" t="e">
        <f t="shared" si="20"/>
        <v>#DIV/0!</v>
      </c>
      <c r="G109" s="278" t="e">
        <f t="shared" si="20"/>
        <v>#DIV/0!</v>
      </c>
      <c r="H109" s="278" t="e">
        <f t="shared" si="20"/>
        <v>#DIV/0!</v>
      </c>
      <c r="I109" s="279" t="e">
        <f t="shared" si="20"/>
        <v>#DIV/0!</v>
      </c>
    </row>
    <row r="110" spans="1:9" ht="12.75" hidden="1">
      <c r="A110" s="261"/>
      <c r="B110" s="261"/>
      <c r="C110" s="261"/>
      <c r="D110" s="9"/>
      <c r="E110" s="31"/>
      <c r="F110" s="31"/>
      <c r="G110" s="31"/>
      <c r="H110" s="31"/>
      <c r="I110" s="31"/>
    </row>
    <row r="111" spans="1:9" ht="12.75">
      <c r="A111" s="261" t="s">
        <v>6</v>
      </c>
      <c r="B111" s="261" t="s">
        <v>163</v>
      </c>
      <c r="C111" s="261" t="s">
        <v>140</v>
      </c>
      <c r="D111" s="264">
        <v>6941</v>
      </c>
      <c r="E111" s="262">
        <f aca="true" t="shared" si="21" ref="E111:E118">VLOOKUP($C111,$C$257:$I$267,3,FALSE)*$D111</f>
        <v>6941</v>
      </c>
      <c r="F111" s="16">
        <f aca="true" t="shared" si="22" ref="F111:F118">VLOOKUP($C111,$C$257:$I$267,4,FALSE)*$D111</f>
        <v>0</v>
      </c>
      <c r="G111" s="16">
        <f aca="true" t="shared" si="23" ref="G111:G118">VLOOKUP($C111,$C$257:$I$267,5,FALSE)*$D111</f>
        <v>0</v>
      </c>
      <c r="H111" s="16">
        <f aca="true" t="shared" si="24" ref="H111:H118">VLOOKUP($C111,$C$257:$I$267,6,FALSE)*$D111</f>
        <v>0</v>
      </c>
      <c r="I111" s="16">
        <f aca="true" t="shared" si="25" ref="I111:I118">VLOOKUP($C111,$C$257:$I$267,7,FALSE)*$D111</f>
        <v>0</v>
      </c>
    </row>
    <row r="112" spans="1:9" ht="12.75" hidden="1">
      <c r="A112" s="261" t="s">
        <v>6</v>
      </c>
      <c r="B112" s="261" t="s">
        <v>163</v>
      </c>
      <c r="C112" s="261" t="s">
        <v>140</v>
      </c>
      <c r="D112" s="263">
        <v>0</v>
      </c>
      <c r="E112" s="262">
        <f t="shared" si="21"/>
        <v>0</v>
      </c>
      <c r="F112" s="262">
        <f t="shared" si="22"/>
        <v>0</v>
      </c>
      <c r="G112" s="262">
        <f t="shared" si="23"/>
        <v>0</v>
      </c>
      <c r="H112" s="262">
        <f t="shared" si="24"/>
        <v>0</v>
      </c>
      <c r="I112" s="262">
        <f t="shared" si="25"/>
        <v>0</v>
      </c>
    </row>
    <row r="113" spans="1:9" ht="12.75" hidden="1">
      <c r="A113" s="261" t="s">
        <v>6</v>
      </c>
      <c r="B113" s="261" t="s">
        <v>163</v>
      </c>
      <c r="C113" s="261" t="s">
        <v>140</v>
      </c>
      <c r="D113" s="263">
        <v>0</v>
      </c>
      <c r="E113" s="262">
        <f t="shared" si="21"/>
        <v>0</v>
      </c>
      <c r="F113" s="262">
        <f t="shared" si="22"/>
        <v>0</v>
      </c>
      <c r="G113" s="262">
        <f t="shared" si="23"/>
        <v>0</v>
      </c>
      <c r="H113" s="262">
        <f t="shared" si="24"/>
        <v>0</v>
      </c>
      <c r="I113" s="262">
        <f t="shared" si="25"/>
        <v>0</v>
      </c>
    </row>
    <row r="114" spans="1:9" ht="12.75" hidden="1">
      <c r="A114" s="261" t="s">
        <v>6</v>
      </c>
      <c r="B114" s="261" t="s">
        <v>163</v>
      </c>
      <c r="C114" s="261" t="s">
        <v>140</v>
      </c>
      <c r="D114" s="263">
        <v>0</v>
      </c>
      <c r="E114" s="262">
        <f t="shared" si="21"/>
        <v>0</v>
      </c>
      <c r="F114" s="262">
        <f t="shared" si="22"/>
        <v>0</v>
      </c>
      <c r="G114" s="262">
        <f t="shared" si="23"/>
        <v>0</v>
      </c>
      <c r="H114" s="262">
        <f t="shared" si="24"/>
        <v>0</v>
      </c>
      <c r="I114" s="262">
        <f t="shared" si="25"/>
        <v>0</v>
      </c>
    </row>
    <row r="115" spans="1:9" ht="12.75" hidden="1">
      <c r="A115" s="261" t="s">
        <v>6</v>
      </c>
      <c r="B115" s="261" t="s">
        <v>163</v>
      </c>
      <c r="C115" s="261" t="s">
        <v>140</v>
      </c>
      <c r="D115" s="263">
        <v>0</v>
      </c>
      <c r="E115" s="262">
        <f t="shared" si="21"/>
        <v>0</v>
      </c>
      <c r="F115" s="262">
        <f t="shared" si="22"/>
        <v>0</v>
      </c>
      <c r="G115" s="262">
        <f t="shared" si="23"/>
        <v>0</v>
      </c>
      <c r="H115" s="262">
        <f t="shared" si="24"/>
        <v>0</v>
      </c>
      <c r="I115" s="262">
        <f t="shared" si="25"/>
        <v>0</v>
      </c>
    </row>
    <row r="116" spans="1:9" ht="12.75" hidden="1">
      <c r="A116" s="261" t="s">
        <v>6</v>
      </c>
      <c r="B116" s="261" t="s">
        <v>163</v>
      </c>
      <c r="C116" s="261" t="s">
        <v>140</v>
      </c>
      <c r="D116" s="263">
        <v>0</v>
      </c>
      <c r="E116" s="262">
        <f t="shared" si="21"/>
        <v>0</v>
      </c>
      <c r="F116" s="262">
        <f t="shared" si="22"/>
        <v>0</v>
      </c>
      <c r="G116" s="262">
        <f t="shared" si="23"/>
        <v>0</v>
      </c>
      <c r="H116" s="262">
        <f t="shared" si="24"/>
        <v>0</v>
      </c>
      <c r="I116" s="262">
        <f t="shared" si="25"/>
        <v>0</v>
      </c>
    </row>
    <row r="117" spans="1:9" ht="12.75" hidden="1">
      <c r="A117" s="261" t="s">
        <v>6</v>
      </c>
      <c r="B117" s="261" t="s">
        <v>163</v>
      </c>
      <c r="C117" s="261" t="s">
        <v>140</v>
      </c>
      <c r="D117" s="263">
        <v>0</v>
      </c>
      <c r="E117" s="262">
        <f t="shared" si="21"/>
        <v>0</v>
      </c>
      <c r="F117" s="262">
        <f t="shared" si="22"/>
        <v>0</v>
      </c>
      <c r="G117" s="262">
        <f t="shared" si="23"/>
        <v>0</v>
      </c>
      <c r="H117" s="262">
        <f t="shared" si="24"/>
        <v>0</v>
      </c>
      <c r="I117" s="262">
        <f t="shared" si="25"/>
        <v>0</v>
      </c>
    </row>
    <row r="118" spans="1:9" ht="12.75" hidden="1">
      <c r="A118" s="261" t="s">
        <v>6</v>
      </c>
      <c r="B118" s="261" t="s">
        <v>163</v>
      </c>
      <c r="C118" s="261" t="s">
        <v>140</v>
      </c>
      <c r="D118" s="263">
        <v>0</v>
      </c>
      <c r="E118" s="262">
        <f t="shared" si="21"/>
        <v>0</v>
      </c>
      <c r="F118" s="262">
        <f t="shared" si="22"/>
        <v>0</v>
      </c>
      <c r="G118" s="262">
        <f t="shared" si="23"/>
        <v>0</v>
      </c>
      <c r="H118" s="262">
        <f t="shared" si="24"/>
        <v>0</v>
      </c>
      <c r="I118" s="262">
        <f t="shared" si="25"/>
        <v>0</v>
      </c>
    </row>
    <row r="119" spans="4:9" ht="12.75">
      <c r="D119" s="264"/>
      <c r="E119" s="264"/>
      <c r="F119" s="262"/>
      <c r="G119" s="262"/>
      <c r="H119" s="262"/>
      <c r="I119" s="262"/>
    </row>
    <row r="120" spans="1:9" ht="12.75">
      <c r="A120" s="261" t="s">
        <v>6</v>
      </c>
      <c r="B120" s="261" t="s">
        <v>165</v>
      </c>
      <c r="C120" s="261" t="s">
        <v>140</v>
      </c>
      <c r="D120" s="264">
        <v>9314</v>
      </c>
      <c r="E120" s="262">
        <f aca="true" t="shared" si="26" ref="E120:E155">VLOOKUP($C120,$C$257:$I$267,3,FALSE)*$D120</f>
        <v>9314</v>
      </c>
      <c r="F120" s="16">
        <f aca="true" t="shared" si="27" ref="F120:F155">VLOOKUP($C120,$C$257:$I$267,4,FALSE)*$D120</f>
        <v>0</v>
      </c>
      <c r="G120" s="16">
        <f aca="true" t="shared" si="28" ref="G120:G155">VLOOKUP($C120,$C$257:$I$267,5,FALSE)*$D120</f>
        <v>0</v>
      </c>
      <c r="H120" s="16">
        <f aca="true" t="shared" si="29" ref="H120:H155">VLOOKUP($C120,$C$257:$I$267,6,FALSE)*$D120</f>
        <v>0</v>
      </c>
      <c r="I120" s="16">
        <f aca="true" t="shared" si="30" ref="I120:I155">VLOOKUP($C120,$C$257:$I$267,7,FALSE)*$D120</f>
        <v>0</v>
      </c>
    </row>
    <row r="121" spans="1:9" ht="12.75" hidden="1">
      <c r="A121" s="261" t="s">
        <v>6</v>
      </c>
      <c r="B121" s="261" t="s">
        <v>165</v>
      </c>
      <c r="C121" s="261" t="s">
        <v>140</v>
      </c>
      <c r="D121" s="263">
        <v>0</v>
      </c>
      <c r="E121" s="262">
        <f t="shared" si="26"/>
        <v>0</v>
      </c>
      <c r="F121" s="262">
        <f t="shared" si="27"/>
        <v>0</v>
      </c>
      <c r="G121" s="262">
        <f t="shared" si="28"/>
        <v>0</v>
      </c>
      <c r="H121" s="262">
        <f t="shared" si="29"/>
        <v>0</v>
      </c>
      <c r="I121" s="262">
        <f t="shared" si="30"/>
        <v>0</v>
      </c>
    </row>
    <row r="122" spans="1:9" ht="12.75" hidden="1">
      <c r="A122" s="261" t="s">
        <v>6</v>
      </c>
      <c r="B122" s="261" t="s">
        <v>165</v>
      </c>
      <c r="C122" s="261" t="s">
        <v>140</v>
      </c>
      <c r="D122" s="263">
        <v>0</v>
      </c>
      <c r="E122" s="262">
        <f t="shared" si="26"/>
        <v>0</v>
      </c>
      <c r="F122" s="262">
        <f t="shared" si="27"/>
        <v>0</v>
      </c>
      <c r="G122" s="262">
        <f t="shared" si="28"/>
        <v>0</v>
      </c>
      <c r="H122" s="262">
        <f t="shared" si="29"/>
        <v>0</v>
      </c>
      <c r="I122" s="262">
        <f t="shared" si="30"/>
        <v>0</v>
      </c>
    </row>
    <row r="123" spans="1:9" ht="12.75" hidden="1">
      <c r="A123" s="261" t="s">
        <v>6</v>
      </c>
      <c r="B123" s="261" t="s">
        <v>165</v>
      </c>
      <c r="C123" s="261" t="s">
        <v>140</v>
      </c>
      <c r="D123" s="263">
        <v>0</v>
      </c>
      <c r="E123" s="262">
        <f t="shared" si="26"/>
        <v>0</v>
      </c>
      <c r="F123" s="262">
        <f t="shared" si="27"/>
        <v>0</v>
      </c>
      <c r="G123" s="262">
        <f t="shared" si="28"/>
        <v>0</v>
      </c>
      <c r="H123" s="262">
        <f t="shared" si="29"/>
        <v>0</v>
      </c>
      <c r="I123" s="262">
        <f t="shared" si="30"/>
        <v>0</v>
      </c>
    </row>
    <row r="124" spans="1:9" ht="12.75" hidden="1">
      <c r="A124" s="261" t="s">
        <v>6</v>
      </c>
      <c r="B124" s="261" t="s">
        <v>165</v>
      </c>
      <c r="C124" s="261" t="s">
        <v>140</v>
      </c>
      <c r="D124" s="263">
        <v>0</v>
      </c>
      <c r="E124" s="262">
        <f t="shared" si="26"/>
        <v>0</v>
      </c>
      <c r="F124" s="262">
        <f t="shared" si="27"/>
        <v>0</v>
      </c>
      <c r="G124" s="262">
        <f t="shared" si="28"/>
        <v>0</v>
      </c>
      <c r="H124" s="262">
        <f t="shared" si="29"/>
        <v>0</v>
      </c>
      <c r="I124" s="262">
        <f t="shared" si="30"/>
        <v>0</v>
      </c>
    </row>
    <row r="125" spans="1:9" ht="12.75" hidden="1">
      <c r="A125" s="261" t="s">
        <v>6</v>
      </c>
      <c r="B125" s="261" t="s">
        <v>165</v>
      </c>
      <c r="C125" s="261" t="s">
        <v>140</v>
      </c>
      <c r="D125" s="263">
        <v>0</v>
      </c>
      <c r="E125" s="262">
        <f t="shared" si="26"/>
        <v>0</v>
      </c>
      <c r="F125" s="262">
        <f t="shared" si="27"/>
        <v>0</v>
      </c>
      <c r="G125" s="262">
        <f t="shared" si="28"/>
        <v>0</v>
      </c>
      <c r="H125" s="262">
        <f t="shared" si="29"/>
        <v>0</v>
      </c>
      <c r="I125" s="262">
        <f t="shared" si="30"/>
        <v>0</v>
      </c>
    </row>
    <row r="126" spans="1:9" ht="12.75" hidden="1">
      <c r="A126" s="261" t="s">
        <v>6</v>
      </c>
      <c r="B126" s="261" t="s">
        <v>165</v>
      </c>
      <c r="C126" s="261" t="s">
        <v>140</v>
      </c>
      <c r="D126" s="263">
        <v>0</v>
      </c>
      <c r="E126" s="262">
        <f t="shared" si="26"/>
        <v>0</v>
      </c>
      <c r="F126" s="262">
        <f t="shared" si="27"/>
        <v>0</v>
      </c>
      <c r="G126" s="262">
        <f t="shared" si="28"/>
        <v>0</v>
      </c>
      <c r="H126" s="262">
        <f t="shared" si="29"/>
        <v>0</v>
      </c>
      <c r="I126" s="262">
        <f t="shared" si="30"/>
        <v>0</v>
      </c>
    </row>
    <row r="127" spans="1:9" ht="12.75" hidden="1">
      <c r="A127" s="261" t="s">
        <v>6</v>
      </c>
      <c r="B127" s="261" t="s">
        <v>165</v>
      </c>
      <c r="C127" s="261" t="s">
        <v>140</v>
      </c>
      <c r="D127" s="263">
        <v>0</v>
      </c>
      <c r="E127" s="262">
        <f t="shared" si="26"/>
        <v>0</v>
      </c>
      <c r="F127" s="262">
        <f t="shared" si="27"/>
        <v>0</v>
      </c>
      <c r="G127" s="262">
        <f t="shared" si="28"/>
        <v>0</v>
      </c>
      <c r="H127" s="262">
        <f t="shared" si="29"/>
        <v>0</v>
      </c>
      <c r="I127" s="262">
        <f t="shared" si="30"/>
        <v>0</v>
      </c>
    </row>
    <row r="128" spans="1:9" ht="12.75" hidden="1">
      <c r="A128" s="261" t="s">
        <v>6</v>
      </c>
      <c r="B128" s="261" t="s">
        <v>165</v>
      </c>
      <c r="C128" s="261" t="s">
        <v>140</v>
      </c>
      <c r="D128" s="263">
        <v>0</v>
      </c>
      <c r="E128" s="262">
        <f t="shared" si="26"/>
        <v>0</v>
      </c>
      <c r="F128" s="262">
        <f t="shared" si="27"/>
        <v>0</v>
      </c>
      <c r="G128" s="262">
        <f t="shared" si="28"/>
        <v>0</v>
      </c>
      <c r="H128" s="262">
        <f t="shared" si="29"/>
        <v>0</v>
      </c>
      <c r="I128" s="262">
        <f t="shared" si="30"/>
        <v>0</v>
      </c>
    </row>
    <row r="129" spans="1:9" ht="12.75" hidden="1">
      <c r="A129" s="261" t="s">
        <v>6</v>
      </c>
      <c r="B129" s="261" t="s">
        <v>165</v>
      </c>
      <c r="C129" s="261" t="s">
        <v>140</v>
      </c>
      <c r="D129" s="263">
        <v>0</v>
      </c>
      <c r="E129" s="262">
        <f t="shared" si="26"/>
        <v>0</v>
      </c>
      <c r="F129" s="262">
        <f t="shared" si="27"/>
        <v>0</v>
      </c>
      <c r="G129" s="262">
        <f t="shared" si="28"/>
        <v>0</v>
      </c>
      <c r="H129" s="262">
        <f t="shared" si="29"/>
        <v>0</v>
      </c>
      <c r="I129" s="262">
        <f t="shared" si="30"/>
        <v>0</v>
      </c>
    </row>
    <row r="130" spans="1:9" ht="12.75" hidden="1">
      <c r="A130" s="261" t="s">
        <v>6</v>
      </c>
      <c r="B130" s="261" t="s">
        <v>165</v>
      </c>
      <c r="C130" s="261" t="s">
        <v>140</v>
      </c>
      <c r="D130" s="263">
        <v>0</v>
      </c>
      <c r="E130" s="262">
        <f t="shared" si="26"/>
        <v>0</v>
      </c>
      <c r="F130" s="262">
        <f t="shared" si="27"/>
        <v>0</v>
      </c>
      <c r="G130" s="262">
        <f t="shared" si="28"/>
        <v>0</v>
      </c>
      <c r="H130" s="262">
        <f t="shared" si="29"/>
        <v>0</v>
      </c>
      <c r="I130" s="262">
        <f t="shared" si="30"/>
        <v>0</v>
      </c>
    </row>
    <row r="131" spans="1:9" ht="12.75" hidden="1">
      <c r="A131" s="261" t="s">
        <v>6</v>
      </c>
      <c r="B131" s="261" t="s">
        <v>165</v>
      </c>
      <c r="C131" s="261" t="s">
        <v>140</v>
      </c>
      <c r="D131" s="263">
        <v>0</v>
      </c>
      <c r="E131" s="262">
        <f t="shared" si="26"/>
        <v>0</v>
      </c>
      <c r="F131" s="262">
        <f t="shared" si="27"/>
        <v>0</v>
      </c>
      <c r="G131" s="262">
        <f t="shared" si="28"/>
        <v>0</v>
      </c>
      <c r="H131" s="262">
        <f t="shared" si="29"/>
        <v>0</v>
      </c>
      <c r="I131" s="262">
        <f t="shared" si="30"/>
        <v>0</v>
      </c>
    </row>
    <row r="132" spans="1:9" ht="12.75" hidden="1">
      <c r="A132" s="261" t="s">
        <v>6</v>
      </c>
      <c r="B132" s="261" t="s">
        <v>165</v>
      </c>
      <c r="C132" s="261" t="s">
        <v>140</v>
      </c>
      <c r="D132" s="263">
        <v>0</v>
      </c>
      <c r="E132" s="262">
        <f t="shared" si="26"/>
        <v>0</v>
      </c>
      <c r="F132" s="262">
        <f t="shared" si="27"/>
        <v>0</v>
      </c>
      <c r="G132" s="262">
        <f t="shared" si="28"/>
        <v>0</v>
      </c>
      <c r="H132" s="262">
        <f t="shared" si="29"/>
        <v>0</v>
      </c>
      <c r="I132" s="262">
        <f t="shared" si="30"/>
        <v>0</v>
      </c>
    </row>
    <row r="133" spans="1:9" ht="12.75" hidden="1">
      <c r="A133" s="261" t="s">
        <v>6</v>
      </c>
      <c r="B133" s="261" t="s">
        <v>165</v>
      </c>
      <c r="C133" s="261" t="s">
        <v>140</v>
      </c>
      <c r="D133" s="263">
        <v>0</v>
      </c>
      <c r="E133" s="262">
        <f t="shared" si="26"/>
        <v>0</v>
      </c>
      <c r="F133" s="262">
        <f t="shared" si="27"/>
        <v>0</v>
      </c>
      <c r="G133" s="262">
        <f t="shared" si="28"/>
        <v>0</v>
      </c>
      <c r="H133" s="262">
        <f t="shared" si="29"/>
        <v>0</v>
      </c>
      <c r="I133" s="262">
        <f t="shared" si="30"/>
        <v>0</v>
      </c>
    </row>
    <row r="134" spans="1:9" ht="12.75" hidden="1">
      <c r="A134" s="261" t="s">
        <v>6</v>
      </c>
      <c r="B134" s="261" t="s">
        <v>165</v>
      </c>
      <c r="C134" s="261" t="s">
        <v>140</v>
      </c>
      <c r="D134" s="263">
        <v>0</v>
      </c>
      <c r="E134" s="262">
        <f t="shared" si="26"/>
        <v>0</v>
      </c>
      <c r="F134" s="262">
        <f t="shared" si="27"/>
        <v>0</v>
      </c>
      <c r="G134" s="262">
        <f t="shared" si="28"/>
        <v>0</v>
      </c>
      <c r="H134" s="262">
        <f t="shared" si="29"/>
        <v>0</v>
      </c>
      <c r="I134" s="262">
        <f t="shared" si="30"/>
        <v>0</v>
      </c>
    </row>
    <row r="135" spans="1:9" ht="12.75" hidden="1">
      <c r="A135" s="261" t="s">
        <v>6</v>
      </c>
      <c r="B135" s="261" t="s">
        <v>165</v>
      </c>
      <c r="C135" s="261" t="s">
        <v>140</v>
      </c>
      <c r="D135" s="263">
        <v>0</v>
      </c>
      <c r="E135" s="262">
        <f t="shared" si="26"/>
        <v>0</v>
      </c>
      <c r="F135" s="262">
        <f t="shared" si="27"/>
        <v>0</v>
      </c>
      <c r="G135" s="262">
        <f t="shared" si="28"/>
        <v>0</v>
      </c>
      <c r="H135" s="262">
        <f t="shared" si="29"/>
        <v>0</v>
      </c>
      <c r="I135" s="262">
        <f t="shared" si="30"/>
        <v>0</v>
      </c>
    </row>
    <row r="136" spans="1:9" ht="12.75" hidden="1">
      <c r="A136" s="261" t="s">
        <v>6</v>
      </c>
      <c r="B136" s="261" t="s">
        <v>165</v>
      </c>
      <c r="C136" s="261" t="s">
        <v>140</v>
      </c>
      <c r="D136" s="263">
        <v>0</v>
      </c>
      <c r="E136" s="262">
        <f t="shared" si="26"/>
        <v>0</v>
      </c>
      <c r="F136" s="262">
        <f t="shared" si="27"/>
        <v>0</v>
      </c>
      <c r="G136" s="262">
        <f t="shared" si="28"/>
        <v>0</v>
      </c>
      <c r="H136" s="262">
        <f t="shared" si="29"/>
        <v>0</v>
      </c>
      <c r="I136" s="262">
        <f t="shared" si="30"/>
        <v>0</v>
      </c>
    </row>
    <row r="137" spans="1:9" ht="12.75" hidden="1">
      <c r="A137" s="261" t="s">
        <v>6</v>
      </c>
      <c r="B137" s="261" t="s">
        <v>165</v>
      </c>
      <c r="C137" s="261" t="s">
        <v>140</v>
      </c>
      <c r="D137" s="263">
        <v>0</v>
      </c>
      <c r="E137" s="262">
        <f t="shared" si="26"/>
        <v>0</v>
      </c>
      <c r="F137" s="262">
        <f t="shared" si="27"/>
        <v>0</v>
      </c>
      <c r="G137" s="262">
        <f t="shared" si="28"/>
        <v>0</v>
      </c>
      <c r="H137" s="262">
        <f t="shared" si="29"/>
        <v>0</v>
      </c>
      <c r="I137" s="262">
        <f t="shared" si="30"/>
        <v>0</v>
      </c>
    </row>
    <row r="138" spans="1:9" ht="12.75" hidden="1">
      <c r="A138" s="261" t="s">
        <v>6</v>
      </c>
      <c r="B138" s="261" t="s">
        <v>165</v>
      </c>
      <c r="C138" s="261" t="s">
        <v>140</v>
      </c>
      <c r="D138" s="263">
        <v>0</v>
      </c>
      <c r="E138" s="262">
        <f t="shared" si="26"/>
        <v>0</v>
      </c>
      <c r="F138" s="262">
        <f t="shared" si="27"/>
        <v>0</v>
      </c>
      <c r="G138" s="262">
        <f t="shared" si="28"/>
        <v>0</v>
      </c>
      <c r="H138" s="262">
        <f t="shared" si="29"/>
        <v>0</v>
      </c>
      <c r="I138" s="262">
        <f t="shared" si="30"/>
        <v>0</v>
      </c>
    </row>
    <row r="139" spans="1:9" ht="12.75" hidden="1">
      <c r="A139" s="261" t="s">
        <v>6</v>
      </c>
      <c r="B139" s="261" t="s">
        <v>165</v>
      </c>
      <c r="C139" s="261" t="s">
        <v>140</v>
      </c>
      <c r="D139" s="263">
        <v>0</v>
      </c>
      <c r="E139" s="262">
        <f t="shared" si="26"/>
        <v>0</v>
      </c>
      <c r="F139" s="262">
        <f t="shared" si="27"/>
        <v>0</v>
      </c>
      <c r="G139" s="262">
        <f t="shared" si="28"/>
        <v>0</v>
      </c>
      <c r="H139" s="262">
        <f t="shared" si="29"/>
        <v>0</v>
      </c>
      <c r="I139" s="262">
        <f t="shared" si="30"/>
        <v>0</v>
      </c>
    </row>
    <row r="140" spans="1:9" ht="12.75" hidden="1">
      <c r="A140" s="261" t="s">
        <v>6</v>
      </c>
      <c r="B140" s="261" t="s">
        <v>165</v>
      </c>
      <c r="C140" s="261" t="s">
        <v>140</v>
      </c>
      <c r="D140" s="263">
        <v>0</v>
      </c>
      <c r="E140" s="262">
        <f t="shared" si="26"/>
        <v>0</v>
      </c>
      <c r="F140" s="262">
        <f t="shared" si="27"/>
        <v>0</v>
      </c>
      <c r="G140" s="262">
        <f t="shared" si="28"/>
        <v>0</v>
      </c>
      <c r="H140" s="262">
        <f t="shared" si="29"/>
        <v>0</v>
      </c>
      <c r="I140" s="262">
        <f t="shared" si="30"/>
        <v>0</v>
      </c>
    </row>
    <row r="141" spans="1:9" ht="12.75" hidden="1">
      <c r="A141" s="261" t="s">
        <v>6</v>
      </c>
      <c r="B141" s="261" t="s">
        <v>165</v>
      </c>
      <c r="C141" s="261" t="s">
        <v>140</v>
      </c>
      <c r="D141" s="263">
        <v>0</v>
      </c>
      <c r="E141" s="262">
        <f t="shared" si="26"/>
        <v>0</v>
      </c>
      <c r="F141" s="262">
        <f t="shared" si="27"/>
        <v>0</v>
      </c>
      <c r="G141" s="262">
        <f t="shared" si="28"/>
        <v>0</v>
      </c>
      <c r="H141" s="262">
        <f t="shared" si="29"/>
        <v>0</v>
      </c>
      <c r="I141" s="262">
        <f t="shared" si="30"/>
        <v>0</v>
      </c>
    </row>
    <row r="142" spans="1:9" ht="12.75" hidden="1">
      <c r="A142" s="261" t="s">
        <v>6</v>
      </c>
      <c r="B142" s="261" t="s">
        <v>165</v>
      </c>
      <c r="C142" s="261" t="s">
        <v>140</v>
      </c>
      <c r="D142" s="263">
        <v>0</v>
      </c>
      <c r="E142" s="262">
        <f t="shared" si="26"/>
        <v>0</v>
      </c>
      <c r="F142" s="262">
        <f t="shared" si="27"/>
        <v>0</v>
      </c>
      <c r="G142" s="262">
        <f t="shared" si="28"/>
        <v>0</v>
      </c>
      <c r="H142" s="262">
        <f t="shared" si="29"/>
        <v>0</v>
      </c>
      <c r="I142" s="262">
        <f t="shared" si="30"/>
        <v>0</v>
      </c>
    </row>
    <row r="143" spans="1:9" ht="12.75" hidden="1">
      <c r="A143" s="261" t="s">
        <v>6</v>
      </c>
      <c r="B143" s="261" t="s">
        <v>165</v>
      </c>
      <c r="C143" s="261" t="s">
        <v>140</v>
      </c>
      <c r="D143" s="263">
        <v>0</v>
      </c>
      <c r="E143" s="262">
        <f t="shared" si="26"/>
        <v>0</v>
      </c>
      <c r="F143" s="262">
        <f t="shared" si="27"/>
        <v>0</v>
      </c>
      <c r="G143" s="262">
        <f t="shared" si="28"/>
        <v>0</v>
      </c>
      <c r="H143" s="262">
        <f t="shared" si="29"/>
        <v>0</v>
      </c>
      <c r="I143" s="262">
        <f t="shared" si="30"/>
        <v>0</v>
      </c>
    </row>
    <row r="144" spans="1:9" ht="12.75" hidden="1">
      <c r="A144" s="261" t="s">
        <v>6</v>
      </c>
      <c r="B144" s="261" t="s">
        <v>165</v>
      </c>
      <c r="C144" s="261" t="s">
        <v>140</v>
      </c>
      <c r="D144" s="263">
        <v>0</v>
      </c>
      <c r="E144" s="262">
        <f t="shared" si="26"/>
        <v>0</v>
      </c>
      <c r="F144" s="262">
        <f t="shared" si="27"/>
        <v>0</v>
      </c>
      <c r="G144" s="262">
        <f t="shared" si="28"/>
        <v>0</v>
      </c>
      <c r="H144" s="262">
        <f t="shared" si="29"/>
        <v>0</v>
      </c>
      <c r="I144" s="262">
        <f t="shared" si="30"/>
        <v>0</v>
      </c>
    </row>
    <row r="145" spans="1:9" ht="12.75" hidden="1">
      <c r="A145" s="261" t="s">
        <v>6</v>
      </c>
      <c r="B145" s="261" t="s">
        <v>165</v>
      </c>
      <c r="C145" s="261" t="s">
        <v>140</v>
      </c>
      <c r="D145" s="263">
        <v>0</v>
      </c>
      <c r="E145" s="262">
        <f t="shared" si="26"/>
        <v>0</v>
      </c>
      <c r="F145" s="262">
        <f t="shared" si="27"/>
        <v>0</v>
      </c>
      <c r="G145" s="262">
        <f t="shared" si="28"/>
        <v>0</v>
      </c>
      <c r="H145" s="262">
        <f t="shared" si="29"/>
        <v>0</v>
      </c>
      <c r="I145" s="262">
        <f t="shared" si="30"/>
        <v>0</v>
      </c>
    </row>
    <row r="146" spans="1:9" ht="12.75" hidden="1">
      <c r="A146" s="261" t="s">
        <v>6</v>
      </c>
      <c r="B146" s="261" t="s">
        <v>165</v>
      </c>
      <c r="C146" s="261" t="s">
        <v>140</v>
      </c>
      <c r="D146" s="263">
        <v>0</v>
      </c>
      <c r="E146" s="262">
        <f t="shared" si="26"/>
        <v>0</v>
      </c>
      <c r="F146" s="262">
        <f t="shared" si="27"/>
        <v>0</v>
      </c>
      <c r="G146" s="262">
        <f t="shared" si="28"/>
        <v>0</v>
      </c>
      <c r="H146" s="262">
        <f t="shared" si="29"/>
        <v>0</v>
      </c>
      <c r="I146" s="262">
        <f t="shared" si="30"/>
        <v>0</v>
      </c>
    </row>
    <row r="147" spans="1:9" ht="12.75">
      <c r="A147" s="261" t="s">
        <v>6</v>
      </c>
      <c r="B147" s="261" t="s">
        <v>165</v>
      </c>
      <c r="C147" s="261" t="s">
        <v>140</v>
      </c>
      <c r="D147" s="9">
        <v>0</v>
      </c>
      <c r="E147" s="31">
        <f t="shared" si="26"/>
        <v>0</v>
      </c>
      <c r="F147" s="31">
        <f t="shared" si="27"/>
        <v>0</v>
      </c>
      <c r="G147" s="31">
        <f t="shared" si="28"/>
        <v>0</v>
      </c>
      <c r="H147" s="31">
        <f t="shared" si="29"/>
        <v>0</v>
      </c>
      <c r="I147" s="31">
        <f t="shared" si="30"/>
        <v>0</v>
      </c>
    </row>
    <row r="148" spans="1:9" ht="12.75">
      <c r="A148" s="261" t="s">
        <v>6</v>
      </c>
      <c r="B148" s="261" t="s">
        <v>165</v>
      </c>
      <c r="C148" s="261" t="s">
        <v>141</v>
      </c>
      <c r="D148" s="264">
        <v>26797</v>
      </c>
      <c r="E148" s="16">
        <f t="shared" si="26"/>
        <v>0</v>
      </c>
      <c r="F148" s="262">
        <f t="shared" si="27"/>
        <v>26797</v>
      </c>
      <c r="G148" s="16">
        <f t="shared" si="28"/>
        <v>0</v>
      </c>
      <c r="H148" s="16">
        <f t="shared" si="29"/>
        <v>0</v>
      </c>
      <c r="I148" s="16">
        <f t="shared" si="30"/>
        <v>0</v>
      </c>
    </row>
    <row r="149" spans="1:9" ht="12.75" hidden="1">
      <c r="A149" s="261" t="s">
        <v>6</v>
      </c>
      <c r="B149" s="261" t="s">
        <v>165</v>
      </c>
      <c r="C149" s="261" t="s">
        <v>141</v>
      </c>
      <c r="D149" s="263">
        <v>0</v>
      </c>
      <c r="E149" s="262">
        <f t="shared" si="26"/>
        <v>0</v>
      </c>
      <c r="F149" s="262">
        <f t="shared" si="27"/>
        <v>0</v>
      </c>
      <c r="G149" s="16">
        <f t="shared" si="28"/>
        <v>0</v>
      </c>
      <c r="H149" s="16">
        <f t="shared" si="29"/>
        <v>0</v>
      </c>
      <c r="I149" s="16">
        <f t="shared" si="30"/>
        <v>0</v>
      </c>
    </row>
    <row r="150" spans="1:9" ht="12.75" hidden="1">
      <c r="A150" s="261" t="s">
        <v>6</v>
      </c>
      <c r="B150" s="261" t="s">
        <v>165</v>
      </c>
      <c r="C150" s="261" t="s">
        <v>141</v>
      </c>
      <c r="D150" s="263">
        <v>0</v>
      </c>
      <c r="E150" s="262">
        <f t="shared" si="26"/>
        <v>0</v>
      </c>
      <c r="F150" s="262">
        <f t="shared" si="27"/>
        <v>0</v>
      </c>
      <c r="G150" s="16">
        <f t="shared" si="28"/>
        <v>0</v>
      </c>
      <c r="H150" s="16">
        <f t="shared" si="29"/>
        <v>0</v>
      </c>
      <c r="I150" s="16">
        <f t="shared" si="30"/>
        <v>0</v>
      </c>
    </row>
    <row r="151" spans="1:9" ht="12.75" hidden="1">
      <c r="A151" s="261" t="s">
        <v>6</v>
      </c>
      <c r="B151" s="261" t="s">
        <v>165</v>
      </c>
      <c r="C151" s="261" t="s">
        <v>140</v>
      </c>
      <c r="D151" s="263">
        <v>0</v>
      </c>
      <c r="E151" s="262">
        <f t="shared" si="26"/>
        <v>0</v>
      </c>
      <c r="F151" s="262">
        <f t="shared" si="27"/>
        <v>0</v>
      </c>
      <c r="G151" s="16">
        <f t="shared" si="28"/>
        <v>0</v>
      </c>
      <c r="H151" s="16">
        <f t="shared" si="29"/>
        <v>0</v>
      </c>
      <c r="I151" s="16">
        <f t="shared" si="30"/>
        <v>0</v>
      </c>
    </row>
    <row r="152" spans="1:9" ht="12.75" hidden="1">
      <c r="A152" s="261" t="s">
        <v>6</v>
      </c>
      <c r="B152" s="261" t="s">
        <v>165</v>
      </c>
      <c r="C152" s="261" t="s">
        <v>140</v>
      </c>
      <c r="D152" s="263">
        <v>0</v>
      </c>
      <c r="E152" s="262">
        <f t="shared" si="26"/>
        <v>0</v>
      </c>
      <c r="F152" s="262">
        <f t="shared" si="27"/>
        <v>0</v>
      </c>
      <c r="G152" s="16">
        <f t="shared" si="28"/>
        <v>0</v>
      </c>
      <c r="H152" s="16">
        <f t="shared" si="29"/>
        <v>0</v>
      </c>
      <c r="I152" s="16">
        <f t="shared" si="30"/>
        <v>0</v>
      </c>
    </row>
    <row r="153" spans="1:9" ht="12.75" hidden="1">
      <c r="A153" s="261" t="s">
        <v>6</v>
      </c>
      <c r="B153" s="261" t="s">
        <v>165</v>
      </c>
      <c r="C153" s="261" t="s">
        <v>140</v>
      </c>
      <c r="D153" s="263">
        <v>0</v>
      </c>
      <c r="E153" s="266">
        <f t="shared" si="26"/>
        <v>0</v>
      </c>
      <c r="F153" s="266">
        <f t="shared" si="27"/>
        <v>0</v>
      </c>
      <c r="G153" s="32">
        <f t="shared" si="28"/>
        <v>0</v>
      </c>
      <c r="H153" s="32">
        <f t="shared" si="29"/>
        <v>0</v>
      </c>
      <c r="I153" s="32">
        <f t="shared" si="30"/>
        <v>0</v>
      </c>
    </row>
    <row r="154" spans="1:9" ht="12.75">
      <c r="A154" s="261" t="s">
        <v>6</v>
      </c>
      <c r="B154" s="261" t="s">
        <v>165</v>
      </c>
      <c r="C154" s="261" t="s">
        <v>140</v>
      </c>
      <c r="D154" s="9">
        <v>0</v>
      </c>
      <c r="E154" s="271">
        <f t="shared" si="26"/>
        <v>0</v>
      </c>
      <c r="F154" s="271">
        <f t="shared" si="27"/>
        <v>0</v>
      </c>
      <c r="G154" s="32">
        <f t="shared" si="28"/>
        <v>0</v>
      </c>
      <c r="H154" s="32">
        <f t="shared" si="29"/>
        <v>0</v>
      </c>
      <c r="I154" s="32">
        <f t="shared" si="30"/>
        <v>0</v>
      </c>
    </row>
    <row r="155" spans="1:9" ht="12.75">
      <c r="A155" s="261" t="s">
        <v>6</v>
      </c>
      <c r="B155" s="261" t="s">
        <v>165</v>
      </c>
      <c r="C155" s="261" t="s">
        <v>140</v>
      </c>
      <c r="D155" s="272">
        <v>0</v>
      </c>
      <c r="E155" s="273">
        <f t="shared" si="26"/>
        <v>0</v>
      </c>
      <c r="F155" s="273">
        <f t="shared" si="27"/>
        <v>0</v>
      </c>
      <c r="G155" s="39">
        <f t="shared" si="28"/>
        <v>0</v>
      </c>
      <c r="H155" s="39">
        <f t="shared" si="29"/>
        <v>0</v>
      </c>
      <c r="I155" s="39">
        <f t="shared" si="30"/>
        <v>0</v>
      </c>
    </row>
    <row r="156" spans="1:9" ht="13.5" thickBot="1">
      <c r="A156" s="261"/>
      <c r="B156" s="261"/>
      <c r="C156" s="261"/>
      <c r="D156" s="267">
        <f aca="true" t="shared" si="31" ref="D156:I156">SUM(D120:D155)</f>
        <v>36111</v>
      </c>
      <c r="E156" s="267">
        <f t="shared" si="31"/>
        <v>9314</v>
      </c>
      <c r="F156" s="267">
        <f t="shared" si="31"/>
        <v>26797</v>
      </c>
      <c r="G156" s="268">
        <f t="shared" si="31"/>
        <v>0</v>
      </c>
      <c r="H156" s="268">
        <f t="shared" si="31"/>
        <v>0</v>
      </c>
      <c r="I156" s="268">
        <f t="shared" si="31"/>
        <v>0</v>
      </c>
    </row>
    <row r="157" spans="1:9" ht="13.5" thickTop="1">
      <c r="A157" s="261"/>
      <c r="B157" s="261"/>
      <c r="C157" s="261"/>
      <c r="D157" s="9"/>
      <c r="E157" s="31"/>
      <c r="F157" s="31"/>
      <c r="G157" s="31"/>
      <c r="H157" s="31"/>
      <c r="I157" s="31"/>
    </row>
    <row r="158" spans="1:9" ht="12.75">
      <c r="A158" s="276" t="s">
        <v>188</v>
      </c>
      <c r="B158" s="269"/>
      <c r="C158" s="269"/>
      <c r="D158" s="277">
        <f aca="true" t="shared" si="32" ref="D158:I158">D156/$D156</f>
        <v>1</v>
      </c>
      <c r="E158" s="278">
        <f t="shared" si="32"/>
        <v>0.25792694746753064</v>
      </c>
      <c r="F158" s="278">
        <f t="shared" si="32"/>
        <v>0.7420730525324694</v>
      </c>
      <c r="G158" s="278">
        <f t="shared" si="32"/>
        <v>0</v>
      </c>
      <c r="H158" s="278">
        <f t="shared" si="32"/>
        <v>0</v>
      </c>
      <c r="I158" s="279">
        <f t="shared" si="32"/>
        <v>0</v>
      </c>
    </row>
    <row r="159" spans="1:9" ht="12.75">
      <c r="A159" s="1"/>
      <c r="B159" s="261"/>
      <c r="C159" s="1"/>
      <c r="D159" s="280"/>
      <c r="E159" s="270"/>
      <c r="F159" s="270"/>
      <c r="G159" s="270"/>
      <c r="H159" s="270"/>
      <c r="I159" s="270"/>
    </row>
    <row r="160" spans="1:9" ht="12.75" hidden="1">
      <c r="A160" s="261" t="s">
        <v>6</v>
      </c>
      <c r="B160" s="261" t="s">
        <v>189</v>
      </c>
      <c r="C160" s="261" t="s">
        <v>140</v>
      </c>
      <c r="D160" s="72">
        <v>0</v>
      </c>
      <c r="E160" s="31">
        <f>VLOOKUP($C160,$C$257:$I$267,3,FALSE)*$D160</f>
        <v>0</v>
      </c>
      <c r="F160" s="31">
        <f>VLOOKUP($C160,$C$257:$I$267,4,FALSE)*$D160</f>
        <v>0</v>
      </c>
      <c r="G160" s="31">
        <f>VLOOKUP($C160,$C$257:$I$267,5,FALSE)*$D160</f>
        <v>0</v>
      </c>
      <c r="H160" s="31">
        <f>VLOOKUP($C160,$C$257:$I$267,6,FALSE)*$D160</f>
        <v>0</v>
      </c>
      <c r="I160" s="31">
        <f>VLOOKUP($C160,$C$257:$I$267,7,FALSE)*$D160</f>
        <v>0</v>
      </c>
    </row>
    <row r="161" spans="1:9" ht="12.75" hidden="1">
      <c r="A161" s="261" t="s">
        <v>6</v>
      </c>
      <c r="B161" s="261" t="s">
        <v>189</v>
      </c>
      <c r="C161" s="261" t="s">
        <v>140</v>
      </c>
      <c r="D161" s="9">
        <v>0</v>
      </c>
      <c r="E161" s="31">
        <f>VLOOKUP($C161,$C$257:$I$267,3,FALSE)*$D161</f>
        <v>0</v>
      </c>
      <c r="F161" s="31">
        <f>VLOOKUP($C161,$C$257:$I$267,4,FALSE)*$D161</f>
        <v>0</v>
      </c>
      <c r="G161" s="31">
        <f>VLOOKUP($C161,$C$257:$I$267,5,FALSE)*$D161</f>
        <v>0</v>
      </c>
      <c r="H161" s="31">
        <f>VLOOKUP($C161,$C$257:$I$267,6,FALSE)*$D161</f>
        <v>0</v>
      </c>
      <c r="I161" s="31">
        <f>VLOOKUP($C161,$C$257:$I$267,7,FALSE)*$D161</f>
        <v>0</v>
      </c>
    </row>
    <row r="162" spans="1:9" ht="12.75" hidden="1">
      <c r="A162" s="261"/>
      <c r="B162" s="261"/>
      <c r="C162" s="261"/>
      <c r="D162" s="9"/>
      <c r="E162" s="31"/>
      <c r="F162" s="31"/>
      <c r="G162" s="31"/>
      <c r="H162" s="31"/>
      <c r="I162" s="31"/>
    </row>
    <row r="163" spans="1:9" ht="12.75" hidden="1">
      <c r="A163" s="261" t="s">
        <v>6</v>
      </c>
      <c r="B163" s="261" t="s">
        <v>167</v>
      </c>
      <c r="C163" s="261" t="s">
        <v>146</v>
      </c>
      <c r="D163" s="9">
        <v>0</v>
      </c>
      <c r="E163" s="31">
        <f aca="true" t="shared" si="33" ref="E163:E194">VLOOKUP($C163,$C$257:$I$267,3,FALSE)*$D163</f>
        <v>0</v>
      </c>
      <c r="F163" s="31">
        <f aca="true" t="shared" si="34" ref="F163:F194">VLOOKUP($C163,$C$257:$I$267,4,FALSE)*$D163</f>
        <v>0</v>
      </c>
      <c r="G163" s="31">
        <f aca="true" t="shared" si="35" ref="G163:G194">VLOOKUP($C163,$C$257:$I$267,5,FALSE)*$D163</f>
        <v>0</v>
      </c>
      <c r="H163" s="31">
        <f aca="true" t="shared" si="36" ref="H163:H194">VLOOKUP($C163,$C$257:$I$267,6,FALSE)*$D163</f>
        <v>0</v>
      </c>
      <c r="I163" s="31">
        <f aca="true" t="shared" si="37" ref="I163:I194">VLOOKUP($C163,$C$257:$I$267,7,FALSE)*$D163</f>
        <v>0</v>
      </c>
    </row>
    <row r="164" spans="1:9" ht="12.75" hidden="1">
      <c r="A164" s="261" t="s">
        <v>6</v>
      </c>
      <c r="B164" s="261" t="s">
        <v>167</v>
      </c>
      <c r="C164" s="261" t="s">
        <v>142</v>
      </c>
      <c r="D164" s="72">
        <v>0</v>
      </c>
      <c r="E164" s="31">
        <f t="shared" si="33"/>
        <v>0</v>
      </c>
      <c r="F164" s="31">
        <f t="shared" si="34"/>
        <v>0</v>
      </c>
      <c r="G164" s="31">
        <f t="shared" si="35"/>
        <v>0</v>
      </c>
      <c r="H164" s="31">
        <f t="shared" si="36"/>
        <v>0</v>
      </c>
      <c r="I164" s="31">
        <f t="shared" si="37"/>
        <v>0</v>
      </c>
    </row>
    <row r="165" spans="1:9" ht="12.75" hidden="1">
      <c r="A165" s="261" t="s">
        <v>6</v>
      </c>
      <c r="B165" s="261" t="s">
        <v>167</v>
      </c>
      <c r="C165" s="261" t="s">
        <v>178</v>
      </c>
      <c r="D165" s="9">
        <v>0</v>
      </c>
      <c r="E165" s="31">
        <f t="shared" si="33"/>
        <v>0</v>
      </c>
      <c r="F165" s="31">
        <f t="shared" si="34"/>
        <v>0</v>
      </c>
      <c r="G165" s="31">
        <f t="shared" si="35"/>
        <v>0</v>
      </c>
      <c r="H165" s="31">
        <f t="shared" si="36"/>
        <v>0</v>
      </c>
      <c r="I165" s="31">
        <f t="shared" si="37"/>
        <v>0</v>
      </c>
    </row>
    <row r="166" spans="1:9" ht="12.75" hidden="1">
      <c r="A166" s="261" t="s">
        <v>6</v>
      </c>
      <c r="B166" s="261" t="s">
        <v>167</v>
      </c>
      <c r="C166" s="261" t="s">
        <v>178</v>
      </c>
      <c r="D166" s="9">
        <v>0</v>
      </c>
      <c r="E166" s="31">
        <f t="shared" si="33"/>
        <v>0</v>
      </c>
      <c r="F166" s="31">
        <f t="shared" si="34"/>
        <v>0</v>
      </c>
      <c r="G166" s="31">
        <f t="shared" si="35"/>
        <v>0</v>
      </c>
      <c r="H166" s="31">
        <f t="shared" si="36"/>
        <v>0</v>
      </c>
      <c r="I166" s="31">
        <f t="shared" si="37"/>
        <v>0</v>
      </c>
    </row>
    <row r="167" spans="1:9" ht="12.75">
      <c r="A167" s="261" t="s">
        <v>6</v>
      </c>
      <c r="B167" s="261" t="s">
        <v>167</v>
      </c>
      <c r="C167" s="261" t="s">
        <v>146</v>
      </c>
      <c r="D167" s="11">
        <v>196</v>
      </c>
      <c r="E167" s="16">
        <f t="shared" si="33"/>
        <v>0</v>
      </c>
      <c r="F167" s="16">
        <f t="shared" si="34"/>
        <v>0</v>
      </c>
      <c r="G167" s="16">
        <f t="shared" si="35"/>
        <v>0</v>
      </c>
      <c r="H167" s="16">
        <f t="shared" si="36"/>
        <v>0</v>
      </c>
      <c r="I167" s="16">
        <f t="shared" si="37"/>
        <v>196</v>
      </c>
    </row>
    <row r="168" spans="1:9" ht="12.75" hidden="1">
      <c r="A168" s="261" t="s">
        <v>6</v>
      </c>
      <c r="B168" s="261" t="s">
        <v>167</v>
      </c>
      <c r="C168" s="261" t="s">
        <v>146</v>
      </c>
      <c r="D168" s="11">
        <v>0</v>
      </c>
      <c r="E168" s="16">
        <f t="shared" si="33"/>
        <v>0</v>
      </c>
      <c r="F168" s="16">
        <f t="shared" si="34"/>
        <v>0</v>
      </c>
      <c r="G168" s="16">
        <f t="shared" si="35"/>
        <v>0</v>
      </c>
      <c r="H168" s="16">
        <f t="shared" si="36"/>
        <v>0</v>
      </c>
      <c r="I168" s="16">
        <f t="shared" si="37"/>
        <v>0</v>
      </c>
    </row>
    <row r="169" spans="1:9" ht="13.5" customHeight="1" hidden="1">
      <c r="A169" s="261" t="s">
        <v>6</v>
      </c>
      <c r="B169" s="261" t="s">
        <v>167</v>
      </c>
      <c r="C169" s="261" t="s">
        <v>146</v>
      </c>
      <c r="D169" s="11">
        <v>0</v>
      </c>
      <c r="E169" s="16">
        <f t="shared" si="33"/>
        <v>0</v>
      </c>
      <c r="F169" s="16">
        <f t="shared" si="34"/>
        <v>0</v>
      </c>
      <c r="G169" s="16">
        <f t="shared" si="35"/>
        <v>0</v>
      </c>
      <c r="H169" s="16">
        <f t="shared" si="36"/>
        <v>0</v>
      </c>
      <c r="I169" s="16">
        <f t="shared" si="37"/>
        <v>0</v>
      </c>
    </row>
    <row r="170" spans="1:9" ht="12.75" hidden="1">
      <c r="A170" s="261" t="s">
        <v>6</v>
      </c>
      <c r="B170" s="261" t="s">
        <v>167</v>
      </c>
      <c r="C170" s="261" t="s">
        <v>146</v>
      </c>
      <c r="D170" s="11">
        <v>0</v>
      </c>
      <c r="E170" s="16">
        <f t="shared" si="33"/>
        <v>0</v>
      </c>
      <c r="F170" s="16">
        <f t="shared" si="34"/>
        <v>0</v>
      </c>
      <c r="G170" s="16">
        <f t="shared" si="35"/>
        <v>0</v>
      </c>
      <c r="H170" s="16">
        <f t="shared" si="36"/>
        <v>0</v>
      </c>
      <c r="I170" s="16">
        <f t="shared" si="37"/>
        <v>0</v>
      </c>
    </row>
    <row r="171" spans="1:9" ht="12.75" hidden="1">
      <c r="A171" s="261" t="s">
        <v>6</v>
      </c>
      <c r="B171" s="261" t="s">
        <v>167</v>
      </c>
      <c r="C171" s="261" t="s">
        <v>140</v>
      </c>
      <c r="D171" s="11">
        <v>0</v>
      </c>
      <c r="E171" s="16">
        <f t="shared" si="33"/>
        <v>0</v>
      </c>
      <c r="F171" s="16">
        <f t="shared" si="34"/>
        <v>0</v>
      </c>
      <c r="G171" s="16">
        <f t="shared" si="35"/>
        <v>0</v>
      </c>
      <c r="H171" s="16">
        <f t="shared" si="36"/>
        <v>0</v>
      </c>
      <c r="I171" s="16">
        <f t="shared" si="37"/>
        <v>0</v>
      </c>
    </row>
    <row r="172" spans="1:9" ht="12.75" hidden="1">
      <c r="A172" s="261" t="s">
        <v>6</v>
      </c>
      <c r="B172" s="261" t="s">
        <v>167</v>
      </c>
      <c r="C172" s="261" t="s">
        <v>140</v>
      </c>
      <c r="D172" s="11">
        <v>0</v>
      </c>
      <c r="E172" s="16">
        <f t="shared" si="33"/>
        <v>0</v>
      </c>
      <c r="F172" s="16">
        <f t="shared" si="34"/>
        <v>0</v>
      </c>
      <c r="G172" s="16">
        <f t="shared" si="35"/>
        <v>0</v>
      </c>
      <c r="H172" s="16">
        <f t="shared" si="36"/>
        <v>0</v>
      </c>
      <c r="I172" s="16">
        <f t="shared" si="37"/>
        <v>0</v>
      </c>
    </row>
    <row r="173" spans="1:9" ht="12.75" hidden="1">
      <c r="A173" s="261" t="s">
        <v>6</v>
      </c>
      <c r="B173" s="261" t="s">
        <v>167</v>
      </c>
      <c r="C173" s="261" t="s">
        <v>140</v>
      </c>
      <c r="D173" s="11">
        <v>0</v>
      </c>
      <c r="E173" s="16">
        <f t="shared" si="33"/>
        <v>0</v>
      </c>
      <c r="F173" s="16">
        <f t="shared" si="34"/>
        <v>0</v>
      </c>
      <c r="G173" s="16">
        <f t="shared" si="35"/>
        <v>0</v>
      </c>
      <c r="H173" s="16">
        <f t="shared" si="36"/>
        <v>0</v>
      </c>
      <c r="I173" s="16">
        <f t="shared" si="37"/>
        <v>0</v>
      </c>
    </row>
    <row r="174" spans="1:9" ht="12.75" hidden="1">
      <c r="A174" s="261" t="s">
        <v>6</v>
      </c>
      <c r="B174" s="261" t="s">
        <v>167</v>
      </c>
      <c r="C174" s="261" t="s">
        <v>140</v>
      </c>
      <c r="D174" s="11">
        <v>0</v>
      </c>
      <c r="E174" s="16">
        <f t="shared" si="33"/>
        <v>0</v>
      </c>
      <c r="F174" s="16">
        <f t="shared" si="34"/>
        <v>0</v>
      </c>
      <c r="G174" s="16">
        <f t="shared" si="35"/>
        <v>0</v>
      </c>
      <c r="H174" s="16">
        <f t="shared" si="36"/>
        <v>0</v>
      </c>
      <c r="I174" s="16">
        <f t="shared" si="37"/>
        <v>0</v>
      </c>
    </row>
    <row r="175" spans="1:9" ht="12.75" hidden="1">
      <c r="A175" s="261" t="s">
        <v>6</v>
      </c>
      <c r="B175" s="261" t="s">
        <v>167</v>
      </c>
      <c r="C175" s="261" t="s">
        <v>140</v>
      </c>
      <c r="D175" s="11">
        <v>0</v>
      </c>
      <c r="E175" s="16">
        <f t="shared" si="33"/>
        <v>0</v>
      </c>
      <c r="F175" s="16">
        <f t="shared" si="34"/>
        <v>0</v>
      </c>
      <c r="G175" s="16">
        <f t="shared" si="35"/>
        <v>0</v>
      </c>
      <c r="H175" s="16">
        <f t="shared" si="36"/>
        <v>0</v>
      </c>
      <c r="I175" s="16">
        <f t="shared" si="37"/>
        <v>0</v>
      </c>
    </row>
    <row r="176" spans="1:9" ht="12.75" hidden="1">
      <c r="A176" s="261" t="s">
        <v>6</v>
      </c>
      <c r="B176" s="261" t="s">
        <v>167</v>
      </c>
      <c r="C176" s="261" t="s">
        <v>140</v>
      </c>
      <c r="D176" s="11">
        <v>0</v>
      </c>
      <c r="E176" s="16">
        <f t="shared" si="33"/>
        <v>0</v>
      </c>
      <c r="F176" s="16">
        <f t="shared" si="34"/>
        <v>0</v>
      </c>
      <c r="G176" s="16">
        <f t="shared" si="35"/>
        <v>0</v>
      </c>
      <c r="H176" s="16">
        <f t="shared" si="36"/>
        <v>0</v>
      </c>
      <c r="I176" s="16">
        <f t="shared" si="37"/>
        <v>0</v>
      </c>
    </row>
    <row r="177" spans="1:9" ht="12.75" hidden="1">
      <c r="A177" s="261" t="s">
        <v>6</v>
      </c>
      <c r="B177" s="261" t="s">
        <v>167</v>
      </c>
      <c r="C177" s="261" t="s">
        <v>140</v>
      </c>
      <c r="D177" s="11">
        <v>0</v>
      </c>
      <c r="E177" s="16">
        <f t="shared" si="33"/>
        <v>0</v>
      </c>
      <c r="F177" s="16">
        <f t="shared" si="34"/>
        <v>0</v>
      </c>
      <c r="G177" s="16">
        <f t="shared" si="35"/>
        <v>0</v>
      </c>
      <c r="H177" s="16">
        <f t="shared" si="36"/>
        <v>0</v>
      </c>
      <c r="I177" s="16">
        <f t="shared" si="37"/>
        <v>0</v>
      </c>
    </row>
    <row r="178" spans="1:9" ht="12.75" hidden="1">
      <c r="A178" s="261" t="s">
        <v>6</v>
      </c>
      <c r="B178" s="261" t="s">
        <v>167</v>
      </c>
      <c r="C178" s="261" t="s">
        <v>140</v>
      </c>
      <c r="D178" s="11">
        <v>0</v>
      </c>
      <c r="E178" s="16">
        <f t="shared" si="33"/>
        <v>0</v>
      </c>
      <c r="F178" s="16">
        <f t="shared" si="34"/>
        <v>0</v>
      </c>
      <c r="G178" s="16">
        <f t="shared" si="35"/>
        <v>0</v>
      </c>
      <c r="H178" s="16">
        <f t="shared" si="36"/>
        <v>0</v>
      </c>
      <c r="I178" s="16">
        <f t="shared" si="37"/>
        <v>0</v>
      </c>
    </row>
    <row r="179" spans="1:9" ht="12.75" hidden="1">
      <c r="A179" s="261" t="s">
        <v>6</v>
      </c>
      <c r="B179" s="261" t="s">
        <v>167</v>
      </c>
      <c r="C179" s="261" t="s">
        <v>140</v>
      </c>
      <c r="D179" s="11">
        <v>0</v>
      </c>
      <c r="E179" s="16">
        <f t="shared" si="33"/>
        <v>0</v>
      </c>
      <c r="F179" s="16">
        <f t="shared" si="34"/>
        <v>0</v>
      </c>
      <c r="G179" s="16">
        <f t="shared" si="35"/>
        <v>0</v>
      </c>
      <c r="H179" s="16">
        <f t="shared" si="36"/>
        <v>0</v>
      </c>
      <c r="I179" s="16">
        <f t="shared" si="37"/>
        <v>0</v>
      </c>
    </row>
    <row r="180" spans="1:9" ht="12.75" hidden="1">
      <c r="A180" s="261" t="s">
        <v>6</v>
      </c>
      <c r="B180" s="261" t="s">
        <v>167</v>
      </c>
      <c r="C180" s="261" t="s">
        <v>140</v>
      </c>
      <c r="D180" s="11">
        <v>0</v>
      </c>
      <c r="E180" s="16">
        <f t="shared" si="33"/>
        <v>0</v>
      </c>
      <c r="F180" s="16">
        <f t="shared" si="34"/>
        <v>0</v>
      </c>
      <c r="G180" s="16">
        <f t="shared" si="35"/>
        <v>0</v>
      </c>
      <c r="H180" s="16">
        <f t="shared" si="36"/>
        <v>0</v>
      </c>
      <c r="I180" s="16">
        <f t="shared" si="37"/>
        <v>0</v>
      </c>
    </row>
    <row r="181" spans="1:9" ht="12.75" hidden="1">
      <c r="A181" s="261" t="s">
        <v>6</v>
      </c>
      <c r="B181" s="261" t="s">
        <v>167</v>
      </c>
      <c r="C181" s="261" t="s">
        <v>140</v>
      </c>
      <c r="D181" s="11">
        <v>0</v>
      </c>
      <c r="E181" s="16">
        <f t="shared" si="33"/>
        <v>0</v>
      </c>
      <c r="F181" s="16">
        <f t="shared" si="34"/>
        <v>0</v>
      </c>
      <c r="G181" s="16">
        <f t="shared" si="35"/>
        <v>0</v>
      </c>
      <c r="H181" s="16">
        <f t="shared" si="36"/>
        <v>0</v>
      </c>
      <c r="I181" s="16">
        <f t="shared" si="37"/>
        <v>0</v>
      </c>
    </row>
    <row r="182" spans="1:9" ht="12.75" hidden="1">
      <c r="A182" s="261" t="s">
        <v>6</v>
      </c>
      <c r="B182" s="261" t="s">
        <v>167</v>
      </c>
      <c r="C182" s="261" t="s">
        <v>140</v>
      </c>
      <c r="D182" s="11">
        <v>0</v>
      </c>
      <c r="E182" s="16">
        <f t="shared" si="33"/>
        <v>0</v>
      </c>
      <c r="F182" s="16">
        <f t="shared" si="34"/>
        <v>0</v>
      </c>
      <c r="G182" s="16">
        <f t="shared" si="35"/>
        <v>0</v>
      </c>
      <c r="H182" s="16">
        <f t="shared" si="36"/>
        <v>0</v>
      </c>
      <c r="I182" s="16">
        <f t="shared" si="37"/>
        <v>0</v>
      </c>
    </row>
    <row r="183" spans="1:9" ht="12.75" hidden="1">
      <c r="A183" s="261" t="s">
        <v>6</v>
      </c>
      <c r="B183" s="261" t="s">
        <v>167</v>
      </c>
      <c r="C183" s="261" t="s">
        <v>140</v>
      </c>
      <c r="D183" s="11">
        <v>0</v>
      </c>
      <c r="E183" s="16">
        <f t="shared" si="33"/>
        <v>0</v>
      </c>
      <c r="F183" s="16">
        <f t="shared" si="34"/>
        <v>0</v>
      </c>
      <c r="G183" s="16">
        <f t="shared" si="35"/>
        <v>0</v>
      </c>
      <c r="H183" s="16">
        <f t="shared" si="36"/>
        <v>0</v>
      </c>
      <c r="I183" s="16">
        <f t="shared" si="37"/>
        <v>0</v>
      </c>
    </row>
    <row r="184" spans="1:9" ht="12.75" hidden="1">
      <c r="A184" s="261" t="s">
        <v>6</v>
      </c>
      <c r="B184" s="261" t="s">
        <v>167</v>
      </c>
      <c r="C184" s="261" t="s">
        <v>140</v>
      </c>
      <c r="D184" s="11">
        <v>0</v>
      </c>
      <c r="E184" s="16">
        <f t="shared" si="33"/>
        <v>0</v>
      </c>
      <c r="F184" s="16">
        <f t="shared" si="34"/>
        <v>0</v>
      </c>
      <c r="G184" s="16">
        <f t="shared" si="35"/>
        <v>0</v>
      </c>
      <c r="H184" s="16">
        <f t="shared" si="36"/>
        <v>0</v>
      </c>
      <c r="I184" s="16">
        <f t="shared" si="37"/>
        <v>0</v>
      </c>
    </row>
    <row r="185" spans="1:9" ht="12.75" hidden="1">
      <c r="A185" s="261" t="s">
        <v>6</v>
      </c>
      <c r="B185" s="261" t="s">
        <v>167</v>
      </c>
      <c r="C185" s="261" t="s">
        <v>140</v>
      </c>
      <c r="D185" s="11">
        <v>0</v>
      </c>
      <c r="E185" s="16">
        <f t="shared" si="33"/>
        <v>0</v>
      </c>
      <c r="F185" s="16">
        <f t="shared" si="34"/>
        <v>0</v>
      </c>
      <c r="G185" s="16">
        <f t="shared" si="35"/>
        <v>0</v>
      </c>
      <c r="H185" s="16">
        <f t="shared" si="36"/>
        <v>0</v>
      </c>
      <c r="I185" s="16">
        <f t="shared" si="37"/>
        <v>0</v>
      </c>
    </row>
    <row r="186" spans="1:9" ht="12.75" hidden="1">
      <c r="A186" s="261" t="s">
        <v>6</v>
      </c>
      <c r="B186" s="261" t="s">
        <v>167</v>
      </c>
      <c r="C186" s="261" t="s">
        <v>140</v>
      </c>
      <c r="D186" s="11">
        <v>0</v>
      </c>
      <c r="E186" s="16">
        <f t="shared" si="33"/>
        <v>0</v>
      </c>
      <c r="F186" s="16">
        <f t="shared" si="34"/>
        <v>0</v>
      </c>
      <c r="G186" s="16">
        <f t="shared" si="35"/>
        <v>0</v>
      </c>
      <c r="H186" s="16">
        <f t="shared" si="36"/>
        <v>0</v>
      </c>
      <c r="I186" s="16">
        <f t="shared" si="37"/>
        <v>0</v>
      </c>
    </row>
    <row r="187" spans="1:9" ht="12.75" hidden="1">
      <c r="A187" s="261" t="s">
        <v>6</v>
      </c>
      <c r="B187" s="261" t="s">
        <v>167</v>
      </c>
      <c r="C187" s="261" t="s">
        <v>140</v>
      </c>
      <c r="D187" s="11">
        <v>0</v>
      </c>
      <c r="E187" s="16">
        <f t="shared" si="33"/>
        <v>0</v>
      </c>
      <c r="F187" s="16">
        <f t="shared" si="34"/>
        <v>0</v>
      </c>
      <c r="G187" s="16">
        <f t="shared" si="35"/>
        <v>0</v>
      </c>
      <c r="H187" s="16">
        <f t="shared" si="36"/>
        <v>0</v>
      </c>
      <c r="I187" s="16">
        <f t="shared" si="37"/>
        <v>0</v>
      </c>
    </row>
    <row r="188" spans="1:9" ht="12.75" hidden="1">
      <c r="A188" s="261" t="s">
        <v>6</v>
      </c>
      <c r="B188" s="261" t="s">
        <v>167</v>
      </c>
      <c r="C188" s="261" t="s">
        <v>140</v>
      </c>
      <c r="D188" s="11">
        <v>0</v>
      </c>
      <c r="E188" s="16">
        <f t="shared" si="33"/>
        <v>0</v>
      </c>
      <c r="F188" s="16">
        <f t="shared" si="34"/>
        <v>0</v>
      </c>
      <c r="G188" s="16">
        <f t="shared" si="35"/>
        <v>0</v>
      </c>
      <c r="H188" s="16">
        <f t="shared" si="36"/>
        <v>0</v>
      </c>
      <c r="I188" s="16">
        <f t="shared" si="37"/>
        <v>0</v>
      </c>
    </row>
    <row r="189" spans="1:9" ht="12.75" hidden="1">
      <c r="A189" s="261" t="s">
        <v>6</v>
      </c>
      <c r="B189" s="261" t="s">
        <v>167</v>
      </c>
      <c r="C189" s="261" t="s">
        <v>140</v>
      </c>
      <c r="D189" s="11">
        <v>0</v>
      </c>
      <c r="E189" s="16">
        <f t="shared" si="33"/>
        <v>0</v>
      </c>
      <c r="F189" s="16">
        <f t="shared" si="34"/>
        <v>0</v>
      </c>
      <c r="G189" s="16">
        <f t="shared" si="35"/>
        <v>0</v>
      </c>
      <c r="H189" s="16">
        <f t="shared" si="36"/>
        <v>0</v>
      </c>
      <c r="I189" s="16">
        <f t="shared" si="37"/>
        <v>0</v>
      </c>
    </row>
    <row r="190" spans="1:9" ht="12.75" hidden="1">
      <c r="A190" s="261" t="s">
        <v>6</v>
      </c>
      <c r="B190" s="261" t="s">
        <v>167</v>
      </c>
      <c r="C190" s="261" t="s">
        <v>140</v>
      </c>
      <c r="D190" s="11">
        <v>0</v>
      </c>
      <c r="E190" s="16">
        <f t="shared" si="33"/>
        <v>0</v>
      </c>
      <c r="F190" s="16">
        <f t="shared" si="34"/>
        <v>0</v>
      </c>
      <c r="G190" s="16">
        <f t="shared" si="35"/>
        <v>0</v>
      </c>
      <c r="H190" s="16">
        <f t="shared" si="36"/>
        <v>0</v>
      </c>
      <c r="I190" s="16">
        <f t="shared" si="37"/>
        <v>0</v>
      </c>
    </row>
    <row r="191" spans="1:9" ht="12.75" hidden="1">
      <c r="A191" s="261" t="s">
        <v>6</v>
      </c>
      <c r="B191" s="261" t="s">
        <v>167</v>
      </c>
      <c r="C191" s="261" t="s">
        <v>178</v>
      </c>
      <c r="D191" s="11">
        <v>0</v>
      </c>
      <c r="E191" s="16">
        <f t="shared" si="33"/>
        <v>0</v>
      </c>
      <c r="F191" s="16">
        <f t="shared" si="34"/>
        <v>0</v>
      </c>
      <c r="G191" s="16">
        <f t="shared" si="35"/>
        <v>0</v>
      </c>
      <c r="H191" s="16">
        <f t="shared" si="36"/>
        <v>0</v>
      </c>
      <c r="I191" s="16">
        <f t="shared" si="37"/>
        <v>0</v>
      </c>
    </row>
    <row r="192" spans="1:9" ht="12.75" hidden="1">
      <c r="A192" s="261" t="s">
        <v>6</v>
      </c>
      <c r="B192" s="261" t="s">
        <v>167</v>
      </c>
      <c r="C192" s="261" t="s">
        <v>140</v>
      </c>
      <c r="D192" s="11">
        <v>0</v>
      </c>
      <c r="E192" s="16">
        <f t="shared" si="33"/>
        <v>0</v>
      </c>
      <c r="F192" s="16">
        <f t="shared" si="34"/>
        <v>0</v>
      </c>
      <c r="G192" s="16">
        <f t="shared" si="35"/>
        <v>0</v>
      </c>
      <c r="H192" s="16">
        <f t="shared" si="36"/>
        <v>0</v>
      </c>
      <c r="I192" s="16">
        <f t="shared" si="37"/>
        <v>0</v>
      </c>
    </row>
    <row r="193" spans="1:9" ht="12.75" hidden="1">
      <c r="A193" s="261" t="s">
        <v>6</v>
      </c>
      <c r="B193" s="261" t="s">
        <v>167</v>
      </c>
      <c r="C193" s="261" t="s">
        <v>140</v>
      </c>
      <c r="D193" s="11">
        <v>0</v>
      </c>
      <c r="E193" s="16">
        <f t="shared" si="33"/>
        <v>0</v>
      </c>
      <c r="F193" s="16">
        <f t="shared" si="34"/>
        <v>0</v>
      </c>
      <c r="G193" s="16">
        <f t="shared" si="35"/>
        <v>0</v>
      </c>
      <c r="H193" s="16">
        <f t="shared" si="36"/>
        <v>0</v>
      </c>
      <c r="I193" s="16">
        <f t="shared" si="37"/>
        <v>0</v>
      </c>
    </row>
    <row r="194" spans="1:9" ht="12.75" hidden="1">
      <c r="A194" s="261" t="s">
        <v>6</v>
      </c>
      <c r="B194" s="261" t="s">
        <v>167</v>
      </c>
      <c r="C194" s="261" t="s">
        <v>140</v>
      </c>
      <c r="D194" s="11">
        <v>0</v>
      </c>
      <c r="E194" s="16">
        <f t="shared" si="33"/>
        <v>0</v>
      </c>
      <c r="F194" s="16">
        <f t="shared" si="34"/>
        <v>0</v>
      </c>
      <c r="G194" s="16">
        <f t="shared" si="35"/>
        <v>0</v>
      </c>
      <c r="H194" s="16">
        <f t="shared" si="36"/>
        <v>0</v>
      </c>
      <c r="I194" s="16">
        <f t="shared" si="37"/>
        <v>0</v>
      </c>
    </row>
    <row r="195" spans="1:9" ht="12.75" hidden="1">
      <c r="A195" s="261" t="s">
        <v>6</v>
      </c>
      <c r="B195" s="261" t="s">
        <v>167</v>
      </c>
      <c r="C195" s="261" t="s">
        <v>178</v>
      </c>
      <c r="D195" s="11">
        <v>0</v>
      </c>
      <c r="E195" s="16">
        <f aca="true" t="shared" si="38" ref="E195:E226">VLOOKUP($C195,$C$257:$I$267,3,FALSE)*$D195</f>
        <v>0</v>
      </c>
      <c r="F195" s="16">
        <f aca="true" t="shared" si="39" ref="F195:F226">VLOOKUP($C195,$C$257:$I$267,4,FALSE)*$D195</f>
        <v>0</v>
      </c>
      <c r="G195" s="16">
        <f aca="true" t="shared" si="40" ref="G195:G226">VLOOKUP($C195,$C$257:$I$267,5,FALSE)*$D195</f>
        <v>0</v>
      </c>
      <c r="H195" s="16">
        <f aca="true" t="shared" si="41" ref="H195:H226">VLOOKUP($C195,$C$257:$I$267,6,FALSE)*$D195</f>
        <v>0</v>
      </c>
      <c r="I195" s="16">
        <f aca="true" t="shared" si="42" ref="I195:I226">VLOOKUP($C195,$C$257:$I$267,7,FALSE)*$D195</f>
        <v>0</v>
      </c>
    </row>
    <row r="196" spans="1:9" ht="12.75" hidden="1">
      <c r="A196" s="261" t="s">
        <v>6</v>
      </c>
      <c r="B196" s="261" t="s">
        <v>167</v>
      </c>
      <c r="C196" s="261" t="s">
        <v>178</v>
      </c>
      <c r="D196" s="11">
        <v>0</v>
      </c>
      <c r="E196" s="16">
        <f t="shared" si="38"/>
        <v>0</v>
      </c>
      <c r="F196" s="16">
        <f t="shared" si="39"/>
        <v>0</v>
      </c>
      <c r="G196" s="16">
        <f t="shared" si="40"/>
        <v>0</v>
      </c>
      <c r="H196" s="16">
        <f t="shared" si="41"/>
        <v>0</v>
      </c>
      <c r="I196" s="16">
        <f t="shared" si="42"/>
        <v>0</v>
      </c>
    </row>
    <row r="197" spans="1:9" ht="12.75" hidden="1">
      <c r="A197" s="261" t="s">
        <v>6</v>
      </c>
      <c r="B197" s="261" t="s">
        <v>167</v>
      </c>
      <c r="C197" s="261" t="s">
        <v>178</v>
      </c>
      <c r="D197" s="11">
        <v>0</v>
      </c>
      <c r="E197" s="16">
        <f t="shared" si="38"/>
        <v>0</v>
      </c>
      <c r="F197" s="16">
        <f t="shared" si="39"/>
        <v>0</v>
      </c>
      <c r="G197" s="16">
        <f t="shared" si="40"/>
        <v>0</v>
      </c>
      <c r="H197" s="16">
        <f t="shared" si="41"/>
        <v>0</v>
      </c>
      <c r="I197" s="16">
        <f t="shared" si="42"/>
        <v>0</v>
      </c>
    </row>
    <row r="198" spans="1:9" ht="12.75" hidden="1">
      <c r="A198" s="261" t="s">
        <v>6</v>
      </c>
      <c r="B198" s="261" t="s">
        <v>167</v>
      </c>
      <c r="C198" s="261" t="s">
        <v>140</v>
      </c>
      <c r="D198" s="11">
        <v>0</v>
      </c>
      <c r="E198" s="16">
        <f t="shared" si="38"/>
        <v>0</v>
      </c>
      <c r="F198" s="16">
        <f t="shared" si="39"/>
        <v>0</v>
      </c>
      <c r="G198" s="16">
        <f t="shared" si="40"/>
        <v>0</v>
      </c>
      <c r="H198" s="16">
        <f t="shared" si="41"/>
        <v>0</v>
      </c>
      <c r="I198" s="16">
        <f t="shared" si="42"/>
        <v>0</v>
      </c>
    </row>
    <row r="199" spans="1:9" ht="12.75" hidden="1">
      <c r="A199" s="261" t="s">
        <v>6</v>
      </c>
      <c r="B199" s="261" t="s">
        <v>167</v>
      </c>
      <c r="C199" s="261" t="s">
        <v>140</v>
      </c>
      <c r="D199" s="11">
        <v>0</v>
      </c>
      <c r="E199" s="16">
        <f t="shared" si="38"/>
        <v>0</v>
      </c>
      <c r="F199" s="16">
        <f t="shared" si="39"/>
        <v>0</v>
      </c>
      <c r="G199" s="16">
        <f t="shared" si="40"/>
        <v>0</v>
      </c>
      <c r="H199" s="16">
        <f t="shared" si="41"/>
        <v>0</v>
      </c>
      <c r="I199" s="16">
        <f t="shared" si="42"/>
        <v>0</v>
      </c>
    </row>
    <row r="200" spans="1:9" ht="12.75" hidden="1">
      <c r="A200" s="261" t="s">
        <v>6</v>
      </c>
      <c r="B200" s="261" t="s">
        <v>167</v>
      </c>
      <c r="C200" s="261" t="s">
        <v>178</v>
      </c>
      <c r="D200" s="11">
        <v>0</v>
      </c>
      <c r="E200" s="16">
        <f t="shared" si="38"/>
        <v>0</v>
      </c>
      <c r="F200" s="16">
        <f t="shared" si="39"/>
        <v>0</v>
      </c>
      <c r="G200" s="16">
        <f t="shared" si="40"/>
        <v>0</v>
      </c>
      <c r="H200" s="16">
        <f t="shared" si="41"/>
        <v>0</v>
      </c>
      <c r="I200" s="16">
        <f t="shared" si="42"/>
        <v>0</v>
      </c>
    </row>
    <row r="201" spans="1:9" ht="12.75" hidden="1">
      <c r="A201" s="261" t="s">
        <v>6</v>
      </c>
      <c r="B201" s="261" t="s">
        <v>167</v>
      </c>
      <c r="C201" s="261" t="s">
        <v>141</v>
      </c>
      <c r="D201" s="11">
        <v>0</v>
      </c>
      <c r="E201" s="16">
        <f t="shared" si="38"/>
        <v>0</v>
      </c>
      <c r="F201" s="16">
        <f t="shared" si="39"/>
        <v>0</v>
      </c>
      <c r="G201" s="16">
        <f t="shared" si="40"/>
        <v>0</v>
      </c>
      <c r="H201" s="16">
        <f t="shared" si="41"/>
        <v>0</v>
      </c>
      <c r="I201" s="16">
        <f t="shared" si="42"/>
        <v>0</v>
      </c>
    </row>
    <row r="202" spans="1:9" ht="12.75" hidden="1">
      <c r="A202" s="261" t="s">
        <v>6</v>
      </c>
      <c r="B202" s="261" t="s">
        <v>167</v>
      </c>
      <c r="C202" s="261" t="s">
        <v>178</v>
      </c>
      <c r="D202" s="11">
        <v>0</v>
      </c>
      <c r="E202" s="16">
        <f t="shared" si="38"/>
        <v>0</v>
      </c>
      <c r="F202" s="16">
        <f t="shared" si="39"/>
        <v>0</v>
      </c>
      <c r="G202" s="16">
        <f t="shared" si="40"/>
        <v>0</v>
      </c>
      <c r="H202" s="16">
        <f t="shared" si="41"/>
        <v>0</v>
      </c>
      <c r="I202" s="16">
        <f t="shared" si="42"/>
        <v>0</v>
      </c>
    </row>
    <row r="203" spans="1:9" ht="12.75" hidden="1">
      <c r="A203" s="261" t="s">
        <v>6</v>
      </c>
      <c r="B203" s="261" t="s">
        <v>167</v>
      </c>
      <c r="C203" s="261" t="s">
        <v>178</v>
      </c>
      <c r="D203" s="11">
        <v>0</v>
      </c>
      <c r="E203" s="16">
        <f t="shared" si="38"/>
        <v>0</v>
      </c>
      <c r="F203" s="16">
        <f t="shared" si="39"/>
        <v>0</v>
      </c>
      <c r="G203" s="16">
        <f t="shared" si="40"/>
        <v>0</v>
      </c>
      <c r="H203" s="16">
        <f t="shared" si="41"/>
        <v>0</v>
      </c>
      <c r="I203" s="16">
        <f t="shared" si="42"/>
        <v>0</v>
      </c>
    </row>
    <row r="204" spans="1:9" ht="12.75" hidden="1">
      <c r="A204" s="261" t="s">
        <v>6</v>
      </c>
      <c r="B204" s="261" t="s">
        <v>167</v>
      </c>
      <c r="C204" s="261" t="s">
        <v>178</v>
      </c>
      <c r="D204" s="11">
        <v>0</v>
      </c>
      <c r="E204" s="16">
        <f t="shared" si="38"/>
        <v>0</v>
      </c>
      <c r="F204" s="16">
        <f t="shared" si="39"/>
        <v>0</v>
      </c>
      <c r="G204" s="16">
        <f t="shared" si="40"/>
        <v>0</v>
      </c>
      <c r="H204" s="16">
        <f t="shared" si="41"/>
        <v>0</v>
      </c>
      <c r="I204" s="16">
        <f t="shared" si="42"/>
        <v>0</v>
      </c>
    </row>
    <row r="205" spans="1:9" ht="12.75" hidden="1">
      <c r="A205" s="261" t="s">
        <v>6</v>
      </c>
      <c r="B205" s="261" t="s">
        <v>167</v>
      </c>
      <c r="C205" s="261" t="s">
        <v>178</v>
      </c>
      <c r="D205" s="11">
        <v>0</v>
      </c>
      <c r="E205" s="16">
        <f t="shared" si="38"/>
        <v>0</v>
      </c>
      <c r="F205" s="16">
        <f t="shared" si="39"/>
        <v>0</v>
      </c>
      <c r="G205" s="16">
        <f t="shared" si="40"/>
        <v>0</v>
      </c>
      <c r="H205" s="16">
        <f t="shared" si="41"/>
        <v>0</v>
      </c>
      <c r="I205" s="16">
        <f t="shared" si="42"/>
        <v>0</v>
      </c>
    </row>
    <row r="206" spans="1:9" ht="12.75" hidden="1">
      <c r="A206" s="261" t="s">
        <v>6</v>
      </c>
      <c r="B206" s="261" t="s">
        <v>167</v>
      </c>
      <c r="C206" s="261" t="s">
        <v>178</v>
      </c>
      <c r="D206" s="11">
        <v>0</v>
      </c>
      <c r="E206" s="16">
        <f t="shared" si="38"/>
        <v>0</v>
      </c>
      <c r="F206" s="16">
        <f t="shared" si="39"/>
        <v>0</v>
      </c>
      <c r="G206" s="16">
        <f t="shared" si="40"/>
        <v>0</v>
      </c>
      <c r="H206" s="16">
        <f t="shared" si="41"/>
        <v>0</v>
      </c>
      <c r="I206" s="16">
        <f t="shared" si="42"/>
        <v>0</v>
      </c>
    </row>
    <row r="207" spans="1:9" ht="12.75" hidden="1">
      <c r="A207" s="261" t="s">
        <v>6</v>
      </c>
      <c r="B207" s="261" t="s">
        <v>167</v>
      </c>
      <c r="C207" s="261" t="s">
        <v>141</v>
      </c>
      <c r="D207" s="11">
        <v>0</v>
      </c>
      <c r="E207" s="16">
        <f t="shared" si="38"/>
        <v>0</v>
      </c>
      <c r="F207" s="16">
        <f t="shared" si="39"/>
        <v>0</v>
      </c>
      <c r="G207" s="16">
        <f t="shared" si="40"/>
        <v>0</v>
      </c>
      <c r="H207" s="16">
        <f t="shared" si="41"/>
        <v>0</v>
      </c>
      <c r="I207" s="16">
        <f t="shared" si="42"/>
        <v>0</v>
      </c>
    </row>
    <row r="208" spans="1:9" ht="12.75" hidden="1">
      <c r="A208" s="261" t="s">
        <v>6</v>
      </c>
      <c r="B208" s="261" t="s">
        <v>167</v>
      </c>
      <c r="C208" s="261" t="s">
        <v>141</v>
      </c>
      <c r="D208" s="11">
        <v>0</v>
      </c>
      <c r="E208" s="16">
        <f t="shared" si="38"/>
        <v>0</v>
      </c>
      <c r="F208" s="16">
        <f t="shared" si="39"/>
        <v>0</v>
      </c>
      <c r="G208" s="16">
        <f t="shared" si="40"/>
        <v>0</v>
      </c>
      <c r="H208" s="16">
        <f t="shared" si="41"/>
        <v>0</v>
      </c>
      <c r="I208" s="16">
        <f t="shared" si="42"/>
        <v>0</v>
      </c>
    </row>
    <row r="209" spans="1:9" ht="12.75" hidden="1">
      <c r="A209" s="261" t="s">
        <v>6</v>
      </c>
      <c r="B209" s="261" t="s">
        <v>167</v>
      </c>
      <c r="C209" s="261" t="s">
        <v>141</v>
      </c>
      <c r="D209" s="11">
        <v>0</v>
      </c>
      <c r="E209" s="16">
        <f t="shared" si="38"/>
        <v>0</v>
      </c>
      <c r="F209" s="16">
        <f t="shared" si="39"/>
        <v>0</v>
      </c>
      <c r="G209" s="16">
        <f t="shared" si="40"/>
        <v>0</v>
      </c>
      <c r="H209" s="16">
        <f t="shared" si="41"/>
        <v>0</v>
      </c>
      <c r="I209" s="16">
        <f t="shared" si="42"/>
        <v>0</v>
      </c>
    </row>
    <row r="210" spans="1:9" ht="12.75" hidden="1">
      <c r="A210" s="261" t="s">
        <v>6</v>
      </c>
      <c r="B210" s="261" t="s">
        <v>167</v>
      </c>
      <c r="C210" s="261" t="s">
        <v>141</v>
      </c>
      <c r="D210" s="11">
        <v>0</v>
      </c>
      <c r="E210" s="16">
        <f t="shared" si="38"/>
        <v>0</v>
      </c>
      <c r="F210" s="16">
        <f t="shared" si="39"/>
        <v>0</v>
      </c>
      <c r="G210" s="16">
        <f t="shared" si="40"/>
        <v>0</v>
      </c>
      <c r="H210" s="16">
        <f t="shared" si="41"/>
        <v>0</v>
      </c>
      <c r="I210" s="16">
        <f t="shared" si="42"/>
        <v>0</v>
      </c>
    </row>
    <row r="211" spans="1:9" ht="12.75" hidden="1">
      <c r="A211" s="261" t="s">
        <v>6</v>
      </c>
      <c r="B211" s="261" t="s">
        <v>167</v>
      </c>
      <c r="C211" s="261" t="s">
        <v>141</v>
      </c>
      <c r="D211" s="11">
        <v>0</v>
      </c>
      <c r="E211" s="16">
        <f t="shared" si="38"/>
        <v>0</v>
      </c>
      <c r="F211" s="16">
        <f t="shared" si="39"/>
        <v>0</v>
      </c>
      <c r="G211" s="16">
        <f t="shared" si="40"/>
        <v>0</v>
      </c>
      <c r="H211" s="16">
        <f t="shared" si="41"/>
        <v>0</v>
      </c>
      <c r="I211" s="16">
        <f t="shared" si="42"/>
        <v>0</v>
      </c>
    </row>
    <row r="212" spans="1:9" ht="12.75" hidden="1">
      <c r="A212" s="261" t="s">
        <v>6</v>
      </c>
      <c r="B212" s="261" t="s">
        <v>167</v>
      </c>
      <c r="C212" s="261" t="s">
        <v>141</v>
      </c>
      <c r="D212" s="11">
        <v>0</v>
      </c>
      <c r="E212" s="16">
        <f t="shared" si="38"/>
        <v>0</v>
      </c>
      <c r="F212" s="16">
        <f t="shared" si="39"/>
        <v>0</v>
      </c>
      <c r="G212" s="16">
        <f t="shared" si="40"/>
        <v>0</v>
      </c>
      <c r="H212" s="16">
        <f t="shared" si="41"/>
        <v>0</v>
      </c>
      <c r="I212" s="16">
        <f t="shared" si="42"/>
        <v>0</v>
      </c>
    </row>
    <row r="213" spans="1:9" ht="12.75" hidden="1">
      <c r="A213" s="261" t="s">
        <v>6</v>
      </c>
      <c r="B213" s="261" t="s">
        <v>167</v>
      </c>
      <c r="C213" s="261" t="s">
        <v>141</v>
      </c>
      <c r="D213" s="11">
        <v>0</v>
      </c>
      <c r="E213" s="16">
        <f t="shared" si="38"/>
        <v>0</v>
      </c>
      <c r="F213" s="16">
        <f t="shared" si="39"/>
        <v>0</v>
      </c>
      <c r="G213" s="16">
        <f t="shared" si="40"/>
        <v>0</v>
      </c>
      <c r="H213" s="16">
        <f t="shared" si="41"/>
        <v>0</v>
      </c>
      <c r="I213" s="16">
        <f t="shared" si="42"/>
        <v>0</v>
      </c>
    </row>
    <row r="214" spans="1:9" ht="12.75" hidden="1">
      <c r="A214" s="261" t="s">
        <v>6</v>
      </c>
      <c r="B214" s="261" t="s">
        <v>167</v>
      </c>
      <c r="C214" s="261" t="s">
        <v>140</v>
      </c>
      <c r="D214" s="11">
        <v>0</v>
      </c>
      <c r="E214" s="16">
        <f t="shared" si="38"/>
        <v>0</v>
      </c>
      <c r="F214" s="16">
        <f t="shared" si="39"/>
        <v>0</v>
      </c>
      <c r="G214" s="16">
        <f t="shared" si="40"/>
        <v>0</v>
      </c>
      <c r="H214" s="16">
        <f t="shared" si="41"/>
        <v>0</v>
      </c>
      <c r="I214" s="16">
        <f t="shared" si="42"/>
        <v>0</v>
      </c>
    </row>
    <row r="215" spans="1:9" ht="12.75" hidden="1">
      <c r="A215" s="261" t="s">
        <v>6</v>
      </c>
      <c r="B215" s="261" t="s">
        <v>167</v>
      </c>
      <c r="C215" s="261" t="s">
        <v>178</v>
      </c>
      <c r="D215" s="11">
        <v>0</v>
      </c>
      <c r="E215" s="16">
        <f t="shared" si="38"/>
        <v>0</v>
      </c>
      <c r="F215" s="16">
        <f t="shared" si="39"/>
        <v>0</v>
      </c>
      <c r="G215" s="16">
        <f t="shared" si="40"/>
        <v>0</v>
      </c>
      <c r="H215" s="16">
        <f t="shared" si="41"/>
        <v>0</v>
      </c>
      <c r="I215" s="16">
        <f t="shared" si="42"/>
        <v>0</v>
      </c>
    </row>
    <row r="216" spans="1:9" ht="12.75" hidden="1">
      <c r="A216" s="261" t="s">
        <v>6</v>
      </c>
      <c r="B216" s="261" t="s">
        <v>167</v>
      </c>
      <c r="C216" s="261" t="s">
        <v>178</v>
      </c>
      <c r="D216" s="11">
        <v>0</v>
      </c>
      <c r="E216" s="16">
        <f t="shared" si="38"/>
        <v>0</v>
      </c>
      <c r="F216" s="16">
        <f t="shared" si="39"/>
        <v>0</v>
      </c>
      <c r="G216" s="16">
        <f t="shared" si="40"/>
        <v>0</v>
      </c>
      <c r="H216" s="16">
        <f t="shared" si="41"/>
        <v>0</v>
      </c>
      <c r="I216" s="16">
        <f t="shared" si="42"/>
        <v>0</v>
      </c>
    </row>
    <row r="217" spans="1:9" ht="12.75" hidden="1">
      <c r="A217" s="261" t="s">
        <v>6</v>
      </c>
      <c r="B217" s="261" t="s">
        <v>167</v>
      </c>
      <c r="C217" s="261" t="s">
        <v>178</v>
      </c>
      <c r="D217" s="11">
        <v>0</v>
      </c>
      <c r="E217" s="16">
        <f t="shared" si="38"/>
        <v>0</v>
      </c>
      <c r="F217" s="16">
        <f t="shared" si="39"/>
        <v>0</v>
      </c>
      <c r="G217" s="16">
        <f t="shared" si="40"/>
        <v>0</v>
      </c>
      <c r="H217" s="16">
        <f t="shared" si="41"/>
        <v>0</v>
      </c>
      <c r="I217" s="16">
        <f t="shared" si="42"/>
        <v>0</v>
      </c>
    </row>
    <row r="218" spans="1:9" ht="12.75" hidden="1">
      <c r="A218" s="261" t="s">
        <v>6</v>
      </c>
      <c r="B218" s="261" t="s">
        <v>167</v>
      </c>
      <c r="C218" s="261" t="s">
        <v>178</v>
      </c>
      <c r="D218" s="11">
        <v>0</v>
      </c>
      <c r="E218" s="16">
        <f t="shared" si="38"/>
        <v>0</v>
      </c>
      <c r="F218" s="16">
        <f t="shared" si="39"/>
        <v>0</v>
      </c>
      <c r="G218" s="16">
        <f t="shared" si="40"/>
        <v>0</v>
      </c>
      <c r="H218" s="16">
        <f t="shared" si="41"/>
        <v>0</v>
      </c>
      <c r="I218" s="16">
        <f t="shared" si="42"/>
        <v>0</v>
      </c>
    </row>
    <row r="219" spans="1:9" ht="12.75" hidden="1">
      <c r="A219" s="261" t="s">
        <v>6</v>
      </c>
      <c r="B219" s="261" t="s">
        <v>167</v>
      </c>
      <c r="C219" s="261" t="s">
        <v>178</v>
      </c>
      <c r="D219" s="11">
        <v>0</v>
      </c>
      <c r="E219" s="16">
        <f t="shared" si="38"/>
        <v>0</v>
      </c>
      <c r="F219" s="16">
        <f t="shared" si="39"/>
        <v>0</v>
      </c>
      <c r="G219" s="16">
        <f t="shared" si="40"/>
        <v>0</v>
      </c>
      <c r="H219" s="16">
        <f t="shared" si="41"/>
        <v>0</v>
      </c>
      <c r="I219" s="16">
        <f t="shared" si="42"/>
        <v>0</v>
      </c>
    </row>
    <row r="220" spans="1:9" ht="12.75" hidden="1">
      <c r="A220" s="261" t="s">
        <v>6</v>
      </c>
      <c r="B220" s="261" t="s">
        <v>167</v>
      </c>
      <c r="C220" s="261" t="s">
        <v>178</v>
      </c>
      <c r="D220" s="11">
        <v>0</v>
      </c>
      <c r="E220" s="16">
        <f t="shared" si="38"/>
        <v>0</v>
      </c>
      <c r="F220" s="16">
        <f t="shared" si="39"/>
        <v>0</v>
      </c>
      <c r="G220" s="16">
        <f t="shared" si="40"/>
        <v>0</v>
      </c>
      <c r="H220" s="16">
        <f t="shared" si="41"/>
        <v>0</v>
      </c>
      <c r="I220" s="16">
        <f t="shared" si="42"/>
        <v>0</v>
      </c>
    </row>
    <row r="221" spans="1:9" ht="12.75" hidden="1">
      <c r="A221" s="261" t="s">
        <v>6</v>
      </c>
      <c r="B221" s="261" t="s">
        <v>167</v>
      </c>
      <c r="C221" s="261" t="s">
        <v>178</v>
      </c>
      <c r="D221" s="11">
        <v>0</v>
      </c>
      <c r="E221" s="16">
        <f t="shared" si="38"/>
        <v>0</v>
      </c>
      <c r="F221" s="16">
        <f t="shared" si="39"/>
        <v>0</v>
      </c>
      <c r="G221" s="16">
        <f t="shared" si="40"/>
        <v>0</v>
      </c>
      <c r="H221" s="16">
        <f t="shared" si="41"/>
        <v>0</v>
      </c>
      <c r="I221" s="16">
        <f t="shared" si="42"/>
        <v>0</v>
      </c>
    </row>
    <row r="222" spans="1:9" ht="12.75" hidden="1">
      <c r="A222" s="261" t="s">
        <v>6</v>
      </c>
      <c r="B222" s="261" t="s">
        <v>167</v>
      </c>
      <c r="C222" s="261" t="s">
        <v>178</v>
      </c>
      <c r="D222" s="11">
        <v>0</v>
      </c>
      <c r="E222" s="16">
        <f t="shared" si="38"/>
        <v>0</v>
      </c>
      <c r="F222" s="16">
        <f t="shared" si="39"/>
        <v>0</v>
      </c>
      <c r="G222" s="16">
        <f t="shared" si="40"/>
        <v>0</v>
      </c>
      <c r="H222" s="16">
        <f t="shared" si="41"/>
        <v>0</v>
      </c>
      <c r="I222" s="16">
        <f t="shared" si="42"/>
        <v>0</v>
      </c>
    </row>
    <row r="223" spans="1:9" ht="12.75" hidden="1">
      <c r="A223" s="261" t="s">
        <v>6</v>
      </c>
      <c r="B223" s="261" t="s">
        <v>167</v>
      </c>
      <c r="C223" s="261" t="s">
        <v>178</v>
      </c>
      <c r="D223" s="11">
        <v>0</v>
      </c>
      <c r="E223" s="16">
        <f t="shared" si="38"/>
        <v>0</v>
      </c>
      <c r="F223" s="16">
        <f t="shared" si="39"/>
        <v>0</v>
      </c>
      <c r="G223" s="16">
        <f t="shared" si="40"/>
        <v>0</v>
      </c>
      <c r="H223" s="16">
        <f t="shared" si="41"/>
        <v>0</v>
      </c>
      <c r="I223" s="16">
        <f t="shared" si="42"/>
        <v>0</v>
      </c>
    </row>
    <row r="224" spans="1:9" ht="12.75" hidden="1">
      <c r="A224" s="261" t="s">
        <v>6</v>
      </c>
      <c r="B224" s="261" t="s">
        <v>167</v>
      </c>
      <c r="C224" s="261" t="s">
        <v>178</v>
      </c>
      <c r="D224" s="11">
        <v>0</v>
      </c>
      <c r="E224" s="16">
        <f t="shared" si="38"/>
        <v>0</v>
      </c>
      <c r="F224" s="16">
        <f t="shared" si="39"/>
        <v>0</v>
      </c>
      <c r="G224" s="16">
        <f t="shared" si="40"/>
        <v>0</v>
      </c>
      <c r="H224" s="16">
        <f t="shared" si="41"/>
        <v>0</v>
      </c>
      <c r="I224" s="16">
        <f t="shared" si="42"/>
        <v>0</v>
      </c>
    </row>
    <row r="225" spans="1:9" ht="12.75" hidden="1">
      <c r="A225" s="261" t="s">
        <v>6</v>
      </c>
      <c r="B225" s="261" t="s">
        <v>167</v>
      </c>
      <c r="C225" s="261" t="s">
        <v>178</v>
      </c>
      <c r="D225" s="11">
        <v>0</v>
      </c>
      <c r="E225" s="16">
        <f t="shared" si="38"/>
        <v>0</v>
      </c>
      <c r="F225" s="16">
        <f t="shared" si="39"/>
        <v>0</v>
      </c>
      <c r="G225" s="16">
        <f t="shared" si="40"/>
        <v>0</v>
      </c>
      <c r="H225" s="16">
        <f t="shared" si="41"/>
        <v>0</v>
      </c>
      <c r="I225" s="16">
        <f t="shared" si="42"/>
        <v>0</v>
      </c>
    </row>
    <row r="226" spans="1:9" ht="12.75" hidden="1">
      <c r="A226" s="261" t="s">
        <v>6</v>
      </c>
      <c r="B226" s="261" t="s">
        <v>167</v>
      </c>
      <c r="C226" s="261" t="s">
        <v>141</v>
      </c>
      <c r="D226" s="11">
        <v>0</v>
      </c>
      <c r="E226" s="16">
        <f t="shared" si="38"/>
        <v>0</v>
      </c>
      <c r="F226" s="16">
        <f t="shared" si="39"/>
        <v>0</v>
      </c>
      <c r="G226" s="16">
        <f t="shared" si="40"/>
        <v>0</v>
      </c>
      <c r="H226" s="16">
        <f t="shared" si="41"/>
        <v>0</v>
      </c>
      <c r="I226" s="16">
        <f t="shared" si="42"/>
        <v>0</v>
      </c>
    </row>
    <row r="227" spans="1:9" ht="12.75" hidden="1">
      <c r="A227" s="261" t="s">
        <v>6</v>
      </c>
      <c r="B227" s="261" t="s">
        <v>167</v>
      </c>
      <c r="C227" s="261" t="s">
        <v>178</v>
      </c>
      <c r="D227" s="11">
        <v>0</v>
      </c>
      <c r="E227" s="16">
        <f aca="true" t="shared" si="43" ref="E227:E235">VLOOKUP($C227,$C$257:$I$267,3,FALSE)*$D227</f>
        <v>0</v>
      </c>
      <c r="F227" s="16">
        <f aca="true" t="shared" si="44" ref="F227:F235">VLOOKUP($C227,$C$257:$I$267,4,FALSE)*$D227</f>
        <v>0</v>
      </c>
      <c r="G227" s="16">
        <f aca="true" t="shared" si="45" ref="G227:G235">VLOOKUP($C227,$C$257:$I$267,5,FALSE)*$D227</f>
        <v>0</v>
      </c>
      <c r="H227" s="16">
        <f aca="true" t="shared" si="46" ref="H227:H235">VLOOKUP($C227,$C$257:$I$267,6,FALSE)*$D227</f>
        <v>0</v>
      </c>
      <c r="I227" s="16">
        <f aca="true" t="shared" si="47" ref="I227:I235">VLOOKUP($C227,$C$257:$I$267,7,FALSE)*$D227</f>
        <v>0</v>
      </c>
    </row>
    <row r="228" spans="1:9" ht="12.75" hidden="1">
      <c r="A228" s="261" t="s">
        <v>6</v>
      </c>
      <c r="B228" s="261" t="s">
        <v>167</v>
      </c>
      <c r="C228" s="261" t="s">
        <v>178</v>
      </c>
      <c r="D228" s="11">
        <v>0</v>
      </c>
      <c r="E228" s="16">
        <f t="shared" si="43"/>
        <v>0</v>
      </c>
      <c r="F228" s="16">
        <f t="shared" si="44"/>
        <v>0</v>
      </c>
      <c r="G228" s="16">
        <f t="shared" si="45"/>
        <v>0</v>
      </c>
      <c r="H228" s="16">
        <f t="shared" si="46"/>
        <v>0</v>
      </c>
      <c r="I228" s="16">
        <f t="shared" si="47"/>
        <v>0</v>
      </c>
    </row>
    <row r="229" spans="1:9" ht="12.75" hidden="1">
      <c r="A229" s="261" t="s">
        <v>6</v>
      </c>
      <c r="B229" s="261" t="s">
        <v>167</v>
      </c>
      <c r="C229" s="261" t="s">
        <v>178</v>
      </c>
      <c r="D229" s="11">
        <v>0</v>
      </c>
      <c r="E229" s="16">
        <f t="shared" si="43"/>
        <v>0</v>
      </c>
      <c r="F229" s="16">
        <f t="shared" si="44"/>
        <v>0</v>
      </c>
      <c r="G229" s="16">
        <f t="shared" si="45"/>
        <v>0</v>
      </c>
      <c r="H229" s="16">
        <f t="shared" si="46"/>
        <v>0</v>
      </c>
      <c r="I229" s="16">
        <f t="shared" si="47"/>
        <v>0</v>
      </c>
    </row>
    <row r="230" spans="1:9" ht="12.75" hidden="1">
      <c r="A230" s="261" t="s">
        <v>6</v>
      </c>
      <c r="B230" s="261" t="s">
        <v>167</v>
      </c>
      <c r="C230" s="261" t="s">
        <v>178</v>
      </c>
      <c r="D230" s="11">
        <v>0</v>
      </c>
      <c r="E230" s="16">
        <f t="shared" si="43"/>
        <v>0</v>
      </c>
      <c r="F230" s="16">
        <f t="shared" si="44"/>
        <v>0</v>
      </c>
      <c r="G230" s="16">
        <f t="shared" si="45"/>
        <v>0</v>
      </c>
      <c r="H230" s="16">
        <f t="shared" si="46"/>
        <v>0</v>
      </c>
      <c r="I230" s="16">
        <f t="shared" si="47"/>
        <v>0</v>
      </c>
    </row>
    <row r="231" spans="1:9" ht="12.75" hidden="1">
      <c r="A231" s="261" t="s">
        <v>6</v>
      </c>
      <c r="B231" s="261" t="s">
        <v>167</v>
      </c>
      <c r="C231" s="261" t="s">
        <v>178</v>
      </c>
      <c r="D231" s="11">
        <v>0</v>
      </c>
      <c r="E231" s="16">
        <f t="shared" si="43"/>
        <v>0</v>
      </c>
      <c r="F231" s="16">
        <f t="shared" si="44"/>
        <v>0</v>
      </c>
      <c r="G231" s="16">
        <f t="shared" si="45"/>
        <v>0</v>
      </c>
      <c r="H231" s="16">
        <f t="shared" si="46"/>
        <v>0</v>
      </c>
      <c r="I231" s="16">
        <f t="shared" si="47"/>
        <v>0</v>
      </c>
    </row>
    <row r="232" spans="1:9" ht="12.75" hidden="1">
      <c r="A232" s="261" t="s">
        <v>6</v>
      </c>
      <c r="B232" s="261" t="s">
        <v>167</v>
      </c>
      <c r="C232" s="261" t="s">
        <v>178</v>
      </c>
      <c r="D232" s="11">
        <v>0</v>
      </c>
      <c r="E232" s="16">
        <f t="shared" si="43"/>
        <v>0</v>
      </c>
      <c r="F232" s="16">
        <f t="shared" si="44"/>
        <v>0</v>
      </c>
      <c r="G232" s="16">
        <f t="shared" si="45"/>
        <v>0</v>
      </c>
      <c r="H232" s="16">
        <f t="shared" si="46"/>
        <v>0</v>
      </c>
      <c r="I232" s="16">
        <f t="shared" si="47"/>
        <v>0</v>
      </c>
    </row>
    <row r="233" spans="1:9" ht="12.75" hidden="1">
      <c r="A233" s="261" t="s">
        <v>6</v>
      </c>
      <c r="B233" s="261" t="s">
        <v>167</v>
      </c>
      <c r="C233" s="261" t="s">
        <v>178</v>
      </c>
      <c r="D233" s="11">
        <v>0</v>
      </c>
      <c r="E233" s="16">
        <f t="shared" si="43"/>
        <v>0</v>
      </c>
      <c r="F233" s="16">
        <f t="shared" si="44"/>
        <v>0</v>
      </c>
      <c r="G233" s="16">
        <f t="shared" si="45"/>
        <v>0</v>
      </c>
      <c r="H233" s="16">
        <f t="shared" si="46"/>
        <v>0</v>
      </c>
      <c r="I233" s="16">
        <f t="shared" si="47"/>
        <v>0</v>
      </c>
    </row>
    <row r="234" spans="1:9" ht="12.75">
      <c r="A234" s="261" t="s">
        <v>6</v>
      </c>
      <c r="B234" s="261" t="s">
        <v>319</v>
      </c>
      <c r="C234" s="261" t="s">
        <v>146</v>
      </c>
      <c r="D234" s="37">
        <v>4083</v>
      </c>
      <c r="E234" s="16">
        <f t="shared" si="43"/>
        <v>0</v>
      </c>
      <c r="F234" s="16">
        <f t="shared" si="44"/>
        <v>0</v>
      </c>
      <c r="G234" s="16">
        <f t="shared" si="45"/>
        <v>0</v>
      </c>
      <c r="H234" s="16">
        <f t="shared" si="46"/>
        <v>0</v>
      </c>
      <c r="I234" s="16">
        <f t="shared" si="47"/>
        <v>4083</v>
      </c>
    </row>
    <row r="235" spans="1:9" ht="12.75">
      <c r="A235" s="261" t="s">
        <v>6</v>
      </c>
      <c r="B235" s="261" t="s">
        <v>167</v>
      </c>
      <c r="C235" s="261" t="s">
        <v>178</v>
      </c>
      <c r="D235" s="237">
        <v>0</v>
      </c>
      <c r="E235" s="39">
        <f t="shared" si="43"/>
        <v>0</v>
      </c>
      <c r="F235" s="39">
        <f t="shared" si="44"/>
        <v>0</v>
      </c>
      <c r="G235" s="39">
        <f t="shared" si="45"/>
        <v>0</v>
      </c>
      <c r="H235" s="39">
        <f t="shared" si="46"/>
        <v>0</v>
      </c>
      <c r="I235" s="39">
        <f t="shared" si="47"/>
        <v>0</v>
      </c>
    </row>
    <row r="236" spans="1:9" ht="12.75">
      <c r="A236" s="4" t="s">
        <v>71</v>
      </c>
      <c r="D236" s="37">
        <f aca="true" t="shared" si="48" ref="D236:I236">SUM(D163:D235)</f>
        <v>4279</v>
      </c>
      <c r="E236" s="37">
        <f t="shared" si="48"/>
        <v>0</v>
      </c>
      <c r="F236" s="37">
        <f t="shared" si="48"/>
        <v>0</v>
      </c>
      <c r="G236" s="37">
        <f t="shared" si="48"/>
        <v>0</v>
      </c>
      <c r="H236" s="37">
        <f t="shared" si="48"/>
        <v>0</v>
      </c>
      <c r="I236" s="37">
        <f t="shared" si="48"/>
        <v>4279</v>
      </c>
    </row>
    <row r="237" spans="4:9" ht="13.5" customHeight="1">
      <c r="D237" s="37"/>
      <c r="E237" s="37"/>
      <c r="F237" s="37"/>
      <c r="G237" s="37"/>
      <c r="H237" s="37"/>
      <c r="I237" s="37"/>
    </row>
    <row r="238" spans="1:9" ht="12.75">
      <c r="A238" s="4" t="s">
        <v>64</v>
      </c>
      <c r="D238" s="37"/>
      <c r="E238" s="37"/>
      <c r="F238" s="37"/>
      <c r="G238" s="37"/>
      <c r="H238" s="37"/>
      <c r="I238" s="37"/>
    </row>
    <row r="239" spans="1:9" ht="12.75">
      <c r="A239" s="4" t="s">
        <v>65</v>
      </c>
      <c r="C239" s="4" t="s">
        <v>181</v>
      </c>
      <c r="D239" s="37">
        <v>0</v>
      </c>
      <c r="E239" s="16">
        <f>VLOOKUP($C239,$C$257:$I$267,3,FALSE)*$D239</f>
        <v>0</v>
      </c>
      <c r="F239" s="16">
        <f>VLOOKUP($C239,$C$257:$I$267,4,FALSE)*$D239</f>
        <v>0</v>
      </c>
      <c r="G239" s="16">
        <f>VLOOKUP($C239,$C$257:$I$267,5,FALSE)*$D239</f>
        <v>0</v>
      </c>
      <c r="H239" s="16">
        <f>VLOOKUP($C239,$C$257:$I$267,6,FALSE)*$D239</f>
        <v>0</v>
      </c>
      <c r="I239" s="16">
        <f>VLOOKUP($C239,$C$257:$I$267,7,FALSE)*$D239</f>
        <v>0</v>
      </c>
    </row>
    <row r="240" spans="1:9" ht="12.75">
      <c r="A240" s="4" t="s">
        <v>66</v>
      </c>
      <c r="C240" s="4" t="s">
        <v>181</v>
      </c>
      <c r="D240" s="37">
        <v>0</v>
      </c>
      <c r="E240" s="16">
        <f>VLOOKUP($C240,$C$257:$I$267,3,FALSE)*$D240</f>
        <v>0</v>
      </c>
      <c r="F240" s="16">
        <f>VLOOKUP($C240,$C$257:$I$267,4,FALSE)*$D240</f>
        <v>0</v>
      </c>
      <c r="G240" s="16">
        <f>VLOOKUP($C240,$C$257:$I$267,5,FALSE)*$D240</f>
        <v>0</v>
      </c>
      <c r="H240" s="16">
        <f>VLOOKUP($C240,$C$257:$I$267,6,FALSE)*$D240</f>
        <v>0</v>
      </c>
      <c r="I240" s="16">
        <f>VLOOKUP($C240,$C$257:$I$267,7,FALSE)*$D240</f>
        <v>0</v>
      </c>
    </row>
    <row r="241" spans="1:9" ht="12.75">
      <c r="A241" s="4" t="s">
        <v>67</v>
      </c>
      <c r="C241" s="4" t="s">
        <v>170</v>
      </c>
      <c r="D241" s="37">
        <v>0</v>
      </c>
      <c r="E241" s="16">
        <f>VLOOKUP($C241,$C$257:$I$267,3,FALSE)*$D241</f>
        <v>0</v>
      </c>
      <c r="F241" s="16">
        <f>VLOOKUP($C241,$C$257:$I$267,4,FALSE)*$D241</f>
        <v>0</v>
      </c>
      <c r="G241" s="16">
        <f>VLOOKUP($C241,$C$257:$I$267,5,FALSE)*$D241</f>
        <v>0</v>
      </c>
      <c r="H241" s="16">
        <f>VLOOKUP($C241,$C$257:$I$267,6,FALSE)*$D241</f>
        <v>0</v>
      </c>
      <c r="I241" s="16">
        <f>VLOOKUP($C241,$C$257:$I$267,7,FALSE)*$D241</f>
        <v>0</v>
      </c>
    </row>
    <row r="242" spans="1:9" ht="12.75">
      <c r="A242" s="4" t="s">
        <v>68</v>
      </c>
      <c r="C242" s="4" t="s">
        <v>178</v>
      </c>
      <c r="D242" s="37">
        <v>0</v>
      </c>
      <c r="E242" s="16">
        <f>VLOOKUP($C242,$C$257:$I$267,3,FALSE)*$D242</f>
        <v>0</v>
      </c>
      <c r="F242" s="16">
        <f>VLOOKUP($C242,$C$257:$I$267,4,FALSE)*$D242</f>
        <v>0</v>
      </c>
      <c r="G242" s="16">
        <f>VLOOKUP($C242,$C$257:$I$267,5,FALSE)*$D242</f>
        <v>0</v>
      </c>
      <c r="H242" s="16">
        <f>VLOOKUP($C242,$C$257:$I$267,6,FALSE)*$D242</f>
        <v>0</v>
      </c>
      <c r="I242" s="16">
        <f>VLOOKUP($C242,$C$257:$I$267,7,FALSE)*$D242</f>
        <v>0</v>
      </c>
    </row>
    <row r="243" spans="1:9" ht="12.75">
      <c r="A243" s="4" t="s">
        <v>69</v>
      </c>
      <c r="C243" s="4" t="s">
        <v>170</v>
      </c>
      <c r="D243" s="237">
        <v>0</v>
      </c>
      <c r="E243" s="39">
        <f>VLOOKUP($C243,$C$257:$I$267,3,FALSE)*$D243</f>
        <v>0</v>
      </c>
      <c r="F243" s="39">
        <f>VLOOKUP($C243,$C$257:$I$267,4,FALSE)*$D243</f>
        <v>0</v>
      </c>
      <c r="G243" s="39">
        <f>VLOOKUP($C243,$C$257:$I$267,5,FALSE)*$D243</f>
        <v>0</v>
      </c>
      <c r="H243" s="39">
        <f>VLOOKUP($C243,$C$257:$I$267,6,FALSE)*$D243</f>
        <v>0</v>
      </c>
      <c r="I243" s="39">
        <f>VLOOKUP($C243,$C$257:$I$267,7,FALSE)*$D243</f>
        <v>0</v>
      </c>
    </row>
    <row r="244" spans="1:9" ht="12.75">
      <c r="A244" s="4" t="s">
        <v>70</v>
      </c>
      <c r="D244" s="37">
        <f aca="true" t="shared" si="49" ref="D244:I244">SUM(D239:D243)</f>
        <v>0</v>
      </c>
      <c r="E244" s="37">
        <f t="shared" si="49"/>
        <v>0</v>
      </c>
      <c r="F244" s="37">
        <f t="shared" si="49"/>
        <v>0</v>
      </c>
      <c r="G244" s="37">
        <f t="shared" si="49"/>
        <v>0</v>
      </c>
      <c r="H244" s="37">
        <f t="shared" si="49"/>
        <v>0</v>
      </c>
      <c r="I244" s="37">
        <f t="shared" si="49"/>
        <v>0</v>
      </c>
    </row>
    <row r="245" spans="4:9" ht="12.75">
      <c r="D245" s="37"/>
      <c r="E245" s="37"/>
      <c r="F245" s="37"/>
      <c r="G245" s="37"/>
      <c r="H245" s="37"/>
      <c r="I245" s="37"/>
    </row>
    <row r="246" spans="1:9" ht="12.75">
      <c r="A246" s="4" t="s">
        <v>71</v>
      </c>
      <c r="D246" s="38">
        <f aca="true" t="shared" si="50" ref="D246:I246">D236+D244</f>
        <v>4279</v>
      </c>
      <c r="E246" s="38">
        <f t="shared" si="50"/>
        <v>0</v>
      </c>
      <c r="F246" s="38">
        <f t="shared" si="50"/>
        <v>0</v>
      </c>
      <c r="G246" s="38">
        <f t="shared" si="50"/>
        <v>0</v>
      </c>
      <c r="H246" s="38">
        <f t="shared" si="50"/>
        <v>0</v>
      </c>
      <c r="I246" s="38">
        <f t="shared" si="50"/>
        <v>4279</v>
      </c>
    </row>
    <row r="247" spans="4:9" ht="12.75">
      <c r="D247" s="37"/>
      <c r="E247" s="37"/>
      <c r="F247" s="37"/>
      <c r="G247" s="37"/>
      <c r="H247" s="37"/>
      <c r="I247" s="37"/>
    </row>
    <row r="248" spans="1:9" ht="13.5" thickBot="1">
      <c r="A248" s="4" t="s">
        <v>79</v>
      </c>
      <c r="D248" s="281">
        <f aca="true" t="shared" si="51" ref="D248:I248">SUM(D246+D160+D156+D111+D107+D86+D85)</f>
        <v>47331</v>
      </c>
      <c r="E248" s="281">
        <f t="shared" si="51"/>
        <v>16255</v>
      </c>
      <c r="F248" s="281">
        <f t="shared" si="51"/>
        <v>26797</v>
      </c>
      <c r="G248" s="281">
        <f t="shared" si="51"/>
        <v>0</v>
      </c>
      <c r="H248" s="281">
        <f t="shared" si="51"/>
        <v>0</v>
      </c>
      <c r="I248" s="281">
        <f t="shared" si="51"/>
        <v>4279</v>
      </c>
    </row>
    <row r="249" ht="13.5" thickTop="1">
      <c r="D249" s="109"/>
    </row>
    <row r="250" spans="1:9" ht="12.75">
      <c r="A250" s="276" t="s">
        <v>190</v>
      </c>
      <c r="B250" s="235"/>
      <c r="C250" s="269"/>
      <c r="D250" s="277">
        <f aca="true" t="shared" si="52" ref="D250:I250">IF(D246=0,0,D246/$D246)</f>
        <v>1</v>
      </c>
      <c r="E250" s="277">
        <f t="shared" si="52"/>
        <v>0</v>
      </c>
      <c r="F250" s="277">
        <f t="shared" si="52"/>
        <v>0</v>
      </c>
      <c r="G250" s="277">
        <f t="shared" si="52"/>
        <v>0</v>
      </c>
      <c r="H250" s="277">
        <f t="shared" si="52"/>
        <v>0</v>
      </c>
      <c r="I250" s="282">
        <f t="shared" si="52"/>
        <v>1</v>
      </c>
    </row>
    <row r="251" ht="12.75">
      <c r="D251" s="31"/>
    </row>
    <row r="252" spans="1:4" ht="12.75" hidden="1">
      <c r="A252" s="4" t="s">
        <v>5</v>
      </c>
      <c r="B252" s="4" t="s">
        <v>160</v>
      </c>
      <c r="C252" s="4" t="s">
        <v>181</v>
      </c>
      <c r="D252" s="31">
        <v>0</v>
      </c>
    </row>
    <row r="253" spans="1:4" ht="12.75" hidden="1">
      <c r="A253" s="4" t="s">
        <v>5</v>
      </c>
      <c r="B253" s="4" t="s">
        <v>182</v>
      </c>
      <c r="C253" s="4" t="s">
        <v>181</v>
      </c>
      <c r="D253" s="31">
        <v>0</v>
      </c>
    </row>
    <row r="254" ht="12.75" hidden="1">
      <c r="D254" s="31"/>
    </row>
    <row r="255" ht="12.75">
      <c r="D255" s="31"/>
    </row>
    <row r="256" spans="4:9" ht="12.75">
      <c r="D256" s="4" t="s">
        <v>144</v>
      </c>
      <c r="E256" s="283" t="s">
        <v>136</v>
      </c>
      <c r="F256" s="283" t="s">
        <v>137</v>
      </c>
      <c r="G256" s="283" t="s">
        <v>191</v>
      </c>
      <c r="H256" s="283" t="s">
        <v>192</v>
      </c>
      <c r="I256" s="283" t="s">
        <v>193</v>
      </c>
    </row>
    <row r="257" spans="3:9" ht="12.75">
      <c r="C257" s="4" t="s">
        <v>146</v>
      </c>
      <c r="D257" s="36">
        <f>SUM(E257:I257)</f>
        <v>1</v>
      </c>
      <c r="E257" s="42">
        <v>0</v>
      </c>
      <c r="F257" s="42">
        <v>0</v>
      </c>
      <c r="G257" s="42">
        <v>0</v>
      </c>
      <c r="H257" s="42">
        <v>0</v>
      </c>
      <c r="I257" s="42">
        <v>1</v>
      </c>
    </row>
    <row r="258" spans="3:9" ht="12.75">
      <c r="C258" s="4" t="s">
        <v>142</v>
      </c>
      <c r="D258" s="36">
        <f aca="true" t="shared" si="53" ref="D258:D267">SUM(E258:I258)</f>
        <v>1</v>
      </c>
      <c r="E258" s="35">
        <v>0</v>
      </c>
      <c r="F258" s="35">
        <v>0</v>
      </c>
      <c r="G258" s="35">
        <v>1</v>
      </c>
      <c r="H258" s="35">
        <v>0</v>
      </c>
      <c r="I258" s="35">
        <v>0</v>
      </c>
    </row>
    <row r="259" spans="3:9" ht="12.75">
      <c r="C259" s="4" t="s">
        <v>145</v>
      </c>
      <c r="D259" s="36">
        <f t="shared" si="53"/>
        <v>1</v>
      </c>
      <c r="E259" s="35">
        <v>0</v>
      </c>
      <c r="F259" s="35">
        <v>0</v>
      </c>
      <c r="G259" s="35">
        <v>0</v>
      </c>
      <c r="H259" s="35">
        <v>1</v>
      </c>
      <c r="I259" s="35">
        <v>0</v>
      </c>
    </row>
    <row r="260" spans="3:9" ht="12.75">
      <c r="C260" s="4" t="s">
        <v>178</v>
      </c>
      <c r="D260" s="36">
        <f t="shared" si="53"/>
        <v>1</v>
      </c>
      <c r="E260" s="35">
        <v>0.3</v>
      </c>
      <c r="F260" s="35">
        <v>0.1</v>
      </c>
      <c r="G260" s="35">
        <v>0.6</v>
      </c>
      <c r="H260" s="35">
        <v>0</v>
      </c>
      <c r="I260" s="35">
        <v>0</v>
      </c>
    </row>
    <row r="261" spans="3:9" ht="12.75">
      <c r="C261" s="4" t="s">
        <v>194</v>
      </c>
      <c r="D261" s="36">
        <f t="shared" si="53"/>
        <v>1</v>
      </c>
      <c r="E261" s="35">
        <f>'GROSS PLANT'!$E$55</f>
        <v>0.4616254339827272</v>
      </c>
      <c r="F261" s="35">
        <f>'GROSS PLANT'!$F$55</f>
        <v>0.19317649645797214</v>
      </c>
      <c r="G261" s="35">
        <f>'GROSS PLANT'!$G$55</f>
        <v>0.33716033425505554</v>
      </c>
      <c r="H261" s="35">
        <f>'GROSS PLANT'!$H$55</f>
        <v>0.008037735304245107</v>
      </c>
      <c r="I261" s="35">
        <f>'GROSS PLANT'!$I$55</f>
        <v>0</v>
      </c>
    </row>
    <row r="262" spans="3:9" ht="12.75">
      <c r="C262" s="4" t="s">
        <v>181</v>
      </c>
      <c r="D262" s="36">
        <f t="shared" si="53"/>
        <v>1</v>
      </c>
      <c r="E262" s="35">
        <f>'FORM 1'!$C$25</f>
        <v>0.43266363145982245</v>
      </c>
      <c r="F262" s="35">
        <f>'FORM 1'!$D$25</f>
        <v>0.059048835194200504</v>
      </c>
      <c r="G262" s="35">
        <f>'FORM 1'!$E$25</f>
        <v>0.36137758528624353</v>
      </c>
      <c r="H262" s="35">
        <f>'FORM 1'!$F$25</f>
        <v>0.1469099480597335</v>
      </c>
      <c r="I262" s="35">
        <f>'FORM 1'!$G$25</f>
        <v>0</v>
      </c>
    </row>
    <row r="263" spans="3:9" ht="12.75">
      <c r="C263" s="4" t="s">
        <v>140</v>
      </c>
      <c r="D263" s="36">
        <f t="shared" si="53"/>
        <v>1</v>
      </c>
      <c r="E263" s="36">
        <f>'FORM 1'!$C$13</f>
        <v>1</v>
      </c>
      <c r="F263" s="36">
        <f>'FORM 1'!$D$13</f>
        <v>0</v>
      </c>
      <c r="G263" s="36">
        <f>'FORM 1'!$E$13</f>
        <v>0</v>
      </c>
      <c r="H263" s="36">
        <f>'FORM 1'!$F$13</f>
        <v>0</v>
      </c>
      <c r="I263" s="36">
        <f>'FORM 1'!$G$13</f>
        <v>0</v>
      </c>
    </row>
    <row r="264" spans="3:9" ht="12.75">
      <c r="C264" s="4" t="s">
        <v>170</v>
      </c>
      <c r="D264" s="36">
        <f t="shared" si="53"/>
        <v>1</v>
      </c>
      <c r="E264" s="36">
        <f>'FORM 1'!$C$16</f>
        <v>0.46603270363333577</v>
      </c>
      <c r="F264" s="36">
        <f>'FORM 1'!$D$16</f>
        <v>0.1979573257742307</v>
      </c>
      <c r="G264" s="36">
        <f>'FORM 1'!$E$16</f>
        <v>0.33600997059243354</v>
      </c>
      <c r="H264" s="36">
        <f>'FORM 1'!$F$16</f>
        <v>0</v>
      </c>
      <c r="I264" s="36">
        <f>'FORM 1'!$G$16</f>
        <v>0</v>
      </c>
    </row>
    <row r="265" spans="3:9" ht="12.75">
      <c r="C265" s="4" t="s">
        <v>141</v>
      </c>
      <c r="D265" s="36">
        <f t="shared" si="53"/>
        <v>1</v>
      </c>
      <c r="E265" s="36">
        <f>'FORM 1'!$C$14</f>
        <v>0</v>
      </c>
      <c r="F265" s="36">
        <f>'FORM 1'!$D$14</f>
        <v>1</v>
      </c>
      <c r="G265" s="36">
        <f>'FORM 1'!$E$14</f>
        <v>0</v>
      </c>
      <c r="H265" s="36">
        <f>'FORM 1'!$F$14</f>
        <v>0</v>
      </c>
      <c r="I265" s="36">
        <f>'FORM 1'!$G$14</f>
        <v>0</v>
      </c>
    </row>
    <row r="266" spans="3:9" ht="12.75">
      <c r="C266" s="4" t="s">
        <v>195</v>
      </c>
      <c r="D266" s="36">
        <f t="shared" si="53"/>
        <v>1</v>
      </c>
      <c r="E266" s="35">
        <f>+'TAX DEPR'!C$72</f>
        <v>0.4427855426223334</v>
      </c>
      <c r="F266" s="35">
        <f>+'TAX DEPR'!D$72</f>
        <v>0.21612863998115678</v>
      </c>
      <c r="G266" s="35">
        <f>+'TAX DEPR'!E$72</f>
        <v>0.33347689695283245</v>
      </c>
      <c r="H266" s="35">
        <f>+'TAX DEPR'!F$72</f>
        <v>0.007608920443677394</v>
      </c>
      <c r="I266" s="35">
        <f>+'TAX DEPR'!G$72</f>
        <v>0</v>
      </c>
    </row>
    <row r="267" spans="3:9" ht="12.75">
      <c r="C267" s="4" t="s">
        <v>175</v>
      </c>
      <c r="D267" s="36">
        <f t="shared" si="53"/>
        <v>1</v>
      </c>
      <c r="E267" s="36">
        <f>'FORM 1'!$C$18</f>
        <v>0</v>
      </c>
      <c r="F267" s="36">
        <f>'FORM 1'!$D$18</f>
        <v>0.37072930705909285</v>
      </c>
      <c r="G267" s="36">
        <f>'FORM 1'!$E$18</f>
        <v>0.6292706929409071</v>
      </c>
      <c r="H267" s="36">
        <f>'FORM 1'!$F$18</f>
        <v>0</v>
      </c>
      <c r="I267" s="36">
        <f>'FORM 1'!$G$18</f>
        <v>0</v>
      </c>
    </row>
    <row r="268" ht="12.75">
      <c r="E268" s="36"/>
    </row>
    <row r="269" spans="4:8" ht="12.75">
      <c r="D269" s="16"/>
      <c r="F269" s="31"/>
      <c r="G269" s="109"/>
      <c r="H269" s="109"/>
    </row>
    <row r="270" spans="4:8" ht="12.75">
      <c r="D270" s="16"/>
      <c r="F270" s="31"/>
      <c r="H270" s="109"/>
    </row>
    <row r="271" spans="4:8" ht="12.75">
      <c r="D271" s="16"/>
      <c r="F271" s="274"/>
      <c r="H271" s="109"/>
    </row>
    <row r="272" spans="4:6" ht="12.75">
      <c r="D272" s="16"/>
      <c r="F272" s="274"/>
    </row>
    <row r="273" spans="4:6" ht="12.75">
      <c r="D273" s="16"/>
      <c r="F273" s="274"/>
    </row>
    <row r="274" spans="4:6" ht="12.75">
      <c r="D274" s="16"/>
      <c r="F274" s="274"/>
    </row>
    <row r="275" spans="4:7" ht="12.75">
      <c r="D275" s="16"/>
      <c r="E275" s="31"/>
      <c r="G275" s="109"/>
    </row>
    <row r="276" spans="4:7" ht="12.75">
      <c r="D276" s="16"/>
      <c r="E276" s="31"/>
      <c r="G276" s="109"/>
    </row>
    <row r="277" spans="4:7" ht="12.75">
      <c r="D277" s="16"/>
      <c r="E277" s="31"/>
      <c r="G277" s="109"/>
    </row>
    <row r="278" spans="4:7" ht="12.75">
      <c r="D278" s="16"/>
      <c r="E278" s="31"/>
      <c r="G278" s="109"/>
    </row>
    <row r="279" spans="4:7" ht="12.75">
      <c r="D279" s="16"/>
      <c r="E279" s="31"/>
      <c r="G279" s="109"/>
    </row>
    <row r="280" spans="4:7" ht="12.75">
      <c r="D280" s="16"/>
      <c r="E280" s="31"/>
      <c r="G280" s="109"/>
    </row>
    <row r="281" spans="4:7" ht="12.75">
      <c r="D281" s="16"/>
      <c r="E281" s="31"/>
      <c r="G281" s="109"/>
    </row>
    <row r="282" spans="4:7" ht="12.75">
      <c r="D282" s="16"/>
      <c r="E282" s="31"/>
      <c r="G282" s="109"/>
    </row>
  </sheetData>
  <mergeCells count="3">
    <mergeCell ref="A1:I1"/>
    <mergeCell ref="A2:I2"/>
    <mergeCell ref="A3:I3"/>
  </mergeCells>
  <printOptions horizontalCentered="1"/>
  <pageMargins left="0.5" right="0.5" top="0.5" bottom="0.65" header="0.4" footer="0.2"/>
  <pageSetup horizontalDpi="600" verticalDpi="600" orientation="landscape" scale="85" r:id="rId1"/>
  <headerFooter alignWithMargins="0">
    <oddFooter>&amp;LExhibit RMP____(CCP-3)&amp;CTab 3 - Page18 of 20&amp;R&amp;F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7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21.7109375" style="7" customWidth="1"/>
    <col min="2" max="7" width="17.7109375" style="7" customWidth="1"/>
    <col min="8" max="16384" width="9.140625" style="7" customWidth="1"/>
  </cols>
  <sheetData>
    <row r="1" spans="1:7" ht="12.75">
      <c r="A1" s="292" t="str">
        <f>+'TOTAL FUNCFAC'!$A$1</f>
        <v>PACIFICORP</v>
      </c>
      <c r="B1" s="292"/>
      <c r="C1" s="292"/>
      <c r="D1" s="292"/>
      <c r="E1" s="292"/>
      <c r="F1" s="292"/>
      <c r="G1" s="292"/>
    </row>
    <row r="2" spans="1:7" ht="12.75">
      <c r="A2" s="215" t="str">
        <f>+'TOTAL FUNCFAC'!$A$2</f>
        <v>12 Months Ended December 2007</v>
      </c>
      <c r="B2" s="215"/>
      <c r="C2" s="216"/>
      <c r="D2" s="217"/>
      <c r="E2" s="217"/>
      <c r="F2" s="217"/>
      <c r="G2" s="217"/>
    </row>
    <row r="3" spans="1:7" ht="12.75">
      <c r="A3" s="217" t="s">
        <v>261</v>
      </c>
      <c r="B3" s="217"/>
      <c r="C3" s="217"/>
      <c r="D3" s="217"/>
      <c r="E3" s="217"/>
      <c r="F3" s="217"/>
      <c r="G3" s="217"/>
    </row>
    <row r="4" spans="1:7" ht="12.75">
      <c r="A4" s="54"/>
      <c r="B4" s="217"/>
      <c r="C4" s="217"/>
      <c r="D4" s="217"/>
      <c r="E4" s="217"/>
      <c r="F4" s="217"/>
      <c r="G4" s="217"/>
    </row>
    <row r="5" spans="1:7" ht="12.75">
      <c r="A5" s="217"/>
      <c r="B5" s="217"/>
      <c r="C5" s="217"/>
      <c r="D5" s="217"/>
      <c r="E5" s="217"/>
      <c r="F5" s="217"/>
      <c r="G5" s="217"/>
    </row>
    <row r="6" spans="1:7" ht="13.5" thickBot="1">
      <c r="A6" s="218" t="s">
        <v>151</v>
      </c>
      <c r="B6" s="218" t="s">
        <v>144</v>
      </c>
      <c r="C6" s="218" t="s">
        <v>136</v>
      </c>
      <c r="D6" s="218" t="s">
        <v>137</v>
      </c>
      <c r="E6" s="218" t="s">
        <v>142</v>
      </c>
      <c r="F6" s="218" t="s">
        <v>145</v>
      </c>
      <c r="G6" s="218" t="s">
        <v>146</v>
      </c>
    </row>
    <row r="7" spans="5:7" ht="12.75">
      <c r="E7" s="217"/>
      <c r="F7" s="217"/>
      <c r="G7" s="217"/>
    </row>
    <row r="8" spans="1:7" ht="12.75">
      <c r="A8" s="4" t="s">
        <v>262</v>
      </c>
      <c r="B8" s="18">
        <f>SUM(C8:G8)</f>
        <v>14536065.431</v>
      </c>
      <c r="C8" s="15">
        <f>+'GROSS PLANT'!D9</f>
        <v>6774281.873</v>
      </c>
      <c r="D8" s="15">
        <f>+'GROSS PLANT'!D10</f>
        <v>2877520.64</v>
      </c>
      <c r="E8" s="15">
        <f>+'GROSS PLANT'!D11</f>
        <v>4884262.918</v>
      </c>
      <c r="F8" s="18">
        <v>0</v>
      </c>
      <c r="G8" s="18">
        <v>0</v>
      </c>
    </row>
    <row r="9" spans="1:7" ht="12.75">
      <c r="A9" s="4" t="s">
        <v>263</v>
      </c>
      <c r="B9" s="18">
        <f>SUM(C9:G9)</f>
        <v>0</v>
      </c>
      <c r="C9" s="18"/>
      <c r="D9" s="18"/>
      <c r="E9" s="18"/>
      <c r="F9" s="18">
        <v>0</v>
      </c>
      <c r="G9" s="18">
        <v>0</v>
      </c>
    </row>
    <row r="10" spans="1:7" ht="12.75">
      <c r="A10" s="4" t="s">
        <v>264</v>
      </c>
      <c r="B10" s="18">
        <f>SUM(C10:G10)</f>
        <v>14536065.431</v>
      </c>
      <c r="C10" s="18">
        <f>C8+C9</f>
        <v>6774281.873</v>
      </c>
      <c r="D10" s="18">
        <f>D8+D9</f>
        <v>2877520.64</v>
      </c>
      <c r="E10" s="18">
        <f>E8+E9</f>
        <v>4884262.918</v>
      </c>
      <c r="F10" s="18">
        <v>0</v>
      </c>
      <c r="G10" s="18">
        <v>0</v>
      </c>
    </row>
    <row r="12" spans="1:7" ht="12.75">
      <c r="A12" s="4" t="s">
        <v>265</v>
      </c>
      <c r="B12" s="18"/>
      <c r="C12" s="18"/>
      <c r="D12" s="18"/>
      <c r="E12" s="18"/>
      <c r="F12" s="18"/>
      <c r="G12" s="18"/>
    </row>
    <row r="13" spans="1:7" ht="12.75">
      <c r="A13" s="4" t="s">
        <v>140</v>
      </c>
      <c r="B13" s="219">
        <f aca="true" t="shared" si="0" ref="B13:B18">SUM(C13:G13)</f>
        <v>1</v>
      </c>
      <c r="C13" s="219">
        <f>C10/C10</f>
        <v>1</v>
      </c>
      <c r="D13" s="219"/>
      <c r="E13" s="219"/>
      <c r="F13" s="219"/>
      <c r="G13" s="219"/>
    </row>
    <row r="14" spans="1:7" ht="12.75">
      <c r="A14" s="4" t="s">
        <v>141</v>
      </c>
      <c r="B14" s="6">
        <f t="shared" si="0"/>
        <v>1</v>
      </c>
      <c r="C14" s="6"/>
      <c r="D14" s="6">
        <f>D10/D10</f>
        <v>1</v>
      </c>
      <c r="E14" s="6"/>
      <c r="F14" s="6"/>
      <c r="G14" s="6"/>
    </row>
    <row r="15" spans="1:7" ht="12.75">
      <c r="A15" s="4" t="s">
        <v>142</v>
      </c>
      <c r="B15" s="6">
        <f t="shared" si="0"/>
        <v>1</v>
      </c>
      <c r="C15" s="6"/>
      <c r="D15" s="6"/>
      <c r="E15" s="6">
        <f>E10/E10</f>
        <v>1</v>
      </c>
      <c r="F15" s="6"/>
      <c r="G15" s="6"/>
    </row>
    <row r="16" spans="1:7" ht="12.75">
      <c r="A16" s="4" t="s">
        <v>170</v>
      </c>
      <c r="B16" s="6">
        <f t="shared" si="0"/>
        <v>1</v>
      </c>
      <c r="C16" s="6">
        <f>C10/$B10</f>
        <v>0.46603270363333577</v>
      </c>
      <c r="D16" s="6">
        <f>D10/$B10</f>
        <v>0.1979573257742307</v>
      </c>
      <c r="E16" s="6">
        <f>E10/$B10</f>
        <v>0.33600997059243354</v>
      </c>
      <c r="F16" s="6">
        <f>F10/$B10</f>
        <v>0</v>
      </c>
      <c r="G16" s="6">
        <f>G10/$B10</f>
        <v>0</v>
      </c>
    </row>
    <row r="17" spans="1:7" ht="12.75">
      <c r="A17" s="4" t="s">
        <v>266</v>
      </c>
      <c r="B17" s="6">
        <f t="shared" si="0"/>
        <v>1</v>
      </c>
      <c r="C17" s="6">
        <f>C10/(C10+D10)</f>
        <v>0.70186702057732</v>
      </c>
      <c r="D17" s="6">
        <f>D10/(C10+D10)</f>
        <v>0.29813297942267997</v>
      </c>
      <c r="E17" s="6"/>
      <c r="F17" s="6"/>
      <c r="G17" s="6"/>
    </row>
    <row r="18" spans="1:7" ht="13.5" thickBot="1">
      <c r="A18" s="4" t="s">
        <v>175</v>
      </c>
      <c r="B18" s="220">
        <f t="shared" si="0"/>
        <v>1</v>
      </c>
      <c r="C18" s="220"/>
      <c r="D18" s="220">
        <f>D10/(D10+E10)</f>
        <v>0.37072930705909285</v>
      </c>
      <c r="E18" s="220">
        <f>E10/(D10+E10)</f>
        <v>0.6292706929409071</v>
      </c>
      <c r="F18" s="220"/>
      <c r="G18" s="220"/>
    </row>
    <row r="19" spans="2:7" ht="13.5" thickTop="1">
      <c r="B19" s="6"/>
      <c r="C19" s="6"/>
      <c r="D19" s="6"/>
      <c r="E19" s="217"/>
      <c r="F19" s="217"/>
      <c r="G19" s="217"/>
    </row>
    <row r="20" spans="1:7" ht="12.75">
      <c r="A20" s="7" t="s">
        <v>409</v>
      </c>
      <c r="E20" s="217"/>
      <c r="F20" s="217"/>
      <c r="G20" s="217"/>
    </row>
    <row r="21" spans="1:7" ht="12.75">
      <c r="A21" s="217"/>
      <c r="B21" s="217"/>
      <c r="C21" s="221"/>
      <c r="D21" s="221"/>
      <c r="E21" s="221"/>
      <c r="F21" s="221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4" t="s">
        <v>181</v>
      </c>
      <c r="B23" s="18">
        <f>SUM(C23:G23)</f>
        <v>315029381</v>
      </c>
      <c r="C23" s="18">
        <v>136301756</v>
      </c>
      <c r="D23" s="18">
        <v>18602118</v>
      </c>
      <c r="E23" s="18">
        <v>113844557</v>
      </c>
      <c r="F23" s="18">
        <f>41529451+4751499</f>
        <v>46280950</v>
      </c>
      <c r="G23" s="18">
        <v>0</v>
      </c>
    </row>
    <row r="24" spans="2:7" ht="12.75">
      <c r="B24" s="18"/>
      <c r="C24" s="18"/>
      <c r="D24" s="18"/>
      <c r="E24" s="18"/>
      <c r="F24" s="18"/>
      <c r="G24" s="18"/>
    </row>
    <row r="25" spans="1:7" ht="13.5" thickBot="1">
      <c r="A25" s="7" t="s">
        <v>198</v>
      </c>
      <c r="B25" s="222">
        <f aca="true" t="shared" si="1" ref="B25:G25">B23/$B23</f>
        <v>1</v>
      </c>
      <c r="C25" s="222">
        <f>C23/$B23</f>
        <v>0.43266363145982245</v>
      </c>
      <c r="D25" s="222">
        <f>D23/$B23</f>
        <v>0.059048835194200504</v>
      </c>
      <c r="E25" s="222">
        <f t="shared" si="1"/>
        <v>0.36137758528624353</v>
      </c>
      <c r="F25" s="222">
        <f t="shared" si="1"/>
        <v>0.1469099480597335</v>
      </c>
      <c r="G25" s="222">
        <f t="shared" si="1"/>
        <v>0</v>
      </c>
    </row>
    <row r="26" spans="2:6" ht="13.5" thickTop="1">
      <c r="B26" s="18"/>
      <c r="C26" s="18"/>
      <c r="D26" s="18"/>
      <c r="E26" s="18"/>
      <c r="F26" s="18"/>
    </row>
    <row r="27" spans="1:6" ht="12.75">
      <c r="A27" s="7" t="s">
        <v>387</v>
      </c>
      <c r="B27" s="18"/>
      <c r="C27" s="18"/>
      <c r="D27" s="18"/>
      <c r="E27" s="18"/>
      <c r="F27" s="18"/>
    </row>
    <row r="28" spans="2:6" ht="12.75">
      <c r="B28" s="18"/>
      <c r="C28" s="18"/>
      <c r="D28" s="18"/>
      <c r="E28" s="18"/>
      <c r="F28" s="18"/>
    </row>
    <row r="29" spans="2:6" ht="12.75">
      <c r="B29" s="18"/>
      <c r="C29" s="18"/>
      <c r="D29" s="18"/>
      <c r="E29" s="18"/>
      <c r="F29" s="18"/>
    </row>
    <row r="30" spans="1:7" ht="12.75">
      <c r="A30" s="7" t="s">
        <v>199</v>
      </c>
      <c r="B30" s="18">
        <f>SUM(C30:G30)</f>
        <v>92202314</v>
      </c>
      <c r="C30" s="18">
        <v>74067221</v>
      </c>
      <c r="D30" s="18">
        <v>6228512</v>
      </c>
      <c r="E30" s="18">
        <v>11906581</v>
      </c>
      <c r="F30" s="18">
        <v>0</v>
      </c>
      <c r="G30" s="18">
        <v>0</v>
      </c>
    </row>
    <row r="31" spans="2:7" ht="12.75">
      <c r="B31" s="18"/>
      <c r="C31" s="18"/>
      <c r="D31" s="18"/>
      <c r="E31" s="18"/>
      <c r="F31" s="18"/>
      <c r="G31" s="18"/>
    </row>
    <row r="32" spans="1:7" ht="13.5" thickBot="1">
      <c r="A32" s="7" t="s">
        <v>200</v>
      </c>
      <c r="B32" s="222">
        <f aca="true" t="shared" si="2" ref="B32:G32">B30/$B30</f>
        <v>1</v>
      </c>
      <c r="C32" s="222">
        <f t="shared" si="2"/>
        <v>0.8033119537542193</v>
      </c>
      <c r="D32" s="222">
        <f t="shared" si="2"/>
        <v>0.0675526646760731</v>
      </c>
      <c r="E32" s="222">
        <f t="shared" si="2"/>
        <v>0.12913538156970766</v>
      </c>
      <c r="F32" s="222">
        <f t="shared" si="2"/>
        <v>0</v>
      </c>
      <c r="G32" s="222">
        <f t="shared" si="2"/>
        <v>0</v>
      </c>
    </row>
    <row r="33" spans="2:6" ht="13.5" thickTop="1">
      <c r="B33" s="18"/>
      <c r="C33" s="18"/>
      <c r="D33" s="18"/>
      <c r="E33" s="18"/>
      <c r="F33" s="18"/>
    </row>
    <row r="34" spans="1:6" ht="12.75">
      <c r="A34" s="7" t="s">
        <v>408</v>
      </c>
      <c r="B34" s="18"/>
      <c r="C34" s="18"/>
      <c r="D34" s="18"/>
      <c r="E34" s="18"/>
      <c r="F34" s="18"/>
    </row>
    <row r="35" spans="2:6" ht="12.75">
      <c r="B35" s="18"/>
      <c r="C35" s="18"/>
      <c r="D35" s="18"/>
      <c r="E35" s="18"/>
      <c r="F35" s="18"/>
    </row>
    <row r="36" spans="2:6" ht="12.75">
      <c r="B36" s="18"/>
      <c r="C36" s="18"/>
      <c r="D36" s="18"/>
      <c r="E36" s="18"/>
      <c r="F36" s="18"/>
    </row>
    <row r="37" spans="1:7" ht="12.75">
      <c r="A37" s="7" t="s">
        <v>364</v>
      </c>
      <c r="B37" s="23">
        <v>34893391</v>
      </c>
      <c r="C37" s="18">
        <f>B37-D37</f>
        <v>17960247</v>
      </c>
      <c r="D37" s="16">
        <v>16933144</v>
      </c>
      <c r="E37" s="18">
        <v>0</v>
      </c>
      <c r="F37" s="18">
        <v>0</v>
      </c>
      <c r="G37" s="18">
        <v>0</v>
      </c>
    </row>
    <row r="38" spans="2:7" ht="12.75">
      <c r="B38" s="18"/>
      <c r="C38" s="18"/>
      <c r="D38" s="18"/>
      <c r="E38" s="18"/>
      <c r="F38" s="18"/>
      <c r="G38" s="18"/>
    </row>
    <row r="39" spans="1:7" ht="13.5" thickBot="1">
      <c r="A39" s="7" t="s">
        <v>202</v>
      </c>
      <c r="B39" s="222">
        <f aca="true" t="shared" si="3" ref="B39:G39">B37/$B37</f>
        <v>1</v>
      </c>
      <c r="C39" s="222">
        <f t="shared" si="3"/>
        <v>0.5147177297844168</v>
      </c>
      <c r="D39" s="222">
        <f t="shared" si="3"/>
        <v>0.48528227021558323</v>
      </c>
      <c r="E39" s="222">
        <f t="shared" si="3"/>
        <v>0</v>
      </c>
      <c r="F39" s="222">
        <f t="shared" si="3"/>
        <v>0</v>
      </c>
      <c r="G39" s="222">
        <f t="shared" si="3"/>
        <v>0</v>
      </c>
    </row>
    <row r="40" spans="2:6" ht="13.5" thickTop="1">
      <c r="B40" s="18"/>
      <c r="C40" s="18"/>
      <c r="D40" s="18"/>
      <c r="E40" s="18"/>
      <c r="F40" s="18"/>
    </row>
    <row r="41" spans="1:6" ht="12.75">
      <c r="A41" s="7" t="s">
        <v>407</v>
      </c>
      <c r="B41" s="18"/>
      <c r="C41" s="18"/>
      <c r="D41" s="18"/>
      <c r="E41" s="18"/>
      <c r="F41" s="18"/>
    </row>
    <row r="42" spans="2:6" ht="12.75">
      <c r="B42" s="18"/>
      <c r="C42" s="18"/>
      <c r="D42" s="18"/>
      <c r="E42" s="18"/>
      <c r="F42" s="18"/>
    </row>
    <row r="43" spans="2:6" ht="12.75">
      <c r="B43" s="18"/>
      <c r="C43" s="223"/>
      <c r="D43" s="223"/>
      <c r="E43" s="18"/>
      <c r="F43" s="18"/>
    </row>
    <row r="44" spans="1:7" ht="12.75">
      <c r="A44" s="7" t="s">
        <v>74</v>
      </c>
      <c r="B44" s="18">
        <v>856864831</v>
      </c>
      <c r="C44" s="18">
        <f>B44-D44</f>
        <v>775916418.98</v>
      </c>
      <c r="D44" s="18">
        <f>-C67-D67</f>
        <v>80948412.02</v>
      </c>
      <c r="E44" s="18">
        <v>0</v>
      </c>
      <c r="F44" s="18">
        <v>0</v>
      </c>
      <c r="G44" s="18">
        <v>0</v>
      </c>
    </row>
    <row r="45" spans="2:7" ht="12.75">
      <c r="B45" s="18"/>
      <c r="C45" s="18"/>
      <c r="D45" s="18"/>
      <c r="E45" s="18"/>
      <c r="F45" s="18"/>
      <c r="G45" s="18"/>
    </row>
    <row r="46" spans="1:7" ht="13.5" thickBot="1">
      <c r="A46" s="7" t="s">
        <v>75</v>
      </c>
      <c r="B46" s="222">
        <f aca="true" t="shared" si="4" ref="B46:G46">B44/$B44</f>
        <v>1</v>
      </c>
      <c r="C46" s="222">
        <f>C44/$B44</f>
        <v>0.9055295431771548</v>
      </c>
      <c r="D46" s="222">
        <f>D44/$B44</f>
        <v>0.09447045682284513</v>
      </c>
      <c r="E46" s="222">
        <f t="shared" si="4"/>
        <v>0</v>
      </c>
      <c r="F46" s="222">
        <f t="shared" si="4"/>
        <v>0</v>
      </c>
      <c r="G46" s="222">
        <f t="shared" si="4"/>
        <v>0</v>
      </c>
    </row>
    <row r="47" ht="13.5" thickTop="1"/>
    <row r="50" spans="2:5" ht="12.75">
      <c r="B50" s="295" t="s">
        <v>383</v>
      </c>
      <c r="C50" s="295"/>
      <c r="D50" s="295"/>
      <c r="E50" s="295"/>
    </row>
    <row r="51" spans="2:5" ht="12.75">
      <c r="B51" s="295" t="s">
        <v>76</v>
      </c>
      <c r="C51" s="295"/>
      <c r="D51" s="295"/>
      <c r="E51" s="295"/>
    </row>
    <row r="53" spans="2:5" ht="12.75">
      <c r="B53" s="6"/>
      <c r="C53" s="224"/>
      <c r="D53" s="225"/>
      <c r="E53" s="226"/>
    </row>
    <row r="54" spans="3:4" ht="12.75">
      <c r="C54" s="51" t="s">
        <v>335</v>
      </c>
      <c r="D54" s="51" t="s">
        <v>336</v>
      </c>
    </row>
    <row r="55" spans="2:5" ht="12.75">
      <c r="B55" s="227" t="s">
        <v>395</v>
      </c>
      <c r="C55" s="228">
        <v>-6536106.43</v>
      </c>
      <c r="D55" s="228">
        <v>-2180.76</v>
      </c>
      <c r="E55" s="223"/>
    </row>
    <row r="56" spans="2:5" ht="12.75">
      <c r="B56" s="227" t="s">
        <v>396</v>
      </c>
      <c r="C56" s="228">
        <v>-6536106.43</v>
      </c>
      <c r="D56" s="229">
        <v>0</v>
      </c>
      <c r="E56" s="230"/>
    </row>
    <row r="57" spans="2:4" ht="12.75">
      <c r="B57" s="227" t="s">
        <v>397</v>
      </c>
      <c r="C57" s="228">
        <v>-6536106.43</v>
      </c>
      <c r="D57" s="229">
        <v>0</v>
      </c>
    </row>
    <row r="58" spans="2:4" ht="12.75">
      <c r="B58" s="227" t="s">
        <v>398</v>
      </c>
      <c r="C58" s="228">
        <v>-6536106.43</v>
      </c>
      <c r="D58" s="228">
        <v>-13315.2</v>
      </c>
    </row>
    <row r="59" spans="2:4" ht="12.75">
      <c r="B59" s="227" t="s">
        <v>399</v>
      </c>
      <c r="C59" s="228">
        <v>-6536106.43</v>
      </c>
      <c r="D59" s="228">
        <v>0</v>
      </c>
    </row>
    <row r="60" spans="2:4" ht="12.75">
      <c r="B60" s="227" t="s">
        <v>400</v>
      </c>
      <c r="C60" s="228">
        <v>-6888456.43</v>
      </c>
      <c r="D60" s="228">
        <v>0</v>
      </c>
    </row>
    <row r="61" spans="2:4" ht="12.75">
      <c r="B61" s="227" t="s">
        <v>401</v>
      </c>
      <c r="C61" s="228">
        <v>-6888456.43</v>
      </c>
      <c r="D61" s="228">
        <v>-9401.9</v>
      </c>
    </row>
    <row r="62" spans="2:4" ht="12.75">
      <c r="B62" s="227" t="s">
        <v>402</v>
      </c>
      <c r="C62" s="228">
        <v>-6888456.43</v>
      </c>
      <c r="D62" s="228">
        <v>-326438</v>
      </c>
    </row>
    <row r="63" spans="2:4" ht="12.75">
      <c r="B63" s="227" t="s">
        <v>403</v>
      </c>
      <c r="C63" s="228">
        <v>-6888456.43</v>
      </c>
      <c r="D63" s="228">
        <v>-319744</v>
      </c>
    </row>
    <row r="64" spans="2:4" ht="12.75">
      <c r="B64" s="227" t="s">
        <v>404</v>
      </c>
      <c r="C64" s="228">
        <v>-6888456.43</v>
      </c>
      <c r="D64" s="228">
        <v>0</v>
      </c>
    </row>
    <row r="65" spans="2:4" ht="12.75">
      <c r="B65" s="227" t="s">
        <v>405</v>
      </c>
      <c r="C65" s="228">
        <v>-6536106.43</v>
      </c>
      <c r="D65" s="228">
        <v>0</v>
      </c>
    </row>
    <row r="66" spans="2:4" ht="12.75">
      <c r="B66" s="227" t="s">
        <v>406</v>
      </c>
      <c r="C66" s="228">
        <v>-6536106.43</v>
      </c>
      <c r="D66" s="231">
        <v>-82305</v>
      </c>
    </row>
    <row r="67" spans="3:4" ht="13.5" thickBot="1">
      <c r="C67" s="232">
        <f>SUM(C55:C66)</f>
        <v>-80195027.16</v>
      </c>
      <c r="D67" s="232">
        <f>SUM(D55:D66)</f>
        <v>-753384.86</v>
      </c>
    </row>
    <row r="68" ht="13.5" thickTop="1"/>
  </sheetData>
  <mergeCells count="3">
    <mergeCell ref="A1:G1"/>
    <mergeCell ref="B50:E50"/>
    <mergeCell ref="B51:E51"/>
  </mergeCells>
  <printOptions horizontalCentered="1"/>
  <pageMargins left="0.5" right="0.5" top="0.5" bottom="0.65" header="0.4" footer="0.2"/>
  <pageSetup fitToHeight="1" fitToWidth="1" horizontalDpi="600" verticalDpi="600" orientation="landscape" r:id="rId1"/>
  <headerFooter alignWithMargins="0">
    <oddFooter>&amp;LExhibit RMP____(CCP-3)&amp;CTab 3 - Page 20 of 20&amp;R&amp;F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K71"/>
  <sheetViews>
    <sheetView defaultGridColor="0" zoomScale="90" zoomScaleNormal="90" colorId="22" workbookViewId="0" topLeftCell="A1">
      <selection activeCell="A1" sqref="A1:I69"/>
    </sheetView>
  </sheetViews>
  <sheetFormatPr defaultColWidth="12.57421875" defaultRowHeight="12.75"/>
  <cols>
    <col min="1" max="1" width="24.8515625" style="119" bestFit="1" customWidth="1"/>
    <col min="2" max="2" width="20.00390625" style="119" bestFit="1" customWidth="1"/>
    <col min="3" max="3" width="17.00390625" style="119" bestFit="1" customWidth="1"/>
    <col min="4" max="4" width="20.00390625" style="119" customWidth="1"/>
    <col min="5" max="5" width="13.421875" style="119" bestFit="1" customWidth="1"/>
    <col min="6" max="9" width="13.421875" style="119" customWidth="1"/>
    <col min="10" max="10" width="18.28125" style="119" customWidth="1"/>
    <col min="11" max="11" width="10.140625" style="119" customWidth="1"/>
    <col min="12" max="16384" width="12.57421875" style="119" customWidth="1"/>
  </cols>
  <sheetData>
    <row r="1" spans="1:9" ht="12.75">
      <c r="A1" s="117" t="str">
        <f>+'TOTAL FUNCFAC'!$A$1</f>
        <v>PACIFICORP</v>
      </c>
      <c r="B1" s="117"/>
      <c r="C1" s="117"/>
      <c r="D1" s="117"/>
      <c r="E1" s="117"/>
      <c r="F1" s="117"/>
      <c r="G1" s="117"/>
      <c r="H1" s="118"/>
      <c r="I1" s="118"/>
    </row>
    <row r="2" spans="1:9" ht="12.75">
      <c r="A2" s="117" t="str">
        <f>+'TOTAL FUNCFAC'!A2</f>
        <v>12 Months Ended December 2007</v>
      </c>
      <c r="B2" s="117"/>
      <c r="C2" s="117"/>
      <c r="D2" s="117"/>
      <c r="E2" s="117"/>
      <c r="F2" s="117"/>
      <c r="G2" s="117"/>
      <c r="H2" s="118"/>
      <c r="I2" s="118"/>
    </row>
    <row r="3" spans="1:9" ht="12.75">
      <c r="A3" s="117" t="s">
        <v>213</v>
      </c>
      <c r="B3" s="117"/>
      <c r="C3" s="117"/>
      <c r="D3" s="117"/>
      <c r="E3" s="117"/>
      <c r="F3" s="117"/>
      <c r="G3" s="117"/>
      <c r="H3" s="118"/>
      <c r="I3" s="118"/>
    </row>
    <row r="4" ht="12.75">
      <c r="B4" s="117"/>
    </row>
    <row r="5" ht="12.75">
      <c r="B5" s="120" t="s">
        <v>203</v>
      </c>
    </row>
    <row r="6" spans="1:10" ht="12.75">
      <c r="A6" s="121" t="s">
        <v>174</v>
      </c>
      <c r="B6" s="122" t="s">
        <v>151</v>
      </c>
      <c r="C6" s="122" t="s">
        <v>204</v>
      </c>
      <c r="D6" s="122" t="s">
        <v>153</v>
      </c>
      <c r="E6" s="122" t="s">
        <v>219</v>
      </c>
      <c r="F6" s="122" t="s">
        <v>220</v>
      </c>
      <c r="G6" s="122" t="s">
        <v>142</v>
      </c>
      <c r="H6" s="123" t="s">
        <v>145</v>
      </c>
      <c r="I6" s="123" t="s">
        <v>206</v>
      </c>
      <c r="J6" s="54"/>
    </row>
    <row r="7" spans="1:10" ht="12.75">
      <c r="A7" s="124"/>
      <c r="B7" s="125"/>
      <c r="C7" s="125"/>
      <c r="D7" s="125"/>
      <c r="E7" s="125"/>
      <c r="F7" s="125"/>
      <c r="G7" s="125"/>
      <c r="J7" s="55"/>
    </row>
    <row r="8" spans="1:10" ht="12.75">
      <c r="A8" s="124" t="s">
        <v>207</v>
      </c>
      <c r="B8" s="126" t="s">
        <v>162</v>
      </c>
      <c r="C8" s="126" t="s">
        <v>145</v>
      </c>
      <c r="D8" s="127">
        <v>23861</v>
      </c>
      <c r="E8" s="128">
        <f>$D8*VLOOKUP(+$C8,$C$63:$I$69,3)</f>
        <v>0</v>
      </c>
      <c r="F8" s="128">
        <f>$D8*VLOOKUP(+$C8,$C$63:$I$69,4)</f>
        <v>0</v>
      </c>
      <c r="G8" s="128">
        <f>$D8*VLOOKUP(+$C8,$C$63:$I$69,5)</f>
        <v>0</v>
      </c>
      <c r="H8" s="128">
        <f>$D8*VLOOKUP(+$C8,$C$63:$I$69,6)</f>
        <v>23861</v>
      </c>
      <c r="I8" s="128">
        <f>$D8*VLOOKUP(+$C8,$C$63:$I$69,7)</f>
        <v>0</v>
      </c>
      <c r="J8" s="54"/>
    </row>
    <row r="9" spans="1:7" ht="12.75">
      <c r="A9" s="124"/>
      <c r="B9" s="125"/>
      <c r="C9" s="125"/>
      <c r="D9" s="125"/>
      <c r="E9" s="125"/>
      <c r="F9" s="125"/>
      <c r="G9" s="125"/>
    </row>
    <row r="10" spans="1:7" ht="12.75">
      <c r="A10" s="124"/>
      <c r="B10" s="125"/>
      <c r="C10" s="125"/>
      <c r="D10" s="125"/>
      <c r="E10" s="125"/>
      <c r="F10" s="125"/>
      <c r="G10" s="125"/>
    </row>
    <row r="11" spans="1:9" ht="12.75">
      <c r="A11" s="124" t="s">
        <v>208</v>
      </c>
      <c r="B11" s="126" t="s">
        <v>184</v>
      </c>
      <c r="C11" s="126" t="s">
        <v>140</v>
      </c>
      <c r="D11" s="129">
        <v>0</v>
      </c>
      <c r="E11" s="128">
        <f>$D11*VLOOKUP(+$C11,$C$63:$I$69,3)</f>
        <v>0</v>
      </c>
      <c r="F11" s="128">
        <f>$D11*VLOOKUP(+$C11,$C$63:$I$69,4)</f>
        <v>0</v>
      </c>
      <c r="G11" s="128">
        <f>$D11*VLOOKUP(+$C11,$C$63:$I$69,5)</f>
        <v>0</v>
      </c>
      <c r="H11" s="128">
        <f>$D11*VLOOKUP(+$C11,$C$63:$I$69,6)</f>
        <v>0</v>
      </c>
      <c r="I11" s="128">
        <f>$D11*VLOOKUP(+$C11,$C$63:$I$69,7)</f>
        <v>0</v>
      </c>
    </row>
    <row r="12" spans="1:9" ht="12.75">
      <c r="A12" s="124" t="s">
        <v>209</v>
      </c>
      <c r="B12" s="126" t="s">
        <v>184</v>
      </c>
      <c r="C12" s="126" t="s">
        <v>141</v>
      </c>
      <c r="D12" s="130">
        <v>0</v>
      </c>
      <c r="E12" s="131">
        <f>$D12*VLOOKUP(+$C12,$C$63:$I$69,3)</f>
        <v>0</v>
      </c>
      <c r="F12" s="131">
        <f>$D12*VLOOKUP(+$C12,$C$63:$I$69,4)</f>
        <v>0</v>
      </c>
      <c r="G12" s="131">
        <f>$D12*VLOOKUP(+$C12,$C$63:$I$69,5)</f>
        <v>0</v>
      </c>
      <c r="H12" s="131">
        <f>$D12*VLOOKUP(+$C12,$C$63:$I$69,6)</f>
        <v>0</v>
      </c>
      <c r="I12" s="131">
        <f>$D12*VLOOKUP(+$C12,$C$63:$I$69,7)</f>
        <v>0</v>
      </c>
    </row>
    <row r="13" spans="1:9" ht="12.75">
      <c r="A13" s="124" t="s">
        <v>361</v>
      </c>
      <c r="B13" s="126" t="s">
        <v>184</v>
      </c>
      <c r="C13" s="126" t="s">
        <v>142</v>
      </c>
      <c r="D13" s="132">
        <v>0</v>
      </c>
      <c r="E13" s="128">
        <f>$D13*VLOOKUP(+$C13,$C$63:$I$69,3)</f>
        <v>0</v>
      </c>
      <c r="F13" s="128">
        <f>$D13*VLOOKUP(+$C13,$C$63:$I$69,4)</f>
        <v>0</v>
      </c>
      <c r="G13" s="128">
        <f>$D13*VLOOKUP(+$C13,$C$63:$I$69,5)</f>
        <v>0</v>
      </c>
      <c r="H13" s="133">
        <f>$D13*VLOOKUP(+$C13,$C$63:$I$69,6)</f>
        <v>0</v>
      </c>
      <c r="I13" s="133">
        <f>$D13*VLOOKUP(+$C13,$C$63:$I$69,7)</f>
        <v>0</v>
      </c>
    </row>
    <row r="14" spans="1:9" ht="12.75">
      <c r="A14" s="124"/>
      <c r="B14" s="124"/>
      <c r="C14" s="124"/>
      <c r="D14" s="134">
        <f aca="true" t="shared" si="0" ref="D14:I14">SUM(D11:D13)</f>
        <v>0</v>
      </c>
      <c r="E14" s="134">
        <f t="shared" si="0"/>
        <v>0</v>
      </c>
      <c r="F14" s="134">
        <f t="shared" si="0"/>
        <v>0</v>
      </c>
      <c r="G14" s="134">
        <f t="shared" si="0"/>
        <v>0</v>
      </c>
      <c r="H14" s="135">
        <f t="shared" si="0"/>
        <v>0</v>
      </c>
      <c r="I14" s="135">
        <f t="shared" si="0"/>
        <v>0</v>
      </c>
    </row>
    <row r="15" spans="1:7" ht="12.75">
      <c r="A15" s="124"/>
      <c r="B15" s="124"/>
      <c r="C15" s="124"/>
      <c r="D15" s="128"/>
      <c r="E15" s="128"/>
      <c r="F15" s="128"/>
      <c r="G15" s="128"/>
    </row>
    <row r="16" spans="1:9" ht="12.75">
      <c r="A16" s="124"/>
      <c r="B16" s="136" t="s">
        <v>27</v>
      </c>
      <c r="C16" s="137"/>
      <c r="D16" s="138">
        <v>0</v>
      </c>
      <c r="E16" s="139">
        <v>0</v>
      </c>
      <c r="F16" s="139">
        <v>0</v>
      </c>
      <c r="G16" s="139">
        <v>0</v>
      </c>
      <c r="H16" s="139">
        <v>0</v>
      </c>
      <c r="I16" s="140">
        <v>0</v>
      </c>
    </row>
    <row r="17" spans="1:7" ht="12.75">
      <c r="A17" s="124"/>
      <c r="B17" s="124"/>
      <c r="C17" s="124"/>
      <c r="D17" s="128"/>
      <c r="E17" s="128"/>
      <c r="F17" s="128"/>
      <c r="G17" s="128"/>
    </row>
    <row r="18" spans="1:9" ht="12.75">
      <c r="A18" s="124" t="s">
        <v>208</v>
      </c>
      <c r="B18" s="126" t="s">
        <v>185</v>
      </c>
      <c r="C18" s="126" t="s">
        <v>140</v>
      </c>
      <c r="D18" s="129">
        <v>0</v>
      </c>
      <c r="E18" s="128">
        <f>$D18*VLOOKUP(+$C18,$C$63:$I$69,3)</f>
        <v>0</v>
      </c>
      <c r="F18" s="128">
        <f>$D18*VLOOKUP(+$C18,$C$63:$I$69,4)</f>
        <v>0</v>
      </c>
      <c r="G18" s="128">
        <f>$D18*VLOOKUP(+$C18,$C$63:$I$69,5)</f>
        <v>0</v>
      </c>
      <c r="H18" s="128">
        <f>$D18*VLOOKUP(+$C18,$C$63:$I$69,6)</f>
        <v>0</v>
      </c>
      <c r="I18" s="128">
        <f>$D18*VLOOKUP(+$C18,$C$63:$I$69,7)</f>
        <v>0</v>
      </c>
    </row>
    <row r="19" spans="1:9" ht="12.75">
      <c r="A19" s="124" t="s">
        <v>209</v>
      </c>
      <c r="B19" s="126" t="s">
        <v>185</v>
      </c>
      <c r="C19" s="126" t="s">
        <v>141</v>
      </c>
      <c r="D19" s="129">
        <v>0</v>
      </c>
      <c r="E19" s="128">
        <f>$D19*VLOOKUP(+$C19,$C$63:$I$69,3)</f>
        <v>0</v>
      </c>
      <c r="F19" s="128">
        <f>$D19*VLOOKUP(+$C19,$C$63:$I$69,4)</f>
        <v>0</v>
      </c>
      <c r="G19" s="128">
        <f>$D19*VLOOKUP(+$C19,$C$63:$I$69,5)</f>
        <v>0</v>
      </c>
      <c r="H19" s="131">
        <f>$D19*VLOOKUP(+$C19,$C$63:$I$69,6)</f>
        <v>0</v>
      </c>
      <c r="I19" s="131">
        <f>$D19*VLOOKUP(+$C19,$C$63:$I$69,7)</f>
        <v>0</v>
      </c>
    </row>
    <row r="20" spans="1:9" ht="12.75">
      <c r="A20" s="124" t="s">
        <v>209</v>
      </c>
      <c r="B20" s="126" t="s">
        <v>185</v>
      </c>
      <c r="C20" s="126" t="s">
        <v>175</v>
      </c>
      <c r="D20" s="129">
        <v>0</v>
      </c>
      <c r="E20" s="128">
        <f>$D20*VLOOKUP(+$C20,$C$63:$I$69,3)</f>
        <v>0</v>
      </c>
      <c r="F20" s="128">
        <f>$D20*VLOOKUP(+$C20,$C$63:$I$69,4)</f>
        <v>0</v>
      </c>
      <c r="G20" s="128">
        <f>$D20*VLOOKUP(+$C20,$C$63:$I$69,5)</f>
        <v>0</v>
      </c>
      <c r="H20" s="133">
        <f>$D20*VLOOKUP(+$C20,$C$63:$I$69,6)</f>
        <v>0</v>
      </c>
      <c r="I20" s="133">
        <f>$D20*VLOOKUP(+$C20,$C$63:$I$69,7)</f>
        <v>0</v>
      </c>
    </row>
    <row r="21" spans="1:9" ht="12.75">
      <c r="A21" s="124"/>
      <c r="B21" s="124"/>
      <c r="C21" s="124"/>
      <c r="D21" s="134">
        <f aca="true" t="shared" si="1" ref="D21:I21">SUBTOTAL(9,D18:D20)</f>
        <v>0</v>
      </c>
      <c r="E21" s="134">
        <f t="shared" si="1"/>
        <v>0</v>
      </c>
      <c r="F21" s="134">
        <f t="shared" si="1"/>
        <v>0</v>
      </c>
      <c r="G21" s="134">
        <f t="shared" si="1"/>
        <v>0</v>
      </c>
      <c r="H21" s="134">
        <f t="shared" si="1"/>
        <v>0</v>
      </c>
      <c r="I21" s="134">
        <f t="shared" si="1"/>
        <v>0</v>
      </c>
    </row>
    <row r="22" spans="1:7" ht="12.75">
      <c r="A22" s="124"/>
      <c r="B22" s="124"/>
      <c r="C22" s="124"/>
      <c r="D22" s="128"/>
      <c r="E22" s="128"/>
      <c r="F22" s="128"/>
      <c r="G22" s="128"/>
    </row>
    <row r="23" spans="1:9" ht="12.75">
      <c r="A23" s="124"/>
      <c r="B23" s="136" t="s">
        <v>28</v>
      </c>
      <c r="C23" s="137"/>
      <c r="D23" s="138">
        <v>0</v>
      </c>
      <c r="E23" s="139">
        <v>0</v>
      </c>
      <c r="F23" s="139">
        <v>0</v>
      </c>
      <c r="G23" s="139">
        <v>0</v>
      </c>
      <c r="H23" s="139">
        <v>0</v>
      </c>
      <c r="I23" s="140">
        <v>0</v>
      </c>
    </row>
    <row r="24" spans="1:7" ht="12.75">
      <c r="A24" s="124"/>
      <c r="B24" s="124"/>
      <c r="C24" s="124"/>
      <c r="D24" s="128"/>
      <c r="E24" s="128"/>
      <c r="F24" s="128"/>
      <c r="G24" s="128"/>
    </row>
    <row r="25" spans="1:9" ht="12.75">
      <c r="A25" s="124" t="s">
        <v>210</v>
      </c>
      <c r="B25" s="126" t="s">
        <v>165</v>
      </c>
      <c r="C25" s="126" t="s">
        <v>140</v>
      </c>
      <c r="D25" s="129">
        <f>115826+400+4502</f>
        <v>120728</v>
      </c>
      <c r="E25" s="128">
        <f>$D25*VLOOKUP(+$C25,$C$63:$I$69,3)</f>
        <v>120728</v>
      </c>
      <c r="F25" s="128">
        <f>$D25*VLOOKUP(+$C25,$C$63:$I$69,4)</f>
        <v>0</v>
      </c>
      <c r="G25" s="128">
        <f>$D25*VLOOKUP(+$C25,$C$63:$I$69,5)</f>
        <v>0</v>
      </c>
      <c r="H25" s="128">
        <f>$D25*VLOOKUP(+$C25,$C$63:$I$69,6)</f>
        <v>0</v>
      </c>
      <c r="I25" s="128">
        <f>$D25*VLOOKUP(+$C25,$C$63:$I$69,7)</f>
        <v>0</v>
      </c>
    </row>
    <row r="26" spans="1:9" ht="12.75">
      <c r="A26" s="124" t="s">
        <v>211</v>
      </c>
      <c r="B26" s="126" t="s">
        <v>165</v>
      </c>
      <c r="C26" s="126" t="s">
        <v>141</v>
      </c>
      <c r="D26" s="129">
        <v>53205</v>
      </c>
      <c r="E26" s="128">
        <f>$D26*VLOOKUP(+$C26,$C$63:$I$69,3)</f>
        <v>0</v>
      </c>
      <c r="F26" s="128">
        <f>$D26*VLOOKUP(+$C26,$C$63:$I$69,4)</f>
        <v>53205</v>
      </c>
      <c r="G26" s="128">
        <f>$D26*VLOOKUP(+$C26,$C$63:$I$69,5)</f>
        <v>0</v>
      </c>
      <c r="H26" s="131">
        <f>$D26*VLOOKUP(+$C26,$C$63:$I$69,6)</f>
        <v>0</v>
      </c>
      <c r="I26" s="131">
        <f>$D26*VLOOKUP(+$C26,$C$63:$I$69,7)</f>
        <v>0</v>
      </c>
    </row>
    <row r="27" spans="1:9" ht="12.75">
      <c r="A27" s="124" t="s">
        <v>211</v>
      </c>
      <c r="B27" s="126" t="s">
        <v>165</v>
      </c>
      <c r="C27" s="126" t="s">
        <v>170</v>
      </c>
      <c r="D27" s="129">
        <v>0</v>
      </c>
      <c r="E27" s="128">
        <f>$D27*VLOOKUP(+$C27,$C$63:$I$69,3)</f>
        <v>0</v>
      </c>
      <c r="F27" s="128">
        <f>$D27*VLOOKUP(+$C27,$C$63:$I$69,4)</f>
        <v>0</v>
      </c>
      <c r="G27" s="128">
        <f>$D27*VLOOKUP(+$C27,$C$63:$I$69,5)</f>
        <v>0</v>
      </c>
      <c r="H27" s="131">
        <f>$D27*VLOOKUP(+$C27,$C$63:$I$69,6)</f>
        <v>0</v>
      </c>
      <c r="I27" s="131">
        <f>$D27*VLOOKUP(+$C27,$C$63:$I$69,7)</f>
        <v>0</v>
      </c>
    </row>
    <row r="28" spans="1:9" ht="12.75">
      <c r="A28" s="124" t="s">
        <v>211</v>
      </c>
      <c r="B28" s="126" t="s">
        <v>165</v>
      </c>
      <c r="C28" s="126" t="s">
        <v>142</v>
      </c>
      <c r="D28" s="129">
        <v>3</v>
      </c>
      <c r="E28" s="128">
        <f>$D28*VLOOKUP(+$C28,$C$63:$I$69,3)</f>
        <v>0</v>
      </c>
      <c r="F28" s="128">
        <f>$D28*VLOOKUP(+$C28,$C$63:$I$69,4)</f>
        <v>0</v>
      </c>
      <c r="G28" s="128">
        <f>$D28*VLOOKUP(+$C28,$C$63:$I$69,5)</f>
        <v>3</v>
      </c>
      <c r="H28" s="131">
        <f>$D28*VLOOKUP(+$C28,$C$63:$I$69,6)</f>
        <v>0</v>
      </c>
      <c r="I28" s="131">
        <f>$D28*VLOOKUP(+$C28,$C$63:$I$69,7)</f>
        <v>0</v>
      </c>
    </row>
    <row r="29" spans="1:9" ht="12.75">
      <c r="A29" s="124" t="s">
        <v>211</v>
      </c>
      <c r="B29" s="126" t="s">
        <v>165</v>
      </c>
      <c r="C29" s="126" t="s">
        <v>175</v>
      </c>
      <c r="D29" s="129">
        <v>1850</v>
      </c>
      <c r="E29" s="128">
        <f>$D29*VLOOKUP(+$C29,$C$63:$I$69,3)</f>
        <v>0</v>
      </c>
      <c r="F29" s="128">
        <f>$D29*VLOOKUP(+$C29,$C$63:$I$69,4)</f>
        <v>685.8492180593217</v>
      </c>
      <c r="G29" s="128">
        <f>$D29*VLOOKUP(+$C29,$C$63:$I$69,5)</f>
        <v>1164.1507819406781</v>
      </c>
      <c r="H29" s="133">
        <f>$D29*VLOOKUP(+$C29,$C$63:$I$69,6)</f>
        <v>0</v>
      </c>
      <c r="I29" s="133">
        <f>$D29*VLOOKUP(+$C29,$C$63:$I$69,7)</f>
        <v>0</v>
      </c>
    </row>
    <row r="30" spans="1:9" ht="12.75">
      <c r="A30" s="124"/>
      <c r="B30" s="124"/>
      <c r="C30" s="124"/>
      <c r="D30" s="134">
        <f aca="true" t="shared" si="2" ref="D30:I30">SUBTOTAL(9,D25:D29)</f>
        <v>175786</v>
      </c>
      <c r="E30" s="134">
        <f t="shared" si="2"/>
        <v>120728</v>
      </c>
      <c r="F30" s="134">
        <f t="shared" si="2"/>
        <v>53890.849218059324</v>
      </c>
      <c r="G30" s="134">
        <f t="shared" si="2"/>
        <v>1167.1507819406781</v>
      </c>
      <c r="H30" s="134">
        <f t="shared" si="2"/>
        <v>0</v>
      </c>
      <c r="I30" s="134">
        <f t="shared" si="2"/>
        <v>0</v>
      </c>
    </row>
    <row r="31" spans="1:9" ht="12.75">
      <c r="A31" s="124"/>
      <c r="B31" s="124"/>
      <c r="C31" s="124"/>
      <c r="D31" s="128"/>
      <c r="E31" s="128"/>
      <c r="F31" s="128"/>
      <c r="G31" s="128"/>
      <c r="H31" s="128"/>
      <c r="I31" s="128"/>
    </row>
    <row r="32" spans="1:9" ht="12.75">
      <c r="A32" s="124"/>
      <c r="B32" s="136" t="s">
        <v>29</v>
      </c>
      <c r="C32" s="137"/>
      <c r="D32" s="138">
        <f aca="true" t="shared" si="3" ref="D32:I32">D30/$D30</f>
        <v>1</v>
      </c>
      <c r="E32" s="139">
        <f t="shared" si="3"/>
        <v>0.686789619196068</v>
      </c>
      <c r="F32" s="139">
        <f t="shared" si="3"/>
        <v>0.30657076910595454</v>
      </c>
      <c r="G32" s="139">
        <f t="shared" si="3"/>
        <v>0.00663961169797753</v>
      </c>
      <c r="H32" s="139">
        <f t="shared" si="3"/>
        <v>0</v>
      </c>
      <c r="I32" s="140">
        <f t="shared" si="3"/>
        <v>0</v>
      </c>
    </row>
    <row r="33" spans="1:7" ht="12.75">
      <c r="A33" s="124"/>
      <c r="B33" s="124"/>
      <c r="C33" s="124"/>
      <c r="D33" s="128"/>
      <c r="E33" s="128"/>
      <c r="F33" s="128"/>
      <c r="G33" s="128"/>
    </row>
    <row r="34" spans="1:9" ht="12.75">
      <c r="A34" s="124" t="s">
        <v>212</v>
      </c>
      <c r="B34" s="126" t="s">
        <v>163</v>
      </c>
      <c r="C34" s="126" t="s">
        <v>140</v>
      </c>
      <c r="D34" s="129">
        <v>1143</v>
      </c>
      <c r="E34" s="128">
        <f>$D34*VLOOKUP(+$C34,$C$63:$I$69,3)</f>
        <v>1143</v>
      </c>
      <c r="F34" s="128">
        <f>$D34*VLOOKUP(+$C34,$C$63:$I$69,4)</f>
        <v>0</v>
      </c>
      <c r="G34" s="128">
        <f>$D34*VLOOKUP(+$C34,$C$63:$I$69,5)</f>
        <v>0</v>
      </c>
      <c r="H34" s="128">
        <f>$D34*VLOOKUP(+$C34,$C$63:$I$69,6)</f>
        <v>0</v>
      </c>
      <c r="I34" s="128">
        <f>$D34*VLOOKUP(+$C34,$C$63:$I$69,7)</f>
        <v>0</v>
      </c>
    </row>
    <row r="35" spans="1:7" ht="12.75">
      <c r="A35" s="124"/>
      <c r="E35" s="128"/>
      <c r="F35" s="128"/>
      <c r="G35" s="128"/>
    </row>
    <row r="36" spans="1:9" ht="12.75">
      <c r="A36" s="124"/>
      <c r="B36" s="136" t="s">
        <v>80</v>
      </c>
      <c r="C36" s="137"/>
      <c r="D36" s="138">
        <f aca="true" t="shared" si="4" ref="D36:I36">D34/$D34</f>
        <v>1</v>
      </c>
      <c r="E36" s="139">
        <f t="shared" si="4"/>
        <v>1</v>
      </c>
      <c r="F36" s="139">
        <f t="shared" si="4"/>
        <v>0</v>
      </c>
      <c r="G36" s="139">
        <f t="shared" si="4"/>
        <v>0</v>
      </c>
      <c r="H36" s="139">
        <f t="shared" si="4"/>
        <v>0</v>
      </c>
      <c r="I36" s="140">
        <f t="shared" si="4"/>
        <v>0</v>
      </c>
    </row>
    <row r="37" spans="1:7" ht="12.75">
      <c r="A37" s="124"/>
      <c r="E37" s="128"/>
      <c r="F37" s="128"/>
      <c r="G37" s="128"/>
    </row>
    <row r="38" spans="1:7" ht="12.75">
      <c r="A38" s="124"/>
      <c r="B38" s="124"/>
      <c r="C38" s="124"/>
      <c r="D38" s="128"/>
      <c r="E38" s="128"/>
      <c r="F38" s="128"/>
      <c r="G38" s="128"/>
    </row>
    <row r="39" spans="1:9" ht="12.75">
      <c r="A39" s="124" t="s">
        <v>213</v>
      </c>
      <c r="B39" s="126" t="s">
        <v>214</v>
      </c>
      <c r="C39" s="126" t="s">
        <v>142</v>
      </c>
      <c r="D39" s="128">
        <v>197422</v>
      </c>
      <c r="E39" s="128">
        <f>$D39*VLOOKUP(+$C39,$C$63:$I$69,3)</f>
        <v>0</v>
      </c>
      <c r="F39" s="128">
        <f>$D39*VLOOKUP(+$C39,$C$63:$I$69,4)</f>
        <v>0</v>
      </c>
      <c r="G39" s="128">
        <f>$D39*VLOOKUP(+$C39,$C$63:$I$69,5)</f>
        <v>197422</v>
      </c>
      <c r="H39" s="128">
        <f>$D39*VLOOKUP(+$C39,$C$63:$I$69,6)</f>
        <v>0</v>
      </c>
      <c r="I39" s="128">
        <f>$D39*VLOOKUP(+$C39,$C$63:$I$69,7)</f>
        <v>0</v>
      </c>
    </row>
    <row r="40" spans="1:9" ht="12.75">
      <c r="A40" s="124" t="s">
        <v>213</v>
      </c>
      <c r="B40" s="126" t="s">
        <v>214</v>
      </c>
      <c r="C40" s="126" t="s">
        <v>194</v>
      </c>
      <c r="D40" s="128">
        <v>0</v>
      </c>
      <c r="E40" s="128">
        <f>$D40*VLOOKUP(+$C40,$C$63:$I$70,3)</f>
        <v>0</v>
      </c>
      <c r="F40" s="128">
        <f>$D40*VLOOKUP(+$C40,$C$63:$I$70,4)</f>
        <v>0</v>
      </c>
      <c r="G40" s="128">
        <f>$D40*VLOOKUP(+$C40,$C$63:$I$70,5)</f>
        <v>0</v>
      </c>
      <c r="H40" s="131">
        <f>$D40*VLOOKUP(+$C40,$C$63:$I$70,6)</f>
        <v>0</v>
      </c>
      <c r="I40" s="131">
        <f>$D40*VLOOKUP(+$C40,$C$63:$I$70,7)</f>
        <v>0</v>
      </c>
    </row>
    <row r="41" spans="1:9" ht="12.75">
      <c r="A41" s="124" t="s">
        <v>213</v>
      </c>
      <c r="B41" s="126" t="s">
        <v>214</v>
      </c>
      <c r="C41" s="126" t="s">
        <v>175</v>
      </c>
      <c r="D41" s="128">
        <v>262990</v>
      </c>
      <c r="E41" s="128">
        <f>$D41*VLOOKUP(+$C41,$C$63:$I$69,3)</f>
        <v>0</v>
      </c>
      <c r="F41" s="128">
        <f>$D41*VLOOKUP(+$C41,$C$63:$I$69,4)</f>
        <v>97498.10046347082</v>
      </c>
      <c r="G41" s="128">
        <f>$D41*VLOOKUP(+$C41,$C$63:$I$69,5)</f>
        <v>165491.89953652915</v>
      </c>
      <c r="H41" s="131">
        <f>$D41*VLOOKUP(+$C41,$C$63:$I$69,6)</f>
        <v>0</v>
      </c>
      <c r="I41" s="131">
        <f>$D41*VLOOKUP(+$C41,$C$63:$I$69,7)</f>
        <v>0</v>
      </c>
    </row>
    <row r="42" spans="1:9" ht="12.75">
      <c r="A42" s="124" t="s">
        <v>213</v>
      </c>
      <c r="B42" s="126" t="s">
        <v>214</v>
      </c>
      <c r="C42" s="126" t="s">
        <v>140</v>
      </c>
      <c r="D42" s="128">
        <v>69</v>
      </c>
      <c r="E42" s="128">
        <f>$D42*VLOOKUP(+$C42,$C$63:$I$69,3)</f>
        <v>69</v>
      </c>
      <c r="F42" s="128">
        <f>$D42*VLOOKUP(+$C42,$C$63:$I$69,4)</f>
        <v>0</v>
      </c>
      <c r="G42" s="128">
        <f>$D42*VLOOKUP(+$C42,$C$63:$I$69,5)</f>
        <v>0</v>
      </c>
      <c r="H42" s="131">
        <f>$D42*VLOOKUP(+$C42,$C$63:$I$69,6)</f>
        <v>0</v>
      </c>
      <c r="I42" s="131">
        <f>$D42*VLOOKUP(+$C42,$C$63:$I$69,7)</f>
        <v>0</v>
      </c>
    </row>
    <row r="43" spans="1:9" ht="12.75">
      <c r="A43" s="124" t="s">
        <v>213</v>
      </c>
      <c r="B43" s="126" t="s">
        <v>214</v>
      </c>
      <c r="C43" s="126" t="s">
        <v>141</v>
      </c>
      <c r="D43" s="128">
        <v>0</v>
      </c>
      <c r="E43" s="128">
        <f>$D43*VLOOKUP(+$C43,$C$63:$I$69,3)</f>
        <v>0</v>
      </c>
      <c r="F43" s="128">
        <f>$D43*VLOOKUP(+$C43,$C$63:$I$69,4)</f>
        <v>0</v>
      </c>
      <c r="G43" s="128">
        <f>$D43*VLOOKUP(+$C43,$C$63:$I$69,5)</f>
        <v>0</v>
      </c>
      <c r="H43" s="133">
        <f>$D43*VLOOKUP(+$C43,$C$63:$I$69,6)</f>
        <v>0</v>
      </c>
      <c r="I43" s="133">
        <f>$D43*VLOOKUP(+$C43,$C$63:$I$69,7)</f>
        <v>0</v>
      </c>
    </row>
    <row r="44" spans="1:9" ht="12.75">
      <c r="A44" s="124"/>
      <c r="B44" s="124"/>
      <c r="C44" s="124"/>
      <c r="D44" s="134">
        <f aca="true" t="shared" si="5" ref="D44:I44">SUBTOTAL(9,D39:D43)</f>
        <v>460481</v>
      </c>
      <c r="E44" s="134">
        <f t="shared" si="5"/>
        <v>69</v>
      </c>
      <c r="F44" s="134">
        <f t="shared" si="5"/>
        <v>97498.10046347082</v>
      </c>
      <c r="G44" s="134">
        <f t="shared" si="5"/>
        <v>362913.89953652915</v>
      </c>
      <c r="H44" s="134">
        <f t="shared" si="5"/>
        <v>0</v>
      </c>
      <c r="I44" s="134">
        <f t="shared" si="5"/>
        <v>0</v>
      </c>
    </row>
    <row r="45" spans="1:9" ht="12.75">
      <c r="A45" s="124"/>
      <c r="B45" s="124"/>
      <c r="C45" s="124"/>
      <c r="D45" s="128"/>
      <c r="E45" s="128"/>
      <c r="F45" s="128"/>
      <c r="G45" s="128"/>
      <c r="H45" s="128"/>
      <c r="I45" s="128"/>
    </row>
    <row r="46" spans="1:9" ht="12.75">
      <c r="A46" s="124"/>
      <c r="B46" s="136" t="s">
        <v>30</v>
      </c>
      <c r="C46" s="137"/>
      <c r="D46" s="138">
        <f aca="true" t="shared" si="6" ref="D46:I46">D44/$D44</f>
        <v>1</v>
      </c>
      <c r="E46" s="138">
        <f t="shared" si="6"/>
        <v>0.0001498433160108669</v>
      </c>
      <c r="F46" s="138">
        <f t="shared" si="6"/>
        <v>0.21173099533633488</v>
      </c>
      <c r="G46" s="138">
        <f t="shared" si="6"/>
        <v>0.7881191613476541</v>
      </c>
      <c r="H46" s="138">
        <f t="shared" si="6"/>
        <v>0</v>
      </c>
      <c r="I46" s="141">
        <f t="shared" si="6"/>
        <v>0</v>
      </c>
    </row>
    <row r="47" spans="1:7" ht="12.75">
      <c r="A47" s="124"/>
      <c r="B47" s="124"/>
      <c r="C47" s="124"/>
      <c r="D47" s="128"/>
      <c r="E47" s="128"/>
      <c r="F47" s="128"/>
      <c r="G47" s="128"/>
    </row>
    <row r="48" spans="1:9" ht="12.75">
      <c r="A48" s="124" t="s">
        <v>213</v>
      </c>
      <c r="B48" s="126" t="s">
        <v>167</v>
      </c>
      <c r="C48" s="126" t="s">
        <v>142</v>
      </c>
      <c r="D48" s="128">
        <v>5907</v>
      </c>
      <c r="E48" s="128">
        <f>$D48*VLOOKUP(+$C48,$C$63:$I$69,3)</f>
        <v>0</v>
      </c>
      <c r="F48" s="128">
        <f>$D48*VLOOKUP(+$C48,$C$63:$I$69,4)</f>
        <v>0</v>
      </c>
      <c r="G48" s="128">
        <f>$D48*VLOOKUP(+$C48,$C$63:$I$69,5)</f>
        <v>5907</v>
      </c>
      <c r="H48" s="131">
        <f>$D48*VLOOKUP(+$C48,$C$63:$I$69,6)</f>
        <v>0</v>
      </c>
      <c r="I48" s="131">
        <f>$D48*VLOOKUP(+$C48,$C$63:$I$69,7)</f>
        <v>0</v>
      </c>
    </row>
    <row r="49" spans="1:9" ht="12.75">
      <c r="A49" s="124" t="s">
        <v>213</v>
      </c>
      <c r="B49" s="126" t="s">
        <v>167</v>
      </c>
      <c r="C49" s="126" t="s">
        <v>140</v>
      </c>
      <c r="D49" s="128">
        <v>265</v>
      </c>
      <c r="E49" s="128">
        <f>$D49*VLOOKUP(+$C49,$C$63:$I$69,3)</f>
        <v>265</v>
      </c>
      <c r="F49" s="128">
        <f>$D49*VLOOKUP(+$C49,$C$63:$I$69,4)</f>
        <v>0</v>
      </c>
      <c r="G49" s="128">
        <f>$D49*VLOOKUP(+$C49,$C$63:$I$69,5)</f>
        <v>0</v>
      </c>
      <c r="H49" s="131">
        <f>$D49*VLOOKUP(+$C49,$C$63:$I$69,6)</f>
        <v>0</v>
      </c>
      <c r="I49" s="131">
        <f>$D49*VLOOKUP(+$C49,$C$63:$I$69,7)</f>
        <v>0</v>
      </c>
    </row>
    <row r="50" spans="1:9" ht="12.75">
      <c r="A50" s="124" t="s">
        <v>213</v>
      </c>
      <c r="B50" s="126" t="s">
        <v>167</v>
      </c>
      <c r="C50" s="126" t="s">
        <v>175</v>
      </c>
      <c r="D50" s="128">
        <v>140</v>
      </c>
      <c r="E50" s="128">
        <f>$D50*VLOOKUP(+$C50,$C$63:$I$69,3)</f>
        <v>0</v>
      </c>
      <c r="F50" s="128">
        <f>$D50*VLOOKUP(+$C50,$C$63:$I$69,4)</f>
        <v>51.902102988273</v>
      </c>
      <c r="G50" s="128">
        <f>$D50*VLOOKUP(+$C50,$C$63:$I$69,5)</f>
        <v>88.097897011727</v>
      </c>
      <c r="H50" s="131">
        <f>$D50*VLOOKUP(+$C50,$C$63:$I$69,6)</f>
        <v>0</v>
      </c>
      <c r="I50" s="131">
        <f>$D50*VLOOKUP(+$C50,$C$63:$I$69,7)</f>
        <v>0</v>
      </c>
    </row>
    <row r="51" spans="1:9" ht="12.75">
      <c r="A51" s="124" t="s">
        <v>213</v>
      </c>
      <c r="B51" s="126" t="s">
        <v>167</v>
      </c>
      <c r="C51" s="126" t="s">
        <v>170</v>
      </c>
      <c r="D51" s="128">
        <f>234855+12623</f>
        <v>247478</v>
      </c>
      <c r="E51" s="128">
        <f>$D51*VLOOKUP(+$C51,$C$63:$I$69,3)</f>
        <v>115332.84142977066</v>
      </c>
      <c r="F51" s="128">
        <f>$D51*VLOOKUP(+$C51,$C$63:$I$69,4)</f>
        <v>48990.08306795506</v>
      </c>
      <c r="G51" s="128">
        <f>$D51*VLOOKUP(+$C51,$C$63:$I$69,5)</f>
        <v>83155.07550227427</v>
      </c>
      <c r="H51" s="133">
        <f>$D51*VLOOKUP(+$C51,$C$63:$I$69,6)</f>
        <v>0</v>
      </c>
      <c r="I51" s="133">
        <f>$D51*VLOOKUP(+$C51,$C$63:$I$69,7)</f>
        <v>0</v>
      </c>
    </row>
    <row r="52" spans="4:9" ht="12.75">
      <c r="D52" s="142">
        <f aca="true" t="shared" si="7" ref="D52:I52">SUBTOTAL(9,D48:D51)</f>
        <v>253790</v>
      </c>
      <c r="E52" s="142">
        <f t="shared" si="7"/>
        <v>115597.84142977066</v>
      </c>
      <c r="F52" s="142">
        <f t="shared" si="7"/>
        <v>49041.985170943335</v>
      </c>
      <c r="G52" s="142">
        <f t="shared" si="7"/>
        <v>89150.173399286</v>
      </c>
      <c r="H52" s="142">
        <f t="shared" si="7"/>
        <v>0</v>
      </c>
      <c r="I52" s="142">
        <f t="shared" si="7"/>
        <v>0</v>
      </c>
    </row>
    <row r="53" spans="1:9" ht="12.75">
      <c r="A53" s="124"/>
      <c r="B53" s="124"/>
      <c r="C53" s="124"/>
      <c r="D53" s="128"/>
      <c r="E53" s="128"/>
      <c r="F53" s="128"/>
      <c r="G53" s="128"/>
      <c r="H53" s="128"/>
      <c r="I53" s="128"/>
    </row>
    <row r="54" spans="1:9" ht="12.75">
      <c r="A54" s="124"/>
      <c r="B54" s="136" t="s">
        <v>215</v>
      </c>
      <c r="C54" s="137"/>
      <c r="D54" s="138">
        <f aca="true" t="shared" si="8" ref="D54:I54">D52/$D52</f>
        <v>1</v>
      </c>
      <c r="E54" s="138">
        <f t="shared" si="8"/>
        <v>0.4554861950028396</v>
      </c>
      <c r="F54" s="138">
        <f t="shared" si="8"/>
        <v>0.19323844584476668</v>
      </c>
      <c r="G54" s="138">
        <f t="shared" si="8"/>
        <v>0.3512753591523937</v>
      </c>
      <c r="H54" s="138">
        <f t="shared" si="8"/>
        <v>0</v>
      </c>
      <c r="I54" s="141">
        <f t="shared" si="8"/>
        <v>0</v>
      </c>
    </row>
    <row r="55" spans="1:7" ht="12.75">
      <c r="A55" s="124"/>
      <c r="B55" s="124"/>
      <c r="C55" s="124"/>
      <c r="D55" s="128"/>
      <c r="E55" s="128"/>
      <c r="F55" s="128"/>
      <c r="G55" s="128"/>
    </row>
    <row r="56" spans="1:11" ht="13.5" thickBot="1">
      <c r="A56" s="124" t="s">
        <v>216</v>
      </c>
      <c r="B56" s="124"/>
      <c r="C56" s="124"/>
      <c r="D56" s="143">
        <f aca="true" t="shared" si="9" ref="D56:I56">SUM(D8,D14,D21,D30,D34,D44,D52)</f>
        <v>915061</v>
      </c>
      <c r="E56" s="143">
        <f>SUM(E8,E14,E21,E30,E34,E44,E52)</f>
        <v>237537.84142977066</v>
      </c>
      <c r="F56" s="143">
        <f t="shared" si="9"/>
        <v>200430.9348524735</v>
      </c>
      <c r="G56" s="143">
        <f t="shared" si="9"/>
        <v>453231.2237177558</v>
      </c>
      <c r="H56" s="143">
        <f t="shared" si="9"/>
        <v>23861</v>
      </c>
      <c r="I56" s="143">
        <f t="shared" si="9"/>
        <v>0</v>
      </c>
      <c r="K56" s="4"/>
    </row>
    <row r="57" spans="4:11" ht="13.5" thickTop="1">
      <c r="D57" s="144"/>
      <c r="K57" s="4"/>
    </row>
    <row r="58" spans="1:9" ht="12.75">
      <c r="A58" s="124"/>
      <c r="B58" s="136" t="s">
        <v>217</v>
      </c>
      <c r="C58" s="137"/>
      <c r="D58" s="145">
        <f>SUM(E58:I58)</f>
        <v>1</v>
      </c>
      <c r="E58" s="146">
        <f>E56/$D56</f>
        <v>0.25958689249106964</v>
      </c>
      <c r="F58" s="146">
        <f>F56/$D56</f>
        <v>0.2190355996512511</v>
      </c>
      <c r="G58" s="146">
        <f>G56/$D56</f>
        <v>0.49530165061974646</v>
      </c>
      <c r="H58" s="146">
        <f>H56/$D56</f>
        <v>0.02607585723793277</v>
      </c>
      <c r="I58" s="147">
        <f>I56/$D56</f>
        <v>0</v>
      </c>
    </row>
    <row r="59" spans="1:9" ht="12.75">
      <c r="A59" s="124"/>
      <c r="B59" s="124"/>
      <c r="C59" s="124"/>
      <c r="D59" s="148"/>
      <c r="E59" s="148"/>
      <c r="F59" s="148"/>
      <c r="G59" s="148"/>
      <c r="H59" s="148"/>
      <c r="I59" s="148"/>
    </row>
    <row r="60" spans="2:4" ht="12.75">
      <c r="B60" s="124" t="s">
        <v>168</v>
      </c>
      <c r="C60" s="124"/>
      <c r="D60" s="26">
        <f>D56</f>
        <v>915061</v>
      </c>
    </row>
    <row r="61" ht="12.75">
      <c r="D61" s="135"/>
    </row>
    <row r="62" ht="12.75">
      <c r="D62" s="135"/>
    </row>
    <row r="63" spans="2:9" ht="12.75">
      <c r="B63" s="124" t="s">
        <v>218</v>
      </c>
      <c r="C63" s="124"/>
      <c r="D63" s="149"/>
      <c r="E63" s="125" t="s">
        <v>219</v>
      </c>
      <c r="F63" s="125" t="s">
        <v>220</v>
      </c>
      <c r="G63" s="150" t="s">
        <v>142</v>
      </c>
      <c r="H63" s="150" t="s">
        <v>145</v>
      </c>
      <c r="I63" s="150" t="s">
        <v>206</v>
      </c>
    </row>
    <row r="64" spans="3:9" ht="12.75">
      <c r="C64" s="119" t="s">
        <v>140</v>
      </c>
      <c r="D64" s="151">
        <f aca="true" t="shared" si="10" ref="D64:D69">SUM(E64:I64)</f>
        <v>1</v>
      </c>
      <c r="E64" s="151">
        <f>'FORM 1'!$C$13</f>
        <v>1</v>
      </c>
      <c r="F64" s="151">
        <f>'FORM 1'!$D$13</f>
        <v>0</v>
      </c>
      <c r="G64" s="151">
        <f>'FORM 1'!$E$13</f>
        <v>0</v>
      </c>
      <c r="H64" s="151">
        <f>'FORM 1'!$F$13</f>
        <v>0</v>
      </c>
      <c r="I64" s="151">
        <f>'FORM 1'!$G$13</f>
        <v>0</v>
      </c>
    </row>
    <row r="65" spans="3:9" ht="12.75">
      <c r="C65" s="119" t="s">
        <v>141</v>
      </c>
      <c r="D65" s="151">
        <f t="shared" si="10"/>
        <v>1</v>
      </c>
      <c r="E65" s="151">
        <f>'FORM 1'!$C$14</f>
        <v>0</v>
      </c>
      <c r="F65" s="151">
        <f>'FORM 1'!$D$14</f>
        <v>1</v>
      </c>
      <c r="G65" s="151">
        <f>'FORM 1'!$E$14</f>
        <v>0</v>
      </c>
      <c r="H65" s="151">
        <f>'FORM 1'!$F$14</f>
        <v>0</v>
      </c>
      <c r="I65" s="151">
        <f>'FORM 1'!$G$14</f>
        <v>0</v>
      </c>
    </row>
    <row r="66" spans="3:9" ht="12.75">
      <c r="C66" s="119" t="s">
        <v>175</v>
      </c>
      <c r="D66" s="151">
        <f t="shared" si="10"/>
        <v>1</v>
      </c>
      <c r="E66" s="151">
        <f>'FORM 1'!$C$18</f>
        <v>0</v>
      </c>
      <c r="F66" s="151">
        <f>'FORM 1'!$D$18</f>
        <v>0.37072930705909285</v>
      </c>
      <c r="G66" s="151">
        <f>'FORM 1'!$E$18</f>
        <v>0.6292706929409071</v>
      </c>
      <c r="H66" s="151">
        <f>'FORM 1'!$F$18</f>
        <v>0</v>
      </c>
      <c r="I66" s="151">
        <f>'FORM 1'!$G$18</f>
        <v>0</v>
      </c>
    </row>
    <row r="67" spans="3:9" ht="12.75">
      <c r="C67" s="119" t="s">
        <v>145</v>
      </c>
      <c r="D67" s="151">
        <f t="shared" si="10"/>
        <v>1</v>
      </c>
      <c r="E67" s="151">
        <v>0</v>
      </c>
      <c r="F67" s="151">
        <v>0</v>
      </c>
      <c r="G67" s="151">
        <v>0</v>
      </c>
      <c r="H67" s="151">
        <v>1</v>
      </c>
      <c r="I67" s="151">
        <v>0</v>
      </c>
    </row>
    <row r="68" spans="3:9" ht="12.75">
      <c r="C68" s="119" t="s">
        <v>142</v>
      </c>
      <c r="D68" s="151">
        <f t="shared" si="10"/>
        <v>1</v>
      </c>
      <c r="E68" s="151">
        <v>0</v>
      </c>
      <c r="F68" s="151">
        <v>0</v>
      </c>
      <c r="G68" s="151">
        <v>1</v>
      </c>
      <c r="H68" s="151">
        <v>0</v>
      </c>
      <c r="I68" s="151">
        <v>0</v>
      </c>
    </row>
    <row r="69" spans="2:9" ht="12.75">
      <c r="B69" s="124"/>
      <c r="C69" s="3" t="s">
        <v>170</v>
      </c>
      <c r="D69" s="151">
        <f t="shared" si="10"/>
        <v>1</v>
      </c>
      <c r="E69" s="151">
        <f>'FORM 1'!$C$16</f>
        <v>0.46603270363333577</v>
      </c>
      <c r="F69" s="151">
        <f>'FORM 1'!$D$16</f>
        <v>0.1979573257742307</v>
      </c>
      <c r="G69" s="151">
        <f>'FORM 1'!$E$16</f>
        <v>0.33600997059243354</v>
      </c>
      <c r="H69" s="151">
        <f>'FORM 1'!$F$16</f>
        <v>0</v>
      </c>
      <c r="I69" s="151">
        <f>'FORM 1'!$G$16</f>
        <v>0</v>
      </c>
    </row>
    <row r="70" spans="3:9" ht="12.75">
      <c r="C70" s="3" t="s">
        <v>194</v>
      </c>
      <c r="D70" s="151">
        <f>SUM(E70:I70)</f>
        <v>1</v>
      </c>
      <c r="E70" s="151">
        <f>+'GROSS PLANT'!E55</f>
        <v>0.4616254339827272</v>
      </c>
      <c r="F70" s="151">
        <f>+'GROSS PLANT'!F55</f>
        <v>0.19317649645797214</v>
      </c>
      <c r="G70" s="151">
        <f>+'GROSS PLANT'!G55</f>
        <v>0.33716033425505554</v>
      </c>
      <c r="H70" s="151">
        <f>+'GROSS PLANT'!H55</f>
        <v>0.008037735304245107</v>
      </c>
      <c r="I70" s="151">
        <f>+'GROSS PLANT'!I55</f>
        <v>0</v>
      </c>
    </row>
    <row r="71" ht="12.75">
      <c r="D71" s="31"/>
    </row>
  </sheetData>
  <printOptions horizontalCentered="1"/>
  <pageMargins left="0.5" right="0.5" top="0.5" bottom="0.65" header="0.4" footer="0.2"/>
  <pageSetup fitToHeight="1" fitToWidth="1" horizontalDpi="600" verticalDpi="600" orientation="landscape" scale="59" r:id="rId1"/>
  <headerFooter alignWithMargins="0">
    <oddFooter>&amp;LExhibit RMP_____(CCP-3)&amp;CTab 3 - Page 3 of 20&amp;R&amp;F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J68"/>
  <sheetViews>
    <sheetView defaultGridColor="0" zoomScale="90" zoomScaleNormal="90" colorId="22" workbookViewId="0" topLeftCell="A1">
      <selection activeCell="A1" sqref="A1:I64"/>
    </sheetView>
  </sheetViews>
  <sheetFormatPr defaultColWidth="12.57421875" defaultRowHeight="12.75"/>
  <cols>
    <col min="1" max="1" width="26.7109375" style="156" customWidth="1"/>
    <col min="2" max="2" width="10.00390625" style="156" customWidth="1"/>
    <col min="3" max="3" width="8.7109375" style="156" customWidth="1"/>
    <col min="4" max="9" width="15.7109375" style="156" customWidth="1"/>
    <col min="10" max="10" width="12.57421875" style="156" customWidth="1"/>
    <col min="11" max="11" width="15.421875" style="156" customWidth="1"/>
    <col min="12" max="16384" width="12.57421875" style="156" customWidth="1"/>
  </cols>
  <sheetData>
    <row r="1" spans="1:9" ht="12.75">
      <c r="A1" s="117" t="str">
        <f>+'TOTAL FUNCFAC'!$A$1</f>
        <v>PACIFICORP</v>
      </c>
      <c r="B1" s="183"/>
      <c r="C1" s="183"/>
      <c r="D1" s="183"/>
      <c r="E1" s="183"/>
      <c r="F1" s="183"/>
      <c r="G1" s="183"/>
      <c r="H1" s="184"/>
      <c r="I1" s="184"/>
    </row>
    <row r="2" spans="1:9" ht="12.75">
      <c r="A2" s="183" t="str">
        <f>+'TOTAL FUNCFAC'!$A$2</f>
        <v>12 Months Ended December 2007</v>
      </c>
      <c r="B2" s="183"/>
      <c r="C2" s="183"/>
      <c r="D2" s="183"/>
      <c r="E2" s="183"/>
      <c r="F2" s="183"/>
      <c r="G2" s="183"/>
      <c r="H2" s="184"/>
      <c r="I2" s="184"/>
    </row>
    <row r="3" spans="1:9" ht="12.75">
      <c r="A3" s="183" t="s">
        <v>338</v>
      </c>
      <c r="B3" s="183"/>
      <c r="C3" s="183"/>
      <c r="D3" s="183"/>
      <c r="E3" s="183"/>
      <c r="F3" s="183"/>
      <c r="G3" s="183"/>
      <c r="H3" s="184"/>
      <c r="I3" s="184"/>
    </row>
    <row r="4" spans="1:9" ht="12.75">
      <c r="A4" s="174" t="s">
        <v>370</v>
      </c>
      <c r="B4" s="183"/>
      <c r="C4" s="183"/>
      <c r="D4" s="183"/>
      <c r="E4" s="183"/>
      <c r="F4" s="183"/>
      <c r="G4" s="183"/>
      <c r="H4" s="184"/>
      <c r="I4" s="184"/>
    </row>
    <row r="5" spans="1:4" ht="12.75">
      <c r="A5" s="54"/>
      <c r="B5" s="2"/>
      <c r="D5" s="185"/>
    </row>
    <row r="6" ht="12.75">
      <c r="B6" s="186" t="s">
        <v>203</v>
      </c>
    </row>
    <row r="7" spans="1:10" ht="12.75">
      <c r="A7" s="187" t="s">
        <v>174</v>
      </c>
      <c r="B7" s="188" t="s">
        <v>151</v>
      </c>
      <c r="C7" s="188" t="s">
        <v>204</v>
      </c>
      <c r="D7" s="188" t="s">
        <v>153</v>
      </c>
      <c r="E7" s="188" t="s">
        <v>136</v>
      </c>
      <c r="F7" s="188" t="s">
        <v>205</v>
      </c>
      <c r="G7" s="188" t="s">
        <v>142</v>
      </c>
      <c r="H7" s="189" t="s">
        <v>197</v>
      </c>
      <c r="I7" s="189" t="s">
        <v>206</v>
      </c>
      <c r="J7" s="54"/>
    </row>
    <row r="8" spans="1:10" ht="12.75">
      <c r="A8" s="190"/>
      <c r="B8" s="191"/>
      <c r="C8" s="191"/>
      <c r="D8" s="191"/>
      <c r="E8" s="191"/>
      <c r="F8" s="191"/>
      <c r="G8" s="191"/>
      <c r="H8" s="192"/>
      <c r="I8" s="193"/>
      <c r="J8" s="55"/>
    </row>
    <row r="9" spans="1:10" ht="12.75">
      <c r="A9" s="190" t="s">
        <v>221</v>
      </c>
      <c r="B9" s="191"/>
      <c r="C9" s="194" t="s">
        <v>140</v>
      </c>
      <c r="D9" s="127">
        <v>6774281.873</v>
      </c>
      <c r="E9" s="195">
        <f>$D9*VLOOKUP(+$C9,$C$58:$I$64,3)</f>
        <v>6774281.873</v>
      </c>
      <c r="F9" s="195">
        <f>$D9*VLOOKUP(+$C9,$C$58:$I$64,4)</f>
        <v>0</v>
      </c>
      <c r="G9" s="195">
        <f>$D9*VLOOKUP(+$C9,$C$58:$I$64,5)</f>
        <v>0</v>
      </c>
      <c r="H9" s="195">
        <f>$D9*VLOOKUP(+$C9,$C$58:$I$64,6)</f>
        <v>0</v>
      </c>
      <c r="I9" s="195">
        <f>$D9*VLOOKUP(+$C9,$C$58:$I$64,7)</f>
        <v>0</v>
      </c>
      <c r="J9" s="196"/>
    </row>
    <row r="10" spans="1:10" ht="12.75">
      <c r="A10" s="190" t="s">
        <v>222</v>
      </c>
      <c r="B10" s="191"/>
      <c r="C10" s="194" t="s">
        <v>141</v>
      </c>
      <c r="D10" s="127">
        <v>2877520.64</v>
      </c>
      <c r="E10" s="195">
        <f>$D10*VLOOKUP(+$C10,$C$58:$I$64,3)</f>
        <v>0</v>
      </c>
      <c r="F10" s="195">
        <f>$D10*VLOOKUP(+$C10,$C$58:$I$64,4)</f>
        <v>2877520.64</v>
      </c>
      <c r="G10" s="195">
        <f>$D10*VLOOKUP(+$C10,$C$58:$I$64,5)</f>
        <v>0</v>
      </c>
      <c r="H10" s="195">
        <f>$D10*VLOOKUP(+$C10,$C$58:$I$64,6)</f>
        <v>0</v>
      </c>
      <c r="I10" s="195">
        <f>$D10*VLOOKUP(+$C10,$C$58:$I$64,7)</f>
        <v>0</v>
      </c>
      <c r="J10" s="196"/>
    </row>
    <row r="11" spans="1:9" ht="12.75">
      <c r="A11" s="190" t="s">
        <v>223</v>
      </c>
      <c r="B11" s="191"/>
      <c r="C11" s="194" t="s">
        <v>142</v>
      </c>
      <c r="D11" s="127">
        <v>4884262.918</v>
      </c>
      <c r="E11" s="195">
        <f>$D11*VLOOKUP(+$C11,$C$58:$I$64,3)</f>
        <v>0</v>
      </c>
      <c r="F11" s="195">
        <f>$D11*VLOOKUP(+$C11,$C$58:$I$64,4)</f>
        <v>0</v>
      </c>
      <c r="G11" s="195">
        <f>$D11*VLOOKUP(+$C11,$C$58:$I$64,5)</f>
        <v>4884262.918</v>
      </c>
      <c r="H11" s="195">
        <f>$D11*VLOOKUP(+$C11,$C$58:$I$64,6)</f>
        <v>0</v>
      </c>
      <c r="I11" s="195">
        <f>$D11*VLOOKUP(+$C11,$C$58:$I$64,7)</f>
        <v>0</v>
      </c>
    </row>
    <row r="12" spans="1:9" ht="12.75">
      <c r="A12" s="190" t="s">
        <v>224</v>
      </c>
      <c r="B12" s="197" t="s">
        <v>163</v>
      </c>
      <c r="C12" s="194" t="s">
        <v>140</v>
      </c>
      <c r="D12" s="127">
        <v>262931.404</v>
      </c>
      <c r="E12" s="195">
        <f>$D12*VLOOKUP(+$C12,$C$58:$I$64,3)</f>
        <v>262931.404</v>
      </c>
      <c r="F12" s="195">
        <f>$D12*VLOOKUP(+$C12,$C$58:$I$64,4)</f>
        <v>0</v>
      </c>
      <c r="G12" s="195">
        <f>$D12*VLOOKUP(+$C12,$C$58:$I$64,5)</f>
        <v>0</v>
      </c>
      <c r="H12" s="195">
        <f>$D12*VLOOKUP(+$C12,$C$58:$I$64,6)</f>
        <v>0</v>
      </c>
      <c r="I12" s="195">
        <f>$D12*VLOOKUP(+$C12,$C$58:$I$64,7)</f>
        <v>0</v>
      </c>
    </row>
    <row r="13" spans="1:9" ht="12.75">
      <c r="A13" s="197" t="s">
        <v>213</v>
      </c>
      <c r="B13" s="198"/>
      <c r="C13" s="198"/>
      <c r="D13" s="199"/>
      <c r="E13" s="199"/>
      <c r="F13" s="199"/>
      <c r="G13" s="199"/>
      <c r="H13" s="199"/>
      <c r="I13" s="16"/>
    </row>
    <row r="14" spans="1:9" ht="12.75">
      <c r="A14" s="197" t="s">
        <v>207</v>
      </c>
      <c r="B14" s="2" t="s">
        <v>162</v>
      </c>
      <c r="C14" s="2" t="s">
        <v>145</v>
      </c>
      <c r="D14" s="200">
        <f>'GENERAL PLANT'!D8</f>
        <v>23861</v>
      </c>
      <c r="E14" s="195">
        <f aca="true" t="shared" si="0" ref="E14:E33">$D14*VLOOKUP(+$C14,$C$58:$I$64,3)</f>
        <v>0</v>
      </c>
      <c r="F14" s="195">
        <f aca="true" t="shared" si="1" ref="F14:F33">$D14*VLOOKUP(+$C14,$C$58:$I$64,4)</f>
        <v>0</v>
      </c>
      <c r="G14" s="195">
        <f aca="true" t="shared" si="2" ref="G14:G33">$D14*VLOOKUP(+$C14,$C$58:$I$64,5)</f>
        <v>0</v>
      </c>
      <c r="H14" s="195">
        <f aca="true" t="shared" si="3" ref="H14:H33">$D14*VLOOKUP(+$C14,$C$58:$I$64,6)</f>
        <v>23861</v>
      </c>
      <c r="I14" s="195">
        <f aca="true" t="shared" si="4" ref="I14:I33">$D14*VLOOKUP(+$C14,$C$58:$I$64,7)</f>
        <v>0</v>
      </c>
    </row>
    <row r="15" spans="1:9" ht="12.75">
      <c r="A15" s="197" t="s">
        <v>208</v>
      </c>
      <c r="B15" s="197" t="s">
        <v>184</v>
      </c>
      <c r="C15" s="197" t="s">
        <v>140</v>
      </c>
      <c r="D15" s="128">
        <f>'GENERAL PLANT'!D11</f>
        <v>0</v>
      </c>
      <c r="E15" s="195">
        <f t="shared" si="0"/>
        <v>0</v>
      </c>
      <c r="F15" s="195">
        <f t="shared" si="1"/>
        <v>0</v>
      </c>
      <c r="G15" s="195">
        <f t="shared" si="2"/>
        <v>0</v>
      </c>
      <c r="H15" s="195">
        <f t="shared" si="3"/>
        <v>0</v>
      </c>
      <c r="I15" s="201">
        <f t="shared" si="4"/>
        <v>0</v>
      </c>
    </row>
    <row r="16" spans="1:9" ht="12.75">
      <c r="A16" s="197" t="s">
        <v>209</v>
      </c>
      <c r="B16" s="197" t="s">
        <v>184</v>
      </c>
      <c r="C16" s="197" t="s">
        <v>141</v>
      </c>
      <c r="D16" s="128">
        <f>'GENERAL PLANT'!D12</f>
        <v>0</v>
      </c>
      <c r="E16" s="195">
        <f t="shared" si="0"/>
        <v>0</v>
      </c>
      <c r="F16" s="195">
        <f t="shared" si="1"/>
        <v>0</v>
      </c>
      <c r="G16" s="195">
        <f t="shared" si="2"/>
        <v>0</v>
      </c>
      <c r="H16" s="195">
        <f t="shared" si="3"/>
        <v>0</v>
      </c>
      <c r="I16" s="201">
        <f t="shared" si="4"/>
        <v>0</v>
      </c>
    </row>
    <row r="17" spans="1:9" ht="12.75">
      <c r="A17" s="197" t="s">
        <v>208</v>
      </c>
      <c r="B17" s="197" t="s">
        <v>185</v>
      </c>
      <c r="C17" s="197" t="s">
        <v>140</v>
      </c>
      <c r="D17" s="128">
        <f>'GENERAL PLANT'!D18</f>
        <v>0</v>
      </c>
      <c r="E17" s="195">
        <f t="shared" si="0"/>
        <v>0</v>
      </c>
      <c r="F17" s="195">
        <f t="shared" si="1"/>
        <v>0</v>
      </c>
      <c r="G17" s="195">
        <f t="shared" si="2"/>
        <v>0</v>
      </c>
      <c r="H17" s="195">
        <f t="shared" si="3"/>
        <v>0</v>
      </c>
      <c r="I17" s="201">
        <f t="shared" si="4"/>
        <v>0</v>
      </c>
    </row>
    <row r="18" spans="1:9" ht="12.75">
      <c r="A18" s="197" t="s">
        <v>209</v>
      </c>
      <c r="B18" s="197" t="s">
        <v>185</v>
      </c>
      <c r="C18" s="197" t="s">
        <v>141</v>
      </c>
      <c r="D18" s="128">
        <f>'GENERAL PLANT'!D19</f>
        <v>0</v>
      </c>
      <c r="E18" s="195">
        <f t="shared" si="0"/>
        <v>0</v>
      </c>
      <c r="F18" s="195">
        <f t="shared" si="1"/>
        <v>0</v>
      </c>
      <c r="G18" s="195">
        <f t="shared" si="2"/>
        <v>0</v>
      </c>
      <c r="H18" s="195">
        <f t="shared" si="3"/>
        <v>0</v>
      </c>
      <c r="I18" s="201">
        <f t="shared" si="4"/>
        <v>0</v>
      </c>
    </row>
    <row r="19" spans="1:9" ht="12.75">
      <c r="A19" s="197" t="s">
        <v>209</v>
      </c>
      <c r="B19" s="197" t="s">
        <v>185</v>
      </c>
      <c r="C19" s="197" t="s">
        <v>175</v>
      </c>
      <c r="D19" s="128">
        <f>'GENERAL PLANT'!D20</f>
        <v>0</v>
      </c>
      <c r="E19" s="195">
        <f t="shared" si="0"/>
        <v>0</v>
      </c>
      <c r="F19" s="195">
        <f t="shared" si="1"/>
        <v>0</v>
      </c>
      <c r="G19" s="195">
        <f t="shared" si="2"/>
        <v>0</v>
      </c>
      <c r="H19" s="195">
        <f t="shared" si="3"/>
        <v>0</v>
      </c>
      <c r="I19" s="201">
        <f t="shared" si="4"/>
        <v>0</v>
      </c>
    </row>
    <row r="20" spans="1:9" ht="12.75">
      <c r="A20" s="197" t="s">
        <v>210</v>
      </c>
      <c r="B20" s="197" t="s">
        <v>165</v>
      </c>
      <c r="C20" s="197" t="s">
        <v>140</v>
      </c>
      <c r="D20" s="202">
        <f>'GENERAL PLANT'!D25</f>
        <v>120728</v>
      </c>
      <c r="E20" s="195">
        <f t="shared" si="0"/>
        <v>120728</v>
      </c>
      <c r="F20" s="195">
        <f t="shared" si="1"/>
        <v>0</v>
      </c>
      <c r="G20" s="195">
        <f t="shared" si="2"/>
        <v>0</v>
      </c>
      <c r="H20" s="195">
        <f t="shared" si="3"/>
        <v>0</v>
      </c>
      <c r="I20" s="201">
        <f t="shared" si="4"/>
        <v>0</v>
      </c>
    </row>
    <row r="21" spans="1:9" ht="12.75">
      <c r="A21" s="197" t="s">
        <v>211</v>
      </c>
      <c r="B21" s="197" t="s">
        <v>165</v>
      </c>
      <c r="C21" s="197" t="s">
        <v>141</v>
      </c>
      <c r="D21" s="128">
        <f>'GENERAL PLANT'!D26</f>
        <v>53205</v>
      </c>
      <c r="E21" s="195">
        <f t="shared" si="0"/>
        <v>0</v>
      </c>
      <c r="F21" s="195">
        <f t="shared" si="1"/>
        <v>53205</v>
      </c>
      <c r="G21" s="195">
        <f t="shared" si="2"/>
        <v>0</v>
      </c>
      <c r="H21" s="195">
        <f t="shared" si="3"/>
        <v>0</v>
      </c>
      <c r="I21" s="201">
        <f t="shared" si="4"/>
        <v>0</v>
      </c>
    </row>
    <row r="22" spans="1:9" ht="12.75">
      <c r="A22" s="197" t="s">
        <v>211</v>
      </c>
      <c r="B22" s="197" t="s">
        <v>165</v>
      </c>
      <c r="C22" s="197" t="s">
        <v>170</v>
      </c>
      <c r="D22" s="128">
        <f>'GENERAL PLANT'!D27</f>
        <v>0</v>
      </c>
      <c r="E22" s="195">
        <f t="shared" si="0"/>
        <v>0</v>
      </c>
      <c r="F22" s="195">
        <f t="shared" si="1"/>
        <v>0</v>
      </c>
      <c r="G22" s="195">
        <f t="shared" si="2"/>
        <v>0</v>
      </c>
      <c r="H22" s="195">
        <f t="shared" si="3"/>
        <v>0</v>
      </c>
      <c r="I22" s="201">
        <f t="shared" si="4"/>
        <v>0</v>
      </c>
    </row>
    <row r="23" spans="1:9" ht="12.75">
      <c r="A23" s="197" t="s">
        <v>211</v>
      </c>
      <c r="B23" s="197" t="s">
        <v>165</v>
      </c>
      <c r="C23" s="197" t="s">
        <v>142</v>
      </c>
      <c r="D23" s="128">
        <f>'GENERAL PLANT'!D28</f>
        <v>3</v>
      </c>
      <c r="E23" s="195">
        <f t="shared" si="0"/>
        <v>0</v>
      </c>
      <c r="F23" s="195">
        <f t="shared" si="1"/>
        <v>0</v>
      </c>
      <c r="G23" s="195">
        <f t="shared" si="2"/>
        <v>3</v>
      </c>
      <c r="H23" s="195">
        <f t="shared" si="3"/>
        <v>0</v>
      </c>
      <c r="I23" s="201">
        <f t="shared" si="4"/>
        <v>0</v>
      </c>
    </row>
    <row r="24" spans="1:9" ht="12.75">
      <c r="A24" s="197" t="s">
        <v>211</v>
      </c>
      <c r="B24" s="197" t="s">
        <v>165</v>
      </c>
      <c r="C24" s="197" t="s">
        <v>175</v>
      </c>
      <c r="D24" s="128">
        <f>'GENERAL PLANT'!D29</f>
        <v>1850</v>
      </c>
      <c r="E24" s="195">
        <f t="shared" si="0"/>
        <v>0</v>
      </c>
      <c r="F24" s="195">
        <f t="shared" si="1"/>
        <v>685.8492180593217</v>
      </c>
      <c r="G24" s="195">
        <f t="shared" si="2"/>
        <v>1164.1507819406781</v>
      </c>
      <c r="H24" s="195">
        <f t="shared" si="3"/>
        <v>0</v>
      </c>
      <c r="I24" s="201">
        <f t="shared" si="4"/>
        <v>0</v>
      </c>
    </row>
    <row r="25" spans="1:9" ht="12.75">
      <c r="A25" s="197" t="s">
        <v>212</v>
      </c>
      <c r="B25" s="197" t="s">
        <v>163</v>
      </c>
      <c r="C25" s="197" t="s">
        <v>140</v>
      </c>
      <c r="D25" s="128">
        <f>'GENERAL PLANT'!D34</f>
        <v>1143</v>
      </c>
      <c r="E25" s="195">
        <f t="shared" si="0"/>
        <v>1143</v>
      </c>
      <c r="F25" s="195">
        <f t="shared" si="1"/>
        <v>0</v>
      </c>
      <c r="G25" s="195">
        <f t="shared" si="2"/>
        <v>0</v>
      </c>
      <c r="H25" s="195">
        <f t="shared" si="3"/>
        <v>0</v>
      </c>
      <c r="I25" s="201">
        <f t="shared" si="4"/>
        <v>0</v>
      </c>
    </row>
    <row r="26" spans="1:9" ht="12.75">
      <c r="A26" s="197" t="s">
        <v>213</v>
      </c>
      <c r="B26" s="197" t="s">
        <v>214</v>
      </c>
      <c r="C26" s="197" t="s">
        <v>142</v>
      </c>
      <c r="D26" s="128">
        <f>'GENERAL PLANT'!D39</f>
        <v>197422</v>
      </c>
      <c r="E26" s="195">
        <f t="shared" si="0"/>
        <v>0</v>
      </c>
      <c r="F26" s="195">
        <f t="shared" si="1"/>
        <v>0</v>
      </c>
      <c r="G26" s="195">
        <f t="shared" si="2"/>
        <v>197422</v>
      </c>
      <c r="H26" s="195">
        <f t="shared" si="3"/>
        <v>0</v>
      </c>
      <c r="I26" s="201">
        <f t="shared" si="4"/>
        <v>0</v>
      </c>
    </row>
    <row r="27" spans="1:9" ht="12.75">
      <c r="A27" s="197" t="s">
        <v>213</v>
      </c>
      <c r="B27" s="197" t="s">
        <v>214</v>
      </c>
      <c r="C27" s="197" t="s">
        <v>170</v>
      </c>
      <c r="D27" s="128">
        <f>'GENERAL PLANT'!D40</f>
        <v>0</v>
      </c>
      <c r="E27" s="195">
        <f t="shared" si="0"/>
        <v>0</v>
      </c>
      <c r="F27" s="195">
        <f t="shared" si="1"/>
        <v>0</v>
      </c>
      <c r="G27" s="195">
        <f t="shared" si="2"/>
        <v>0</v>
      </c>
      <c r="H27" s="195">
        <f t="shared" si="3"/>
        <v>0</v>
      </c>
      <c r="I27" s="201">
        <f t="shared" si="4"/>
        <v>0</v>
      </c>
    </row>
    <row r="28" spans="1:9" ht="12.75">
      <c r="A28" s="197" t="s">
        <v>213</v>
      </c>
      <c r="B28" s="197" t="s">
        <v>214</v>
      </c>
      <c r="C28" s="197" t="s">
        <v>175</v>
      </c>
      <c r="D28" s="128">
        <f>'GENERAL PLANT'!D41</f>
        <v>262990</v>
      </c>
      <c r="E28" s="195">
        <f t="shared" si="0"/>
        <v>0</v>
      </c>
      <c r="F28" s="195">
        <f t="shared" si="1"/>
        <v>97498.10046347082</v>
      </c>
      <c r="G28" s="195">
        <f t="shared" si="2"/>
        <v>165491.89953652915</v>
      </c>
      <c r="H28" s="195">
        <f t="shared" si="3"/>
        <v>0</v>
      </c>
      <c r="I28" s="201">
        <f t="shared" si="4"/>
        <v>0</v>
      </c>
    </row>
    <row r="29" spans="1:9" ht="12.75">
      <c r="A29" s="197" t="s">
        <v>213</v>
      </c>
      <c r="B29" s="197" t="s">
        <v>214</v>
      </c>
      <c r="C29" s="197" t="s">
        <v>141</v>
      </c>
      <c r="D29" s="128">
        <f>'GENERAL PLANT'!D43</f>
        <v>0</v>
      </c>
      <c r="E29" s="195">
        <f t="shared" si="0"/>
        <v>0</v>
      </c>
      <c r="F29" s="195">
        <f t="shared" si="1"/>
        <v>0</v>
      </c>
      <c r="G29" s="195">
        <f t="shared" si="2"/>
        <v>0</v>
      </c>
      <c r="H29" s="195">
        <f t="shared" si="3"/>
        <v>0</v>
      </c>
      <c r="I29" s="201">
        <f t="shared" si="4"/>
        <v>0</v>
      </c>
    </row>
    <row r="30" spans="1:9" ht="12.75">
      <c r="A30" s="197" t="s">
        <v>213</v>
      </c>
      <c r="B30" s="197" t="s">
        <v>167</v>
      </c>
      <c r="C30" s="197" t="s">
        <v>142</v>
      </c>
      <c r="D30" s="128">
        <f>'GENERAL PLANT'!D48</f>
        <v>5907</v>
      </c>
      <c r="E30" s="195">
        <f t="shared" si="0"/>
        <v>0</v>
      </c>
      <c r="F30" s="195">
        <f t="shared" si="1"/>
        <v>0</v>
      </c>
      <c r="G30" s="195">
        <f t="shared" si="2"/>
        <v>5907</v>
      </c>
      <c r="H30" s="195">
        <f t="shared" si="3"/>
        <v>0</v>
      </c>
      <c r="I30" s="201">
        <f t="shared" si="4"/>
        <v>0</v>
      </c>
    </row>
    <row r="31" spans="1:9" ht="12.75">
      <c r="A31" s="197" t="s">
        <v>213</v>
      </c>
      <c r="B31" s="197" t="s">
        <v>167</v>
      </c>
      <c r="C31" s="197" t="s">
        <v>140</v>
      </c>
      <c r="D31" s="128">
        <f>'GENERAL PLANT'!D49</f>
        <v>265</v>
      </c>
      <c r="E31" s="195">
        <f t="shared" si="0"/>
        <v>265</v>
      </c>
      <c r="F31" s="195">
        <f t="shared" si="1"/>
        <v>0</v>
      </c>
      <c r="G31" s="195">
        <f t="shared" si="2"/>
        <v>0</v>
      </c>
      <c r="H31" s="195">
        <f t="shared" si="3"/>
        <v>0</v>
      </c>
      <c r="I31" s="201">
        <f t="shared" si="4"/>
        <v>0</v>
      </c>
    </row>
    <row r="32" spans="1:9" ht="12.75">
      <c r="A32" s="197" t="s">
        <v>213</v>
      </c>
      <c r="B32" s="197" t="s">
        <v>167</v>
      </c>
      <c r="C32" s="197" t="s">
        <v>175</v>
      </c>
      <c r="D32" s="128">
        <f>'GENERAL PLANT'!D50</f>
        <v>140</v>
      </c>
      <c r="E32" s="195">
        <f t="shared" si="0"/>
        <v>0</v>
      </c>
      <c r="F32" s="195">
        <f t="shared" si="1"/>
        <v>51.902102988273</v>
      </c>
      <c r="G32" s="195">
        <f t="shared" si="2"/>
        <v>88.097897011727</v>
      </c>
      <c r="H32" s="195">
        <f t="shared" si="3"/>
        <v>0</v>
      </c>
      <c r="I32" s="201">
        <f t="shared" si="4"/>
        <v>0</v>
      </c>
    </row>
    <row r="33" spans="1:9" ht="12.75">
      <c r="A33" s="197" t="s">
        <v>213</v>
      </c>
      <c r="B33" s="197" t="s">
        <v>167</v>
      </c>
      <c r="C33" s="197" t="s">
        <v>170</v>
      </c>
      <c r="D33" s="128">
        <f>'GENERAL PLANT'!D51</f>
        <v>247478</v>
      </c>
      <c r="E33" s="195">
        <f t="shared" si="0"/>
        <v>115332.84142977066</v>
      </c>
      <c r="F33" s="195">
        <f t="shared" si="1"/>
        <v>48990.08306795506</v>
      </c>
      <c r="G33" s="195">
        <f t="shared" si="2"/>
        <v>83155.07550227427</v>
      </c>
      <c r="H33" s="195">
        <f t="shared" si="3"/>
        <v>0</v>
      </c>
      <c r="I33" s="203">
        <f t="shared" si="4"/>
        <v>0</v>
      </c>
    </row>
    <row r="34" spans="1:9" ht="12.75">
      <c r="A34" s="197" t="s">
        <v>216</v>
      </c>
      <c r="D34" s="204">
        <f aca="true" t="shared" si="5" ref="D34:I34">SUBTOTAL(9,D14:D33)</f>
        <v>914992</v>
      </c>
      <c r="E34" s="204">
        <f t="shared" si="5"/>
        <v>237468.84142977066</v>
      </c>
      <c r="F34" s="204">
        <f t="shared" si="5"/>
        <v>200430.9348524735</v>
      </c>
      <c r="G34" s="204">
        <f t="shared" si="5"/>
        <v>453231.2237177558</v>
      </c>
      <c r="H34" s="204">
        <f t="shared" si="5"/>
        <v>23861</v>
      </c>
      <c r="I34" s="204">
        <f t="shared" si="5"/>
        <v>0</v>
      </c>
    </row>
    <row r="35" spans="1:8" ht="12.75">
      <c r="A35" s="197"/>
      <c r="B35" s="197"/>
      <c r="C35" s="197"/>
      <c r="D35" s="195"/>
      <c r="E35" s="195"/>
      <c r="F35" s="195"/>
      <c r="G35" s="195"/>
      <c r="H35" s="195"/>
    </row>
    <row r="36" spans="1:8" ht="12.75">
      <c r="A36" s="197" t="s">
        <v>225</v>
      </c>
      <c r="B36" s="197"/>
      <c r="C36" s="197"/>
      <c r="D36" s="195"/>
      <c r="E36" s="195"/>
      <c r="F36" s="195"/>
      <c r="G36" s="195"/>
      <c r="H36" s="195"/>
    </row>
    <row r="37" spans="1:9" ht="12.75">
      <c r="A37" s="190" t="s">
        <v>226</v>
      </c>
      <c r="B37" s="194" t="s">
        <v>162</v>
      </c>
      <c r="C37" s="194" t="s">
        <v>145</v>
      </c>
      <c r="D37" s="127">
        <f>'INTANGIBLE PLANT'!C8</f>
        <v>107448</v>
      </c>
      <c r="E37" s="195">
        <f aca="true" t="shared" si="6" ref="E37:E50">$D37*VLOOKUP(+$C37,$C$58:$I$64,3)</f>
        <v>0</v>
      </c>
      <c r="F37" s="195">
        <f aca="true" t="shared" si="7" ref="F37:F50">$D37*VLOOKUP(+$C37,$C$58:$I$64,4)</f>
        <v>0</v>
      </c>
      <c r="G37" s="195">
        <f aca="true" t="shared" si="8" ref="G37:G50">$D37*VLOOKUP(+$C37,$C$58:$I$64,5)</f>
        <v>0</v>
      </c>
      <c r="H37" s="195">
        <f aca="true" t="shared" si="9" ref="H37:H50">$D37*VLOOKUP(+$C37,$C$58:$I$64,6)</f>
        <v>107448</v>
      </c>
      <c r="I37" s="201">
        <f aca="true" t="shared" si="10" ref="I37:I50">$D37*VLOOKUP(+$C37,$C$58:$I$64,7)</f>
        <v>0</v>
      </c>
    </row>
    <row r="38" spans="1:9" ht="12.75">
      <c r="A38" s="197" t="s">
        <v>227</v>
      </c>
      <c r="B38" s="197" t="s">
        <v>184</v>
      </c>
      <c r="C38" s="197" t="s">
        <v>140</v>
      </c>
      <c r="D38" s="129">
        <f>'INTANGIBLE PLANT'!C10</f>
        <v>1E-05</v>
      </c>
      <c r="E38" s="195">
        <f t="shared" si="6"/>
        <v>1E-05</v>
      </c>
      <c r="F38" s="195">
        <f t="shared" si="7"/>
        <v>0</v>
      </c>
      <c r="G38" s="195">
        <f t="shared" si="8"/>
        <v>0</v>
      </c>
      <c r="H38" s="195">
        <f t="shared" si="9"/>
        <v>0</v>
      </c>
      <c r="I38" s="201">
        <f t="shared" si="10"/>
        <v>0</v>
      </c>
    </row>
    <row r="39" spans="1:9" ht="12.75">
      <c r="A39" s="197" t="s">
        <v>228</v>
      </c>
      <c r="B39" s="197" t="s">
        <v>184</v>
      </c>
      <c r="C39" s="197" t="s">
        <v>141</v>
      </c>
      <c r="D39" s="130">
        <f>'INTANGIBLE PLANT'!C12</f>
        <v>0</v>
      </c>
      <c r="E39" s="195">
        <f t="shared" si="6"/>
        <v>0</v>
      </c>
      <c r="F39" s="195">
        <f t="shared" si="7"/>
        <v>0</v>
      </c>
      <c r="G39" s="195">
        <f t="shared" si="8"/>
        <v>0</v>
      </c>
      <c r="H39" s="195">
        <f t="shared" si="9"/>
        <v>0</v>
      </c>
      <c r="I39" s="201">
        <f t="shared" si="10"/>
        <v>0</v>
      </c>
    </row>
    <row r="40" spans="1:9" ht="12.75">
      <c r="A40" s="197" t="s">
        <v>229</v>
      </c>
      <c r="B40" s="197" t="s">
        <v>185</v>
      </c>
      <c r="C40" s="197" t="s">
        <v>140</v>
      </c>
      <c r="D40" s="129">
        <f>'INTANGIBLE PLANT'!C17</f>
        <v>1E-05</v>
      </c>
      <c r="E40" s="195">
        <f t="shared" si="6"/>
        <v>1E-05</v>
      </c>
      <c r="F40" s="195">
        <f t="shared" si="7"/>
        <v>0</v>
      </c>
      <c r="G40" s="195">
        <f t="shared" si="8"/>
        <v>0</v>
      </c>
      <c r="H40" s="195">
        <f t="shared" si="9"/>
        <v>0</v>
      </c>
      <c r="I40" s="201">
        <f t="shared" si="10"/>
        <v>0</v>
      </c>
    </row>
    <row r="41" spans="1:9" ht="12.75">
      <c r="A41" s="197" t="s">
        <v>230</v>
      </c>
      <c r="B41" s="197" t="s">
        <v>165</v>
      </c>
      <c r="C41" s="197" t="s">
        <v>140</v>
      </c>
      <c r="D41" s="129">
        <f>'INTANGIBLE PLANT'!C23</f>
        <v>124202</v>
      </c>
      <c r="E41" s="195">
        <f t="shared" si="6"/>
        <v>124202</v>
      </c>
      <c r="F41" s="195">
        <f t="shared" si="7"/>
        <v>0</v>
      </c>
      <c r="G41" s="195">
        <f t="shared" si="8"/>
        <v>0</v>
      </c>
      <c r="H41" s="195">
        <f t="shared" si="9"/>
        <v>0</v>
      </c>
      <c r="I41" s="201">
        <f t="shared" si="10"/>
        <v>0</v>
      </c>
    </row>
    <row r="42" spans="1:9" ht="12.75">
      <c r="A42" s="197"/>
      <c r="B42" s="197" t="s">
        <v>165</v>
      </c>
      <c r="C42" s="197" t="s">
        <v>141</v>
      </c>
      <c r="D42" s="129">
        <f>'INTANGIBLE PLANT'!C25</f>
        <v>14848</v>
      </c>
      <c r="E42" s="195">
        <f t="shared" si="6"/>
        <v>0</v>
      </c>
      <c r="F42" s="195">
        <f t="shared" si="7"/>
        <v>14848</v>
      </c>
      <c r="G42" s="195">
        <f t="shared" si="8"/>
        <v>0</v>
      </c>
      <c r="H42" s="195">
        <f t="shared" si="9"/>
        <v>0</v>
      </c>
      <c r="I42" s="201">
        <f t="shared" si="10"/>
        <v>0</v>
      </c>
    </row>
    <row r="43" spans="1:9" ht="12.75">
      <c r="A43" s="197" t="s">
        <v>231</v>
      </c>
      <c r="B43" s="197" t="s">
        <v>165</v>
      </c>
      <c r="C43" s="197" t="s">
        <v>170</v>
      </c>
      <c r="D43" s="129">
        <f>'INTANGIBLE PLANT'!C24</f>
        <v>273</v>
      </c>
      <c r="E43" s="195">
        <f t="shared" si="6"/>
        <v>127.22692809190066</v>
      </c>
      <c r="F43" s="195">
        <f t="shared" si="7"/>
        <v>54.04234993636498</v>
      </c>
      <c r="G43" s="195">
        <f t="shared" si="8"/>
        <v>91.73072197173435</v>
      </c>
      <c r="H43" s="195">
        <f t="shared" si="9"/>
        <v>0</v>
      </c>
      <c r="I43" s="201">
        <f t="shared" si="10"/>
        <v>0</v>
      </c>
    </row>
    <row r="44" spans="1:9" ht="12.75">
      <c r="A44" s="197" t="s">
        <v>212</v>
      </c>
      <c r="B44" s="197" t="s">
        <v>163</v>
      </c>
      <c r="C44" s="197" t="s">
        <v>140</v>
      </c>
      <c r="D44" s="129">
        <f>'INTANGIBLE PLANT'!C31</f>
        <v>2873</v>
      </c>
      <c r="E44" s="195">
        <f t="shared" si="6"/>
        <v>2873</v>
      </c>
      <c r="F44" s="195">
        <f t="shared" si="7"/>
        <v>0</v>
      </c>
      <c r="G44" s="195">
        <f t="shared" si="8"/>
        <v>0</v>
      </c>
      <c r="H44" s="195">
        <f t="shared" si="9"/>
        <v>0</v>
      </c>
      <c r="I44" s="201">
        <f t="shared" si="10"/>
        <v>0</v>
      </c>
    </row>
    <row r="45" spans="1:9" ht="12.75">
      <c r="A45" s="197" t="s">
        <v>232</v>
      </c>
      <c r="B45" s="197" t="s">
        <v>214</v>
      </c>
      <c r="C45" s="197" t="s">
        <v>170</v>
      </c>
      <c r="D45" s="129">
        <f>'INTANGIBLE PLANT'!C35</f>
        <v>0</v>
      </c>
      <c r="E45" s="195">
        <f t="shared" si="6"/>
        <v>0</v>
      </c>
      <c r="F45" s="195">
        <f t="shared" si="7"/>
        <v>0</v>
      </c>
      <c r="G45" s="195">
        <f t="shared" si="8"/>
        <v>0</v>
      </c>
      <c r="H45" s="195">
        <f t="shared" si="9"/>
        <v>0</v>
      </c>
      <c r="I45" s="201">
        <f t="shared" si="10"/>
        <v>0</v>
      </c>
    </row>
    <row r="46" spans="1:9" ht="12.75">
      <c r="A46" s="197" t="s">
        <v>233</v>
      </c>
      <c r="B46" s="197" t="s">
        <v>214</v>
      </c>
      <c r="C46" s="197" t="s">
        <v>175</v>
      </c>
      <c r="D46" s="129">
        <f>'INTANGIBLE PLANT'!C36</f>
        <v>2533</v>
      </c>
      <c r="E46" s="195">
        <f t="shared" si="6"/>
        <v>0</v>
      </c>
      <c r="F46" s="195">
        <f t="shared" si="7"/>
        <v>939.0573347806821</v>
      </c>
      <c r="G46" s="195">
        <f t="shared" si="8"/>
        <v>1593.9426652193176</v>
      </c>
      <c r="H46" s="195">
        <f t="shared" si="9"/>
        <v>0</v>
      </c>
      <c r="I46" s="201">
        <f t="shared" si="10"/>
        <v>0</v>
      </c>
    </row>
    <row r="47" spans="1:9" ht="12.75">
      <c r="A47" s="197" t="s">
        <v>234</v>
      </c>
      <c r="B47" s="197" t="s">
        <v>167</v>
      </c>
      <c r="C47" s="197" t="s">
        <v>170</v>
      </c>
      <c r="D47" s="129">
        <f>'INTANGIBLE PLANT'!C41</f>
        <v>293167</v>
      </c>
      <c r="E47" s="195">
        <f t="shared" si="6"/>
        <v>136625.40962607414</v>
      </c>
      <c r="F47" s="195">
        <f t="shared" si="7"/>
        <v>58034.55532525389</v>
      </c>
      <c r="G47" s="195">
        <f t="shared" si="8"/>
        <v>98507.03504867197</v>
      </c>
      <c r="H47" s="195">
        <f t="shared" si="9"/>
        <v>0</v>
      </c>
      <c r="I47" s="201">
        <f t="shared" si="10"/>
        <v>0</v>
      </c>
    </row>
    <row r="48" spans="1:9" ht="12.75">
      <c r="A48" s="197" t="s">
        <v>234</v>
      </c>
      <c r="B48" s="197" t="s">
        <v>167</v>
      </c>
      <c r="C48" s="197" t="s">
        <v>142</v>
      </c>
      <c r="D48" s="129">
        <f>'INTANGIBLE PLANT'!C42</f>
        <v>63543</v>
      </c>
      <c r="E48" s="195">
        <f t="shared" si="6"/>
        <v>0</v>
      </c>
      <c r="F48" s="195">
        <f t="shared" si="7"/>
        <v>0</v>
      </c>
      <c r="G48" s="195">
        <f t="shared" si="8"/>
        <v>63543</v>
      </c>
      <c r="H48" s="195">
        <f t="shared" si="9"/>
        <v>0</v>
      </c>
      <c r="I48" s="201">
        <f t="shared" si="10"/>
        <v>0</v>
      </c>
    </row>
    <row r="49" spans="1:9" ht="12.75">
      <c r="A49" s="197" t="s">
        <v>234</v>
      </c>
      <c r="B49" s="197" t="s">
        <v>167</v>
      </c>
      <c r="C49" s="197" t="s">
        <v>175</v>
      </c>
      <c r="D49" s="129">
        <f>'INTANGIBLE PLANT'!C43</f>
        <v>10826</v>
      </c>
      <c r="E49" s="195">
        <f t="shared" si="6"/>
        <v>0</v>
      </c>
      <c r="F49" s="195">
        <f t="shared" si="7"/>
        <v>4013.515478221739</v>
      </c>
      <c r="G49" s="195">
        <f t="shared" si="8"/>
        <v>6812.48452177826</v>
      </c>
      <c r="H49" s="195">
        <f t="shared" si="9"/>
        <v>0</v>
      </c>
      <c r="I49" s="201">
        <f t="shared" si="10"/>
        <v>0</v>
      </c>
    </row>
    <row r="50" spans="1:9" ht="12.75">
      <c r="A50" s="197" t="s">
        <v>234</v>
      </c>
      <c r="B50" s="197" t="s">
        <v>167</v>
      </c>
      <c r="C50" s="197" t="s">
        <v>140</v>
      </c>
      <c r="D50" s="129">
        <f>'INTANGIBLE PLANT'!C44</f>
        <v>2865</v>
      </c>
      <c r="E50" s="195">
        <f t="shared" si="6"/>
        <v>2865</v>
      </c>
      <c r="F50" s="195">
        <f t="shared" si="7"/>
        <v>0</v>
      </c>
      <c r="G50" s="195">
        <f t="shared" si="8"/>
        <v>0</v>
      </c>
      <c r="H50" s="195">
        <f t="shared" si="9"/>
        <v>0</v>
      </c>
      <c r="I50" s="201">
        <f t="shared" si="10"/>
        <v>0</v>
      </c>
    </row>
    <row r="51" spans="1:9" ht="12.75">
      <c r="A51" s="197" t="s">
        <v>235</v>
      </c>
      <c r="B51" s="197"/>
      <c r="C51" s="197"/>
      <c r="D51" s="204">
        <f aca="true" t="shared" si="11" ref="D51:I51">SUBTOTAL(9,D37:D50)</f>
        <v>622578.00002</v>
      </c>
      <c r="E51" s="204">
        <f t="shared" si="11"/>
        <v>266692.636574166</v>
      </c>
      <c r="F51" s="204">
        <f t="shared" si="11"/>
        <v>77889.17048819269</v>
      </c>
      <c r="G51" s="204">
        <f t="shared" si="11"/>
        <v>170548.1929576413</v>
      </c>
      <c r="H51" s="204">
        <f t="shared" si="11"/>
        <v>107448</v>
      </c>
      <c r="I51" s="204">
        <f t="shared" si="11"/>
        <v>0</v>
      </c>
    </row>
    <row r="52" spans="1:8" ht="12.75">
      <c r="A52" s="197"/>
      <c r="B52" s="197"/>
      <c r="C52" s="197"/>
      <c r="D52" s="195"/>
      <c r="E52" s="195"/>
      <c r="F52" s="195"/>
      <c r="G52" s="195"/>
      <c r="H52" s="195"/>
    </row>
    <row r="53" spans="1:9" ht="13.5" thickBot="1">
      <c r="A53" s="197" t="s">
        <v>236</v>
      </c>
      <c r="B53" s="197"/>
      <c r="C53" s="197"/>
      <c r="D53" s="205">
        <f aca="true" t="shared" si="12" ref="D53:I53">SUBTOTAL(9,D8:D51)</f>
        <v>16336566.83502</v>
      </c>
      <c r="E53" s="205">
        <f t="shared" si="12"/>
        <v>7541374.755003936</v>
      </c>
      <c r="F53" s="205">
        <f t="shared" si="12"/>
        <v>3155840.7453406663</v>
      </c>
      <c r="G53" s="205">
        <f t="shared" si="12"/>
        <v>5508042.334675398</v>
      </c>
      <c r="H53" s="205">
        <f t="shared" si="12"/>
        <v>131309</v>
      </c>
      <c r="I53" s="205">
        <f t="shared" si="12"/>
        <v>0</v>
      </c>
    </row>
    <row r="54" ht="13.5" thickTop="1">
      <c r="D54" s="206"/>
    </row>
    <row r="55" spans="2:9" ht="12.75">
      <c r="B55" s="207" t="s">
        <v>237</v>
      </c>
      <c r="C55" s="208"/>
      <c r="D55" s="209">
        <f>SUM(E55:I55)</f>
        <v>1</v>
      </c>
      <c r="E55" s="209">
        <f>E53/$D53</f>
        <v>0.4616254339827272</v>
      </c>
      <c r="F55" s="209">
        <f>F53/$D53</f>
        <v>0.19317649645797214</v>
      </c>
      <c r="G55" s="209">
        <f>G53/$D53</f>
        <v>0.33716033425505554</v>
      </c>
      <c r="H55" s="209">
        <f>H53/$D53</f>
        <v>0.008037735304245107</v>
      </c>
      <c r="I55" s="210">
        <f>I53/$D53</f>
        <v>0</v>
      </c>
    </row>
    <row r="56" spans="1:9" ht="12.75">
      <c r="A56" s="197"/>
      <c r="B56" s="197"/>
      <c r="C56" s="197"/>
      <c r="D56" s="211"/>
      <c r="E56" s="212"/>
      <c r="F56" s="212"/>
      <c r="G56" s="212"/>
      <c r="H56" s="212"/>
      <c r="I56" s="212"/>
    </row>
    <row r="57" spans="1:9" ht="12.75">
      <c r="A57" s="31"/>
      <c r="D57" s="212"/>
      <c r="E57" s="212"/>
      <c r="F57" s="212"/>
      <c r="G57" s="212"/>
      <c r="H57" s="212"/>
      <c r="I57" s="212"/>
    </row>
    <row r="58" spans="1:9" ht="12.75">
      <c r="A58" s="31"/>
      <c r="B58" s="197" t="s">
        <v>218</v>
      </c>
      <c r="C58" s="197"/>
      <c r="D58" s="212"/>
      <c r="E58" s="213" t="s">
        <v>219</v>
      </c>
      <c r="F58" s="213" t="s">
        <v>220</v>
      </c>
      <c r="G58" s="214" t="s">
        <v>142</v>
      </c>
      <c r="H58" s="214" t="s">
        <v>145</v>
      </c>
      <c r="I58" s="214" t="s">
        <v>206</v>
      </c>
    </row>
    <row r="59" spans="1:9" ht="12.75">
      <c r="A59" s="31"/>
      <c r="C59" s="156" t="s">
        <v>140</v>
      </c>
      <c r="D59" s="35">
        <f>SUM(E59:F59)</f>
        <v>1</v>
      </c>
      <c r="E59" s="35">
        <f>'FORM 1'!$C$13</f>
        <v>1</v>
      </c>
      <c r="F59" s="35">
        <f>'FORM 1'!$D$13</f>
        <v>0</v>
      </c>
      <c r="G59" s="35">
        <f>'FORM 1'!$E$13</f>
        <v>0</v>
      </c>
      <c r="H59" s="35">
        <f>'FORM 1'!$F$13</f>
        <v>0</v>
      </c>
      <c r="I59" s="35">
        <f>'FORM 1'!$G$13</f>
        <v>0</v>
      </c>
    </row>
    <row r="60" spans="3:9" ht="12.75">
      <c r="C60" s="156" t="s">
        <v>141</v>
      </c>
      <c r="D60" s="35">
        <f>SUM(E60:F60)</f>
        <v>1</v>
      </c>
      <c r="E60" s="35">
        <f>'FORM 1'!$C$14</f>
        <v>0</v>
      </c>
      <c r="F60" s="35">
        <f>'FORM 1'!$D$14</f>
        <v>1</v>
      </c>
      <c r="G60" s="35">
        <f>'FORM 1'!$E$14</f>
        <v>0</v>
      </c>
      <c r="H60" s="35">
        <f>'FORM 1'!$F$14</f>
        <v>0</v>
      </c>
      <c r="I60" s="35">
        <f>'FORM 1'!$G$14</f>
        <v>0</v>
      </c>
    </row>
    <row r="61" spans="3:9" ht="12.75">
      <c r="C61" s="156" t="s">
        <v>175</v>
      </c>
      <c r="D61" s="35">
        <f>SUM(E61:I61)</f>
        <v>1</v>
      </c>
      <c r="E61" s="35">
        <f>'FORM 1'!$C$18</f>
        <v>0</v>
      </c>
      <c r="F61" s="35">
        <f>'FORM 1'!$D$18</f>
        <v>0.37072930705909285</v>
      </c>
      <c r="G61" s="35">
        <f>'FORM 1'!$E$18</f>
        <v>0.6292706929409071</v>
      </c>
      <c r="H61" s="35">
        <f>'FORM 1'!$F$18</f>
        <v>0</v>
      </c>
      <c r="I61" s="35">
        <f>'FORM 1'!$G$18</f>
        <v>0</v>
      </c>
    </row>
    <row r="62" spans="3:9" ht="12.75">
      <c r="C62" s="156" t="s">
        <v>145</v>
      </c>
      <c r="D62" s="35">
        <f>SUM(E62:I62)</f>
        <v>1</v>
      </c>
      <c r="E62" s="35">
        <v>0</v>
      </c>
      <c r="F62" s="35">
        <v>0</v>
      </c>
      <c r="G62" s="35">
        <v>0</v>
      </c>
      <c r="H62" s="35">
        <v>1</v>
      </c>
      <c r="I62" s="35">
        <v>0</v>
      </c>
    </row>
    <row r="63" spans="3:9" ht="12.75">
      <c r="C63" s="156" t="s">
        <v>142</v>
      </c>
      <c r="D63" s="35">
        <f>SUM(E63:I63)</f>
        <v>1</v>
      </c>
      <c r="E63" s="35">
        <v>0</v>
      </c>
      <c r="F63" s="35">
        <v>0</v>
      </c>
      <c r="G63" s="35">
        <v>1</v>
      </c>
      <c r="H63" s="35">
        <v>0</v>
      </c>
      <c r="I63" s="35">
        <v>0</v>
      </c>
    </row>
    <row r="64" spans="2:9" ht="12.75">
      <c r="B64" s="197"/>
      <c r="C64" s="2" t="s">
        <v>170</v>
      </c>
      <c r="D64" s="35">
        <f>SUM(E64:I64)</f>
        <v>1</v>
      </c>
      <c r="E64" s="35">
        <f>'FORM 1'!$C$16</f>
        <v>0.46603270363333577</v>
      </c>
      <c r="F64" s="35">
        <f>'FORM 1'!$D$16</f>
        <v>0.1979573257742307</v>
      </c>
      <c r="G64" s="35">
        <f>'FORM 1'!$E$16</f>
        <v>0.33600997059243354</v>
      </c>
      <c r="H64" s="35">
        <f>'FORM 1'!$F$16</f>
        <v>0</v>
      </c>
      <c r="I64" s="35">
        <f>'FORM 1'!$G$16</f>
        <v>0</v>
      </c>
    </row>
    <row r="65" spans="4:9" ht="12.75">
      <c r="D65" s="212"/>
      <c r="E65" s="212"/>
      <c r="F65" s="212"/>
      <c r="G65" s="212"/>
      <c r="H65" s="212"/>
      <c r="I65" s="212"/>
    </row>
    <row r="66" spans="4:9" ht="12.75">
      <c r="D66" s="212"/>
      <c r="E66" s="212"/>
      <c r="F66" s="212"/>
      <c r="G66" s="212"/>
      <c r="H66" s="212"/>
      <c r="I66" s="212"/>
    </row>
    <row r="67" spans="4:9" ht="12.75">
      <c r="D67" s="212"/>
      <c r="E67" s="212"/>
      <c r="F67" s="212"/>
      <c r="G67" s="212"/>
      <c r="H67" s="212"/>
      <c r="I67" s="212"/>
    </row>
    <row r="68" spans="4:9" ht="12.75">
      <c r="D68" s="212"/>
      <c r="E68" s="212"/>
      <c r="F68" s="212"/>
      <c r="G68" s="212"/>
      <c r="H68" s="212"/>
      <c r="I68" s="212"/>
    </row>
  </sheetData>
  <printOptions horizontalCentered="1"/>
  <pageMargins left="0.5" right="0.5" top="0.5" bottom="0.65" header="0.4" footer="0.2"/>
  <pageSetup fitToHeight="1" fitToWidth="1" horizontalDpi="600" verticalDpi="600" orientation="landscape" scale="64" r:id="rId1"/>
  <headerFooter alignWithMargins="0">
    <oddFooter>&amp;LExhibit RMP_____(CCP-3)&amp;CTab 3 - Page  4 of 20&amp;R&amp;F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H62"/>
  <sheetViews>
    <sheetView defaultGridColor="0" zoomScale="90" zoomScaleNormal="90" colorId="22" workbookViewId="0" topLeftCell="A1">
      <selection activeCell="A1" sqref="A1:H62"/>
    </sheetView>
  </sheetViews>
  <sheetFormatPr defaultColWidth="12.57421875" defaultRowHeight="12.75"/>
  <cols>
    <col min="1" max="1" width="10.00390625" style="159" customWidth="1"/>
    <col min="2" max="2" width="21.00390625" style="153" bestFit="1" customWidth="1"/>
    <col min="3" max="8" width="16.7109375" style="153" customWidth="1"/>
    <col min="9" max="16384" width="12.57421875" style="153" customWidth="1"/>
  </cols>
  <sheetData>
    <row r="1" spans="1:8" ht="12.75">
      <c r="A1" s="157" t="str">
        <f>+'TOTAL FUNCFAC'!$A$1</f>
        <v>PACIFICORP</v>
      </c>
      <c r="B1" s="157"/>
      <c r="C1" s="157"/>
      <c r="D1" s="157"/>
      <c r="E1" s="157"/>
      <c r="F1" s="157"/>
      <c r="G1" s="158"/>
      <c r="H1" s="158"/>
    </row>
    <row r="2" spans="1:8" ht="12.75">
      <c r="A2" s="157" t="str">
        <f>+'TOTAL FUNCFAC'!$A$2</f>
        <v>12 Months Ended December 2007</v>
      </c>
      <c r="B2" s="157"/>
      <c r="C2" s="157"/>
      <c r="D2" s="157"/>
      <c r="E2" s="157"/>
      <c r="F2" s="157"/>
      <c r="G2" s="158"/>
      <c r="H2" s="158"/>
    </row>
    <row r="3" spans="1:8" ht="12.75">
      <c r="A3" s="157" t="s">
        <v>225</v>
      </c>
      <c r="B3" s="157"/>
      <c r="C3" s="157"/>
      <c r="D3" s="157"/>
      <c r="E3" s="157"/>
      <c r="F3" s="157"/>
      <c r="G3" s="158"/>
      <c r="H3" s="158"/>
    </row>
    <row r="4" spans="1:8" ht="12.75">
      <c r="A4" s="174" t="s">
        <v>370</v>
      </c>
      <c r="B4" s="158"/>
      <c r="C4" s="158"/>
      <c r="D4" s="158"/>
      <c r="E4" s="158"/>
      <c r="F4" s="158"/>
      <c r="G4" s="158"/>
      <c r="H4" s="158"/>
    </row>
    <row r="5" ht="12.75">
      <c r="A5" s="159" t="s">
        <v>203</v>
      </c>
    </row>
    <row r="6" spans="1:8" ht="12.75">
      <c r="A6" s="160" t="s">
        <v>151</v>
      </c>
      <c r="B6" s="160" t="s">
        <v>204</v>
      </c>
      <c r="C6" s="160" t="s">
        <v>153</v>
      </c>
      <c r="D6" s="160" t="s">
        <v>136</v>
      </c>
      <c r="E6" s="160" t="s">
        <v>205</v>
      </c>
      <c r="F6" s="160" t="s">
        <v>142</v>
      </c>
      <c r="G6" s="161" t="s">
        <v>238</v>
      </c>
      <c r="H6" s="161" t="s">
        <v>146</v>
      </c>
    </row>
    <row r="7" spans="1:8" ht="12.75">
      <c r="A7" s="162"/>
      <c r="B7" s="162"/>
      <c r="C7" s="162"/>
      <c r="D7" s="162"/>
      <c r="E7" s="162"/>
      <c r="F7" s="162"/>
      <c r="G7" s="163"/>
      <c r="H7" s="163"/>
    </row>
    <row r="8" spans="1:8" ht="12.75">
      <c r="A8" s="162" t="s">
        <v>162</v>
      </c>
      <c r="B8" s="164" t="s">
        <v>145</v>
      </c>
      <c r="C8" s="127">
        <v>107448</v>
      </c>
      <c r="D8" s="26">
        <f>$C8*VLOOKUP(+$B8,$B$56:$H$61,3)</f>
        <v>0</v>
      </c>
      <c r="E8" s="26">
        <f>$C8*VLOOKUP(+$B8,$B$56:$H$61,4)</f>
        <v>0</v>
      </c>
      <c r="F8" s="26">
        <f>$C8*VLOOKUP(+$B8,$B$56:$H$61,5)</f>
        <v>0</v>
      </c>
      <c r="G8" s="129">
        <f>$C8*VLOOKUP(+$B8,$B$56:$H$61,6)</f>
        <v>107448</v>
      </c>
      <c r="H8" s="26">
        <f>$C8*VLOOKUP(+$B8,$B$56:$H$61,7)</f>
        <v>0</v>
      </c>
    </row>
    <row r="10" spans="1:8" ht="12.75">
      <c r="A10" s="165" t="s">
        <v>184</v>
      </c>
      <c r="B10" s="166" t="s">
        <v>140</v>
      </c>
      <c r="C10" s="26">
        <v>1E-05</v>
      </c>
      <c r="D10" s="26">
        <f>$C10*VLOOKUP(+$B10,$B$56:$H$61,3)</f>
        <v>1E-05</v>
      </c>
      <c r="E10" s="26">
        <f>$C10*VLOOKUP(+$B10,$B$56:$H$61,4)</f>
        <v>0</v>
      </c>
      <c r="F10" s="26">
        <f>$C10*VLOOKUP(+$B10,$B$56:$H$61,5)</f>
        <v>0</v>
      </c>
      <c r="G10" s="26">
        <f>$C10*VLOOKUP(+$B10,$B$56:$H$61,6)</f>
        <v>0</v>
      </c>
      <c r="H10" s="26">
        <f>$C10*VLOOKUP(+$B10,$B$56:$H$61,7)</f>
        <v>0</v>
      </c>
    </row>
    <row r="11" spans="1:8" ht="12.75">
      <c r="A11" s="165" t="s">
        <v>184</v>
      </c>
      <c r="B11" s="166" t="s">
        <v>140</v>
      </c>
      <c r="C11" s="26">
        <v>0</v>
      </c>
      <c r="D11" s="26">
        <f>$C11*VLOOKUP(+$B11,$B$56:$H$61,3)</f>
        <v>0</v>
      </c>
      <c r="E11" s="26">
        <f>$C11*VLOOKUP(+$B11,$B$56:$H$61,4)</f>
        <v>0</v>
      </c>
      <c r="F11" s="26">
        <f>$C11*VLOOKUP(+$B11,$B$56:$H$61,5)</f>
        <v>0</v>
      </c>
      <c r="G11" s="26">
        <f>$C11*VLOOKUP(+$B11,$B$56:$H$61,6)</f>
        <v>0</v>
      </c>
      <c r="H11" s="26">
        <f>$C11*VLOOKUP(+$B11,$B$56:$H$61,7)</f>
        <v>0</v>
      </c>
    </row>
    <row r="12" spans="1:8" ht="12.75">
      <c r="A12" s="165" t="s">
        <v>184</v>
      </c>
      <c r="B12" s="166" t="s">
        <v>141</v>
      </c>
      <c r="C12" s="167">
        <v>0</v>
      </c>
      <c r="D12" s="167">
        <f>$C12*VLOOKUP(+$B12,$B$56:$H$61,3)</f>
        <v>0</v>
      </c>
      <c r="E12" s="167">
        <f>$C12*VLOOKUP(+$B12,$B$56:$H$61,4)</f>
        <v>0</v>
      </c>
      <c r="F12" s="167">
        <f>$C12*VLOOKUP(+$B12,$B$56:$H$61,5)</f>
        <v>0</v>
      </c>
      <c r="G12" s="167">
        <f>$C12*VLOOKUP(+$B12,$B$56:$H$61,6)</f>
        <v>0</v>
      </c>
      <c r="H12" s="167">
        <f>$C12*VLOOKUP(+$B12,$B$56:$H$61,7)</f>
        <v>0</v>
      </c>
    </row>
    <row r="13" spans="1:8" ht="12.75">
      <c r="A13" s="165"/>
      <c r="B13" s="166"/>
      <c r="C13" s="168">
        <f aca="true" t="shared" si="0" ref="C13:H13">SUBTOTAL(9,C10:C12)</f>
        <v>1E-05</v>
      </c>
      <c r="D13" s="168">
        <f t="shared" si="0"/>
        <v>1E-05</v>
      </c>
      <c r="E13" s="168">
        <f t="shared" si="0"/>
        <v>0</v>
      </c>
      <c r="F13" s="168">
        <f t="shared" si="0"/>
        <v>0</v>
      </c>
      <c r="G13" s="168">
        <f t="shared" si="0"/>
        <v>0</v>
      </c>
      <c r="H13" s="168">
        <f t="shared" si="0"/>
        <v>0</v>
      </c>
    </row>
    <row r="14" spans="1:7" ht="12.75">
      <c r="A14" s="165"/>
      <c r="B14" s="166"/>
      <c r="C14" s="129"/>
      <c r="D14" s="130"/>
      <c r="E14" s="130"/>
      <c r="F14" s="130"/>
      <c r="G14" s="130"/>
    </row>
    <row r="15" spans="1:8" ht="12.75">
      <c r="A15" s="165"/>
      <c r="B15" s="175" t="s">
        <v>33</v>
      </c>
      <c r="C15" s="138">
        <f aca="true" t="shared" si="1" ref="C15:H15">C13/$C13</f>
        <v>1</v>
      </c>
      <c r="D15" s="139">
        <f t="shared" si="1"/>
        <v>1</v>
      </c>
      <c r="E15" s="139">
        <f t="shared" si="1"/>
        <v>0</v>
      </c>
      <c r="F15" s="139">
        <f t="shared" si="1"/>
        <v>0</v>
      </c>
      <c r="G15" s="139">
        <f t="shared" si="1"/>
        <v>0</v>
      </c>
      <c r="H15" s="140">
        <f t="shared" si="1"/>
        <v>0</v>
      </c>
    </row>
    <row r="16" spans="1:7" ht="12.75">
      <c r="A16" s="165"/>
      <c r="B16" s="166"/>
      <c r="C16" s="129"/>
      <c r="D16" s="129"/>
      <c r="E16" s="129"/>
      <c r="F16" s="129"/>
      <c r="G16" s="129"/>
    </row>
    <row r="17" spans="1:8" ht="12.75">
      <c r="A17" s="165" t="s">
        <v>185</v>
      </c>
      <c r="B17" s="166" t="s">
        <v>140</v>
      </c>
      <c r="C17" s="129">
        <v>1E-05</v>
      </c>
      <c r="D17" s="129">
        <f>$C17*VLOOKUP(+$B17,$B$56:$H$61,3)</f>
        <v>1E-05</v>
      </c>
      <c r="E17" s="129">
        <f>$C17*VLOOKUP(+$B17,$B$56:$H$61,4)</f>
        <v>0</v>
      </c>
      <c r="F17" s="129">
        <f>$C17*VLOOKUP(+$B17,$B$56:$H$61,5)</f>
        <v>0</v>
      </c>
      <c r="G17" s="129">
        <f>$C17*VLOOKUP(+$B17,$B$56:$H$61,6)</f>
        <v>0</v>
      </c>
      <c r="H17" s="132">
        <f>$C17*VLOOKUP(+$B17,$B$56:$H$61,7)</f>
        <v>0</v>
      </c>
    </row>
    <row r="18" spans="1:8" ht="12.75">
      <c r="A18" s="165"/>
      <c r="B18" s="166"/>
      <c r="C18" s="169">
        <f aca="true" t="shared" si="2" ref="C18:H18">SUBTOTAL(9,C17:C17)</f>
        <v>1E-05</v>
      </c>
      <c r="D18" s="169">
        <f t="shared" si="2"/>
        <v>1E-05</v>
      </c>
      <c r="E18" s="169">
        <f t="shared" si="2"/>
        <v>0</v>
      </c>
      <c r="F18" s="169">
        <f t="shared" si="2"/>
        <v>0</v>
      </c>
      <c r="G18" s="169">
        <f t="shared" si="2"/>
        <v>0</v>
      </c>
      <c r="H18" s="169">
        <f t="shared" si="2"/>
        <v>0</v>
      </c>
    </row>
    <row r="19" spans="1:8" ht="12.75">
      <c r="A19" s="165"/>
      <c r="B19" s="166"/>
      <c r="C19" s="171"/>
      <c r="D19" s="176"/>
      <c r="E19" s="176"/>
      <c r="F19" s="176"/>
      <c r="G19" s="130"/>
      <c r="H19" s="130"/>
    </row>
    <row r="20" spans="1:8" ht="12.75">
      <c r="A20" s="165"/>
      <c r="B20" s="175" t="s">
        <v>34</v>
      </c>
      <c r="C20" s="138">
        <f aca="true" t="shared" si="3" ref="C20:H20">C18/$C18</f>
        <v>1</v>
      </c>
      <c r="D20" s="139">
        <f t="shared" si="3"/>
        <v>1</v>
      </c>
      <c r="E20" s="139">
        <f t="shared" si="3"/>
        <v>0</v>
      </c>
      <c r="F20" s="139">
        <f t="shared" si="3"/>
        <v>0</v>
      </c>
      <c r="G20" s="139">
        <f t="shared" si="3"/>
        <v>0</v>
      </c>
      <c r="H20" s="140">
        <f t="shared" si="3"/>
        <v>0</v>
      </c>
    </row>
    <row r="21" spans="1:7" ht="12.75">
      <c r="A21" s="165"/>
      <c r="B21" s="166"/>
      <c r="C21" s="129"/>
      <c r="D21" s="129"/>
      <c r="E21" s="129"/>
      <c r="F21" s="129"/>
      <c r="G21" s="129"/>
    </row>
    <row r="22" spans="1:8" ht="12.75">
      <c r="A22" s="165" t="s">
        <v>165</v>
      </c>
      <c r="B22" s="166" t="s">
        <v>142</v>
      </c>
      <c r="C22" s="26">
        <v>0</v>
      </c>
      <c r="D22" s="26">
        <f>$C22*VLOOKUP(+$B22,$B$56:$H$61,3)</f>
        <v>0</v>
      </c>
      <c r="E22" s="26">
        <f>$C22*VLOOKUP(+$B22,$B$56:$H$61,4)</f>
        <v>0</v>
      </c>
      <c r="F22" s="26">
        <f>$C22*VLOOKUP(+$B22,$B$56:$H$61,5)</f>
        <v>0</v>
      </c>
      <c r="G22" s="26">
        <f>$C22*VLOOKUP(+$B22,$B$56:$H$61,6)</f>
        <v>0</v>
      </c>
      <c r="H22" s="26">
        <f>$C22*VLOOKUP(+$B22,$B$56:$H$61,7)</f>
        <v>0</v>
      </c>
    </row>
    <row r="23" spans="1:8" ht="12.75">
      <c r="A23" s="165" t="s">
        <v>165</v>
      </c>
      <c r="B23" s="166" t="s">
        <v>140</v>
      </c>
      <c r="C23" s="129">
        <f>50467+63623+10112</f>
        <v>124202</v>
      </c>
      <c r="D23" s="129">
        <f>$C23*VLOOKUP(+$B23,$B$56:$H$61,3)</f>
        <v>124202</v>
      </c>
      <c r="E23" s="26">
        <f>$C23*VLOOKUP(+$B23,$B$56:$H$61,4)</f>
        <v>0</v>
      </c>
      <c r="F23" s="26">
        <f>$C23*VLOOKUP(+$B23,$B$56:$H$61,5)</f>
        <v>0</v>
      </c>
      <c r="G23" s="26">
        <f>$C23*VLOOKUP(+$B23,$B$56:$H$61,6)</f>
        <v>0</v>
      </c>
      <c r="H23" s="26">
        <f>$C23*VLOOKUP(+$B23,$B$56:$H$61,7)</f>
        <v>0</v>
      </c>
    </row>
    <row r="24" spans="1:8" ht="12.75">
      <c r="A24" s="165" t="s">
        <v>165</v>
      </c>
      <c r="B24" s="166" t="s">
        <v>170</v>
      </c>
      <c r="C24" s="129">
        <v>273</v>
      </c>
      <c r="D24" s="129">
        <f>$C24*VLOOKUP(+$B24,$B$56:$H$61,3)</f>
        <v>127.22692809190066</v>
      </c>
      <c r="E24" s="129">
        <f>$C24*VLOOKUP(+$B24,$B$56:$H$61,4)</f>
        <v>54.04234993636498</v>
      </c>
      <c r="F24" s="129">
        <f>$C24*VLOOKUP(+$B24,$B$56:$H$61,5)</f>
        <v>91.73072197173435</v>
      </c>
      <c r="G24" s="170">
        <f>$C24*VLOOKUP(+$B24,$B$56:$H$61,6)</f>
        <v>0</v>
      </c>
      <c r="H24" s="170">
        <f>$C24*VLOOKUP(+$B24,$B$56:$H$61,7)</f>
        <v>0</v>
      </c>
    </row>
    <row r="25" spans="1:8" ht="12.75">
      <c r="A25" s="165" t="s">
        <v>165</v>
      </c>
      <c r="B25" s="166" t="s">
        <v>141</v>
      </c>
      <c r="C25" s="129">
        <v>14848</v>
      </c>
      <c r="D25" s="26">
        <f>$C25*VLOOKUP(+$B25,$B$56:$H$61,3)</f>
        <v>0</v>
      </c>
      <c r="E25" s="129">
        <f>$C25*VLOOKUP(+$B25,$B$56:$H$61,4)</f>
        <v>14848</v>
      </c>
      <c r="F25" s="26">
        <f>$C25*VLOOKUP(+$B25,$B$56:$H$61,5)</f>
        <v>0</v>
      </c>
      <c r="G25" s="26">
        <f>$C25*VLOOKUP(+$B25,$B$56:$H$61,6)</f>
        <v>0</v>
      </c>
      <c r="H25" s="26">
        <f>$C25*VLOOKUP(+$B25,$B$56:$H$61,7)</f>
        <v>0</v>
      </c>
    </row>
    <row r="26" spans="1:8" ht="12.75">
      <c r="A26" s="165" t="s">
        <v>165</v>
      </c>
      <c r="B26" s="166" t="s">
        <v>175</v>
      </c>
      <c r="C26" s="26">
        <v>0</v>
      </c>
      <c r="D26" s="26">
        <f>$C26*VLOOKUP(+$B26,$B$56:$H$61,3)</f>
        <v>0</v>
      </c>
      <c r="E26" s="26">
        <f>$C26*VLOOKUP(+$B26,$B$56:$H$61,4)</f>
        <v>0</v>
      </c>
      <c r="F26" s="26">
        <f>$C26*VLOOKUP(+$B26,$B$56:$H$61,5)</f>
        <v>0</v>
      </c>
      <c r="G26" s="26">
        <f>$C26*VLOOKUP(+$B26,$B$56:$H$61,6)</f>
        <v>0</v>
      </c>
      <c r="H26" s="26">
        <f>$C26*VLOOKUP(+$B26,$B$56:$H$61,7)</f>
        <v>0</v>
      </c>
    </row>
    <row r="27" spans="1:8" ht="12.75">
      <c r="A27" s="165"/>
      <c r="B27" s="166"/>
      <c r="C27" s="169">
        <f aca="true" t="shared" si="4" ref="C27:H27">SUBTOTAL(9,C22:C26)</f>
        <v>139323</v>
      </c>
      <c r="D27" s="169">
        <f t="shared" si="4"/>
        <v>124329.2269280919</v>
      </c>
      <c r="E27" s="169">
        <f t="shared" si="4"/>
        <v>14902.042349936364</v>
      </c>
      <c r="F27" s="169">
        <f t="shared" si="4"/>
        <v>91.73072197173435</v>
      </c>
      <c r="G27" s="169">
        <f t="shared" si="4"/>
        <v>0</v>
      </c>
      <c r="H27" s="169">
        <f t="shared" si="4"/>
        <v>0</v>
      </c>
    </row>
    <row r="28" spans="1:7" ht="12.75">
      <c r="A28" s="165"/>
      <c r="B28" s="166"/>
      <c r="C28" s="129"/>
      <c r="D28" s="129"/>
      <c r="E28" s="129"/>
      <c r="F28" s="129"/>
      <c r="G28" s="129"/>
    </row>
    <row r="29" spans="1:8" ht="12.75">
      <c r="A29" s="165"/>
      <c r="B29" s="175" t="s">
        <v>35</v>
      </c>
      <c r="C29" s="138">
        <f aca="true" t="shared" si="5" ref="C29:H29">C27/$C27</f>
        <v>1</v>
      </c>
      <c r="D29" s="139">
        <f t="shared" si="5"/>
        <v>0.8923812071810965</v>
      </c>
      <c r="E29" s="139">
        <f t="shared" si="5"/>
        <v>0.10696038952603923</v>
      </c>
      <c r="F29" s="139">
        <f t="shared" si="5"/>
        <v>0.0006584032928643107</v>
      </c>
      <c r="G29" s="139">
        <f t="shared" si="5"/>
        <v>0</v>
      </c>
      <c r="H29" s="140">
        <f t="shared" si="5"/>
        <v>0</v>
      </c>
    </row>
    <row r="30" spans="1:7" ht="12.75">
      <c r="A30" s="165"/>
      <c r="B30" s="166"/>
      <c r="C30" s="171"/>
      <c r="D30" s="171"/>
      <c r="E30" s="171"/>
      <c r="F30" s="171"/>
      <c r="G30" s="171"/>
    </row>
    <row r="31" spans="1:8" ht="12.75">
      <c r="A31" s="165" t="s">
        <v>163</v>
      </c>
      <c r="B31" s="166" t="s">
        <v>140</v>
      </c>
      <c r="C31" s="26">
        <v>2873</v>
      </c>
      <c r="D31" s="26">
        <f>$C31*VLOOKUP(+$B31,$B$56:$H$61,3)</f>
        <v>2873</v>
      </c>
      <c r="E31" s="26">
        <f>$C31*VLOOKUP(+$B31,$B$56:$H$61,4)</f>
        <v>0</v>
      </c>
      <c r="F31" s="26">
        <f>$C31*VLOOKUP(+$B31,$B$56:$H$61,5)</f>
        <v>0</v>
      </c>
      <c r="G31" s="26">
        <f>$C31*VLOOKUP(+$B31,$B$56:$H$61,6)</f>
        <v>0</v>
      </c>
      <c r="H31" s="26">
        <f>$C31*VLOOKUP(+$B31,$B$56:$H$61,7)</f>
        <v>0</v>
      </c>
    </row>
    <row r="32" spans="1:8" ht="12.75">
      <c r="A32" s="165" t="s">
        <v>163</v>
      </c>
      <c r="B32" s="166" t="s">
        <v>175</v>
      </c>
      <c r="C32" s="167">
        <v>0</v>
      </c>
      <c r="D32" s="167">
        <f>$C32*VLOOKUP(+$B32,$B$56:$H$61,3)</f>
        <v>0</v>
      </c>
      <c r="E32" s="167">
        <f>$C32*VLOOKUP(+$B32,$B$56:$H$61,4)</f>
        <v>0</v>
      </c>
      <c r="F32" s="167">
        <f>$C32*VLOOKUP(+$B32,$B$56:$H$61,5)</f>
        <v>0</v>
      </c>
      <c r="G32" s="167">
        <f>$C32*VLOOKUP(+$B32,$B$56:$H$61,6)</f>
        <v>0</v>
      </c>
      <c r="H32" s="167">
        <f>$C32*VLOOKUP(+$B32,$B$56:$H$61,7)</f>
        <v>0</v>
      </c>
    </row>
    <row r="33" spans="1:8" ht="12.75">
      <c r="A33" s="165"/>
      <c r="B33" s="166"/>
      <c r="C33" s="26">
        <f aca="true" t="shared" si="6" ref="C33:H33">SUM(C31:C32)</f>
        <v>2873</v>
      </c>
      <c r="D33" s="26">
        <f t="shared" si="6"/>
        <v>2873</v>
      </c>
      <c r="E33" s="26">
        <f t="shared" si="6"/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</row>
    <row r="34" spans="1:7" ht="12.75">
      <c r="A34" s="165"/>
      <c r="B34" s="166"/>
      <c r="C34" s="129"/>
      <c r="D34" s="129"/>
      <c r="E34" s="129"/>
      <c r="F34" s="129"/>
      <c r="G34" s="129"/>
    </row>
    <row r="35" spans="1:8" ht="12.75">
      <c r="A35" s="165" t="s">
        <v>214</v>
      </c>
      <c r="B35" s="166" t="s">
        <v>170</v>
      </c>
      <c r="C35" s="16">
        <v>0</v>
      </c>
      <c r="D35" s="26">
        <f>$C35*VLOOKUP(+$B35,$B$56:$H$61,3)</f>
        <v>0</v>
      </c>
      <c r="E35" s="26">
        <f>$C35*VLOOKUP(+$B35,$B$56:$H$61,4)</f>
        <v>0</v>
      </c>
      <c r="F35" s="26">
        <f>$C35*VLOOKUP(+$B35,$B$56:$H$61,5)</f>
        <v>0</v>
      </c>
      <c r="G35" s="26">
        <f>$C35*VLOOKUP(+$B35,$B$56:$H$61,6)</f>
        <v>0</v>
      </c>
      <c r="H35" s="26">
        <f>$C35*VLOOKUP(+$B35,$B$56:$H$61,7)</f>
        <v>0</v>
      </c>
    </row>
    <row r="36" spans="1:8" ht="12.75">
      <c r="A36" s="165" t="s">
        <v>214</v>
      </c>
      <c r="B36" s="166" t="s">
        <v>175</v>
      </c>
      <c r="C36" s="26">
        <v>2533</v>
      </c>
      <c r="D36" s="26">
        <f>$C36*VLOOKUP(+$B36,$B$56:$H$61,3)</f>
        <v>0</v>
      </c>
      <c r="E36" s="26">
        <f>$C36*VLOOKUP(+$B36,$B$56:$H$61,4)</f>
        <v>939.0573347806821</v>
      </c>
      <c r="F36" s="26">
        <f>$C36*VLOOKUP(+$B36,$B$56:$H$61,5)</f>
        <v>1593.9426652193176</v>
      </c>
      <c r="G36" s="26">
        <f>$C36*VLOOKUP(+$B36,$B$56:$H$61,6)</f>
        <v>0</v>
      </c>
      <c r="H36" s="26">
        <f>$C36*VLOOKUP(+$B36,$B$56:$H$61,7)</f>
        <v>0</v>
      </c>
    </row>
    <row r="37" spans="1:8" ht="12.75">
      <c r="A37" s="165"/>
      <c r="B37" s="166"/>
      <c r="C37" s="172">
        <f aca="true" t="shared" si="7" ref="C37:H37">SUBTOTAL(9,C35:C36)</f>
        <v>2533</v>
      </c>
      <c r="D37" s="172">
        <f t="shared" si="7"/>
        <v>0</v>
      </c>
      <c r="E37" s="172">
        <f t="shared" si="7"/>
        <v>939.0573347806821</v>
      </c>
      <c r="F37" s="172">
        <f t="shared" si="7"/>
        <v>1593.9426652193176</v>
      </c>
      <c r="G37" s="172">
        <f t="shared" si="7"/>
        <v>0</v>
      </c>
      <c r="H37" s="172">
        <f t="shared" si="7"/>
        <v>0</v>
      </c>
    </row>
    <row r="38" spans="1:8" ht="12.75">
      <c r="A38" s="165"/>
      <c r="B38" s="166"/>
      <c r="C38" s="129"/>
      <c r="D38" s="129"/>
      <c r="E38" s="129"/>
      <c r="F38" s="129"/>
      <c r="G38" s="129"/>
      <c r="H38" s="129"/>
    </row>
    <row r="39" spans="1:8" ht="12.75">
      <c r="A39" s="165"/>
      <c r="B39" s="175" t="s">
        <v>36</v>
      </c>
      <c r="C39" s="138">
        <f aca="true" t="shared" si="8" ref="C39:H39">C37/$C37</f>
        <v>1</v>
      </c>
      <c r="D39" s="139">
        <f t="shared" si="8"/>
        <v>0</v>
      </c>
      <c r="E39" s="139">
        <f t="shared" si="8"/>
        <v>0.37072930705909285</v>
      </c>
      <c r="F39" s="139">
        <f t="shared" si="8"/>
        <v>0.6292706929409071</v>
      </c>
      <c r="G39" s="139">
        <f t="shared" si="8"/>
        <v>0</v>
      </c>
      <c r="H39" s="140">
        <f t="shared" si="8"/>
        <v>0</v>
      </c>
    </row>
    <row r="40" spans="1:7" ht="12.75">
      <c r="A40" s="165"/>
      <c r="B40" s="166"/>
      <c r="C40" s="129"/>
      <c r="D40" s="129"/>
      <c r="E40" s="129"/>
      <c r="F40" s="129"/>
      <c r="G40" s="129"/>
    </row>
    <row r="41" spans="1:8" ht="12.75">
      <c r="A41" s="165" t="s">
        <v>167</v>
      </c>
      <c r="B41" s="166" t="s">
        <v>170</v>
      </c>
      <c r="C41" s="129">
        <v>293167</v>
      </c>
      <c r="D41" s="129">
        <f>$C41*VLOOKUP(+$B41,$B$56:$H$61,3)</f>
        <v>136625.40962607414</v>
      </c>
      <c r="E41" s="129">
        <f>$C41*VLOOKUP(+$B41,$B$56:$H$61,4)</f>
        <v>58034.55532525389</v>
      </c>
      <c r="F41" s="129">
        <f>$C41*VLOOKUP(+$B41,$B$56:$H$61,5)</f>
        <v>98507.03504867197</v>
      </c>
      <c r="G41" s="26">
        <f>$C41*VLOOKUP(+$B41,$B$56:$H$61,6)</f>
        <v>0</v>
      </c>
      <c r="H41" s="26">
        <f>$C41*VLOOKUP(+$B41,$B$56:$H$61,7)</f>
        <v>0</v>
      </c>
    </row>
    <row r="42" spans="1:8" ht="12.75">
      <c r="A42" s="165" t="s">
        <v>167</v>
      </c>
      <c r="B42" s="166" t="s">
        <v>194</v>
      </c>
      <c r="C42" s="129">
        <v>63543</v>
      </c>
      <c r="D42" s="129">
        <f>$C42*VLOOKUP(+$B42,$B$56:$H$62,3)</f>
        <v>29333.064951564436</v>
      </c>
      <c r="E42" s="129">
        <f>$C42*VLOOKUP(+$B42,$B$56:$H$62,4)</f>
        <v>12275.014114428923</v>
      </c>
      <c r="F42" s="129">
        <f>$C42*VLOOKUP(+$B42,$B$56:$H$62,5)</f>
        <v>21424.179119568995</v>
      </c>
      <c r="G42" s="129">
        <f>$C42*VLOOKUP(+$B42,$B$56:$H$62,6)</f>
        <v>510.74181443764684</v>
      </c>
      <c r="H42" s="26">
        <f>$C42*VLOOKUP(+$B42,$B$56:$H$62,7)</f>
        <v>0</v>
      </c>
    </row>
    <row r="43" spans="1:8" ht="12.75">
      <c r="A43" s="165" t="s">
        <v>167</v>
      </c>
      <c r="B43" s="166" t="s">
        <v>175</v>
      </c>
      <c r="C43" s="129">
        <v>10826</v>
      </c>
      <c r="D43" s="26">
        <f>$C43*VLOOKUP(+$B43,$B$56:$H$61,3)</f>
        <v>0</v>
      </c>
      <c r="E43" s="129">
        <f>$C43*VLOOKUP(+$B43,$B$56:$H$61,4)</f>
        <v>4013.515478221739</v>
      </c>
      <c r="F43" s="129">
        <f>$C43*VLOOKUP(+$B43,$B$56:$H$61,5)</f>
        <v>6812.48452177826</v>
      </c>
      <c r="G43" s="26">
        <f>$C43*VLOOKUP(+$B43,$B$56:$H$61,6)</f>
        <v>0</v>
      </c>
      <c r="H43" s="26">
        <f>$C43*VLOOKUP(+$B43,$B$56:$H$61,7)</f>
        <v>0</v>
      </c>
    </row>
    <row r="44" spans="1:8" ht="12.75">
      <c r="A44" s="165" t="s">
        <v>167</v>
      </c>
      <c r="B44" s="166" t="s">
        <v>140</v>
      </c>
      <c r="C44" s="129">
        <v>2865</v>
      </c>
      <c r="D44" s="129">
        <f>$C44*VLOOKUP(+$B44,$B$56:$H$61,3)</f>
        <v>2865</v>
      </c>
      <c r="E44" s="26">
        <f>$C44*VLOOKUP(+$B44,$B$56:$H$61,4)</f>
        <v>0</v>
      </c>
      <c r="F44" s="26">
        <f>$C44*VLOOKUP(+$B44,$B$56:$H$61,5)</f>
        <v>0</v>
      </c>
      <c r="G44" s="26">
        <f>$C44*VLOOKUP(+$B44,$B$56:$H$61,6)</f>
        <v>0</v>
      </c>
      <c r="H44" s="26">
        <f>$C44*VLOOKUP(+$B44,$B$56:$H$61,7)</f>
        <v>0</v>
      </c>
    </row>
    <row r="45" spans="1:8" ht="12.75">
      <c r="A45" s="165" t="s">
        <v>167</v>
      </c>
      <c r="B45" s="166" t="s">
        <v>142</v>
      </c>
      <c r="C45" s="129">
        <v>12633</v>
      </c>
      <c r="D45" s="26">
        <f>$C45*VLOOKUP(+$B45,$B$56:$H$61,3)</f>
        <v>0</v>
      </c>
      <c r="E45" s="26">
        <f>$C45*VLOOKUP(+$B45,$B$56:$H$61,4)</f>
        <v>0</v>
      </c>
      <c r="F45" s="129">
        <f>$C45*VLOOKUP(+$B45,$B$56:$H$61,5)</f>
        <v>12633</v>
      </c>
      <c r="G45" s="26">
        <f>$C45*VLOOKUP(+$B45,$B$56:$H$61,6)</f>
        <v>0</v>
      </c>
      <c r="H45" s="26">
        <f>$C45*VLOOKUP(+$B45,$B$56:$H$61,7)</f>
        <v>0</v>
      </c>
    </row>
    <row r="46" spans="1:8" ht="12.75">
      <c r="A46" s="165" t="s">
        <v>167</v>
      </c>
      <c r="B46" s="166" t="s">
        <v>145</v>
      </c>
      <c r="C46" s="129">
        <v>417</v>
      </c>
      <c r="D46" s="26">
        <f>$C46*VLOOKUP(+$B46,$B$56:$H$61,3)</f>
        <v>0</v>
      </c>
      <c r="E46" s="26">
        <f>$C46*VLOOKUP(+$B46,$B$56:$H$61,4)</f>
        <v>0</v>
      </c>
      <c r="F46" s="26">
        <f>$C46*VLOOKUP(+$B46,$B$56:$H$61,5)</f>
        <v>0</v>
      </c>
      <c r="G46" s="129">
        <f>$C46*VLOOKUP(+$B46,$B$56:$H$61,6)</f>
        <v>417</v>
      </c>
      <c r="H46" s="26">
        <f>$C46*VLOOKUP(+$B46,$B$56:$H$61,7)</f>
        <v>0</v>
      </c>
    </row>
    <row r="47" spans="1:8" ht="12.75">
      <c r="A47" s="165"/>
      <c r="B47" s="166"/>
      <c r="C47" s="169">
        <f>SUBTOTAL(9,C41:C46)</f>
        <v>383451</v>
      </c>
      <c r="D47" s="169">
        <f>SUBTOTAL(9,D41:D46)</f>
        <v>168823.47457763858</v>
      </c>
      <c r="E47" s="169">
        <f>SUBTOTAL(9,E41:E46)</f>
        <v>74323.08491790456</v>
      </c>
      <c r="F47" s="169">
        <f>SUBTOTAL(9,F41:F46)</f>
        <v>139376.6986900192</v>
      </c>
      <c r="G47" s="169">
        <f>SUBTOTAL(9,G41:G46)</f>
        <v>927.7418144376468</v>
      </c>
      <c r="H47" s="172">
        <f>SUBTOTAL(9,H41:H44)</f>
        <v>0</v>
      </c>
    </row>
    <row r="48" spans="1:8" ht="12.75">
      <c r="A48" s="165"/>
      <c r="B48" s="166"/>
      <c r="C48" s="130"/>
      <c r="D48" s="130"/>
      <c r="E48" s="130"/>
      <c r="F48" s="130"/>
      <c r="G48" s="130"/>
      <c r="H48" s="168"/>
    </row>
    <row r="49" spans="1:8" ht="12.75">
      <c r="A49" s="165"/>
      <c r="B49" s="166"/>
      <c r="C49" s="129"/>
      <c r="D49" s="129"/>
      <c r="E49" s="129"/>
      <c r="F49" s="129"/>
      <c r="G49" s="129"/>
      <c r="H49" s="26"/>
    </row>
    <row r="50" spans="1:8" ht="13.5" thickBot="1">
      <c r="A50" s="165"/>
      <c r="B50" s="165" t="s">
        <v>235</v>
      </c>
      <c r="C50" s="14">
        <f aca="true" t="shared" si="9" ref="C50:H50">SUM(C8,C13,C18,C27,C33,C37,C47)</f>
        <v>635628.00002</v>
      </c>
      <c r="D50" s="14">
        <f t="shared" si="9"/>
        <v>296025.7015257305</v>
      </c>
      <c r="E50" s="14">
        <f t="shared" si="9"/>
        <v>90164.18460262161</v>
      </c>
      <c r="F50" s="14">
        <f t="shared" si="9"/>
        <v>141062.37207721025</v>
      </c>
      <c r="G50" s="14">
        <f t="shared" si="9"/>
        <v>108375.74181443764</v>
      </c>
      <c r="H50" s="27">
        <f t="shared" si="9"/>
        <v>0</v>
      </c>
    </row>
    <row r="51" ht="13.5" thickTop="1"/>
    <row r="52" spans="2:8" ht="12.75">
      <c r="B52" s="177" t="s">
        <v>239</v>
      </c>
      <c r="C52" s="178">
        <f aca="true" t="shared" si="10" ref="C52:H52">C50/$C50</f>
        <v>1</v>
      </c>
      <c r="D52" s="179">
        <f t="shared" si="10"/>
        <v>0.4657216194321459</v>
      </c>
      <c r="E52" s="179">
        <f t="shared" si="10"/>
        <v>0.14185055504128924</v>
      </c>
      <c r="F52" s="179">
        <f t="shared" si="10"/>
        <v>0.22192598827108265</v>
      </c>
      <c r="G52" s="179">
        <f t="shared" si="10"/>
        <v>0.17050183725548212</v>
      </c>
      <c r="H52" s="180">
        <f t="shared" si="10"/>
        <v>0</v>
      </c>
    </row>
    <row r="55" spans="1:8" ht="12.75">
      <c r="A55" s="181" t="s">
        <v>218</v>
      </c>
      <c r="D55" s="173" t="s">
        <v>219</v>
      </c>
      <c r="E55" s="173" t="s">
        <v>220</v>
      </c>
      <c r="F55" s="182" t="s">
        <v>142</v>
      </c>
      <c r="G55" s="182" t="s">
        <v>145</v>
      </c>
      <c r="H55" s="182" t="s">
        <v>146</v>
      </c>
    </row>
    <row r="56" spans="2:8" ht="12.75">
      <c r="B56" s="156" t="s">
        <v>140</v>
      </c>
      <c r="C56" s="151">
        <f aca="true" t="shared" si="11" ref="C56:C61">SUM(D56:H56)</f>
        <v>1</v>
      </c>
      <c r="D56" s="151">
        <f>'FORM 1'!$C$13</f>
        <v>1</v>
      </c>
      <c r="E56" s="151">
        <f>'FORM 1'!$D$13</f>
        <v>0</v>
      </c>
      <c r="F56" s="151">
        <f>'FORM 1'!$E$13</f>
        <v>0</v>
      </c>
      <c r="G56" s="151">
        <f>'FORM 1'!$F$13</f>
        <v>0</v>
      </c>
      <c r="H56" s="151">
        <f>'FORM 1'!$G$13</f>
        <v>0</v>
      </c>
    </row>
    <row r="57" spans="2:8" ht="12.75">
      <c r="B57" s="156" t="s">
        <v>141</v>
      </c>
      <c r="C57" s="151">
        <f t="shared" si="11"/>
        <v>1</v>
      </c>
      <c r="D57" s="151">
        <f>'FORM 1'!$C$14</f>
        <v>0</v>
      </c>
      <c r="E57" s="151">
        <f>'FORM 1'!$D$14</f>
        <v>1</v>
      </c>
      <c r="F57" s="151">
        <f>'FORM 1'!$E$14</f>
        <v>0</v>
      </c>
      <c r="G57" s="151">
        <f>'FORM 1'!$F$14</f>
        <v>0</v>
      </c>
      <c r="H57" s="151">
        <f>'FORM 1'!$G$14</f>
        <v>0</v>
      </c>
    </row>
    <row r="58" spans="2:8" ht="12.75">
      <c r="B58" s="156" t="s">
        <v>175</v>
      </c>
      <c r="C58" s="151">
        <f t="shared" si="11"/>
        <v>1</v>
      </c>
      <c r="D58" s="151">
        <f>'FORM 1'!$C$18</f>
        <v>0</v>
      </c>
      <c r="E58" s="151">
        <f>'FORM 1'!$D$18</f>
        <v>0.37072930705909285</v>
      </c>
      <c r="F58" s="151">
        <f>'FORM 1'!$E$18</f>
        <v>0.6292706929409071</v>
      </c>
      <c r="G58" s="151">
        <f>'FORM 1'!$F$18</f>
        <v>0</v>
      </c>
      <c r="H58" s="151">
        <f>'FORM 1'!$G$18</f>
        <v>0</v>
      </c>
    </row>
    <row r="59" spans="2:8" ht="12.75">
      <c r="B59" s="156" t="s">
        <v>145</v>
      </c>
      <c r="C59" s="151">
        <f t="shared" si="11"/>
        <v>1</v>
      </c>
      <c r="D59" s="151">
        <v>0</v>
      </c>
      <c r="E59" s="151">
        <v>0</v>
      </c>
      <c r="F59" s="151">
        <v>0</v>
      </c>
      <c r="G59" s="151">
        <v>1</v>
      </c>
      <c r="H59" s="151">
        <v>0</v>
      </c>
    </row>
    <row r="60" spans="2:8" ht="12.75">
      <c r="B60" s="156" t="s">
        <v>142</v>
      </c>
      <c r="C60" s="151">
        <f t="shared" si="11"/>
        <v>1</v>
      </c>
      <c r="D60" s="151">
        <v>0</v>
      </c>
      <c r="E60" s="151">
        <v>0</v>
      </c>
      <c r="F60" s="151">
        <v>1</v>
      </c>
      <c r="G60" s="151">
        <v>0</v>
      </c>
      <c r="H60" s="151">
        <v>0</v>
      </c>
    </row>
    <row r="61" spans="2:8" ht="12.75">
      <c r="B61" s="2" t="s">
        <v>170</v>
      </c>
      <c r="C61" s="151">
        <f t="shared" si="11"/>
        <v>1</v>
      </c>
      <c r="D61" s="151">
        <f>'FORM 1'!$C$16</f>
        <v>0.46603270363333577</v>
      </c>
      <c r="E61" s="151">
        <f>'FORM 1'!$D$16</f>
        <v>0.1979573257742307</v>
      </c>
      <c r="F61" s="151">
        <f>'FORM 1'!$E$16</f>
        <v>0.33600997059243354</v>
      </c>
      <c r="G61" s="151">
        <f>'FORM 1'!$F$16</f>
        <v>0</v>
      </c>
      <c r="H61" s="151">
        <f>'FORM 1'!$G$16</f>
        <v>0</v>
      </c>
    </row>
    <row r="62" spans="2:8" ht="12.75">
      <c r="B62" s="2" t="s">
        <v>194</v>
      </c>
      <c r="C62" s="151">
        <f>SUM(D62:H62)</f>
        <v>1</v>
      </c>
      <c r="D62" s="151">
        <f>+'GROSS PLANT'!E55</f>
        <v>0.4616254339827272</v>
      </c>
      <c r="E62" s="151">
        <f>+'GROSS PLANT'!F55</f>
        <v>0.19317649645797214</v>
      </c>
      <c r="F62" s="151">
        <f>+'GROSS PLANT'!G55</f>
        <v>0.33716033425505554</v>
      </c>
      <c r="G62" s="151">
        <f>+'GROSS PLANT'!H55</f>
        <v>0.008037735304245107</v>
      </c>
      <c r="H62" s="151">
        <f>+'GROSS PLANT'!I55</f>
        <v>0</v>
      </c>
    </row>
  </sheetData>
  <printOptions horizontalCentered="1"/>
  <pageMargins left="0.5" right="0.5" top="0.5" bottom="0.65" header="0.4" footer="0.2"/>
  <pageSetup fitToHeight="1" fitToWidth="1" horizontalDpi="600" verticalDpi="600" orientation="landscape" scale="66" r:id="rId1"/>
  <headerFooter alignWithMargins="0">
    <oddFooter>&amp;LExhibit RMP_____(CCP-3)&amp;CTab 3 - Page 5 of 20&amp;R&amp;F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87"/>
  <sheetViews>
    <sheetView zoomScale="80" zoomScaleNormal="80" workbookViewId="0" topLeftCell="A1">
      <selection activeCell="A1" sqref="A1:O32"/>
    </sheetView>
  </sheetViews>
  <sheetFormatPr defaultColWidth="9.140625" defaultRowHeight="12.75"/>
  <cols>
    <col min="1" max="1" width="11.28125" style="82" customWidth="1"/>
    <col min="2" max="2" width="38.57421875" style="91" bestFit="1" customWidth="1"/>
    <col min="3" max="3" width="29.140625" style="62" bestFit="1" customWidth="1"/>
    <col min="4" max="5" width="16.57421875" style="63" bestFit="1" customWidth="1"/>
    <col min="6" max="6" width="13.421875" style="63" customWidth="1"/>
    <col min="7" max="7" width="5.28125" style="69" customWidth="1"/>
    <col min="8" max="8" width="12.28125" style="70" bestFit="1" customWidth="1"/>
    <col min="9" max="9" width="5.00390625" style="69" bestFit="1" customWidth="1"/>
    <col min="10" max="10" width="12.28125" style="70" bestFit="1" customWidth="1"/>
    <col min="11" max="11" width="5.00390625" style="69" bestFit="1" customWidth="1"/>
    <col min="12" max="12" width="12.28125" style="70" bestFit="1" customWidth="1"/>
    <col min="13" max="13" width="5.28125" style="69" bestFit="1" customWidth="1"/>
    <col min="14" max="14" width="11.28125" style="70" bestFit="1" customWidth="1"/>
    <col min="15" max="15" width="17.57421875" style="68" customWidth="1"/>
    <col min="16" max="16" width="13.421875" style="68" bestFit="1" customWidth="1"/>
    <col min="17" max="16384" width="9.140625" style="68" customWidth="1"/>
  </cols>
  <sheetData>
    <row r="1" spans="1:15" s="81" customFormat="1" ht="15">
      <c r="A1" s="79" t="str">
        <f>+'TOTAL FUNCFAC'!$A$1</f>
        <v>PACIFICORP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81" customFormat="1" ht="15">
      <c r="A2" s="79" t="str">
        <f>+'TOTAL FUNCFAC'!$A$2</f>
        <v>12 Months Ended December 2007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81" customFormat="1" ht="15">
      <c r="A3" s="79" t="s">
        <v>322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81" customFormat="1" ht="1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5" ht="13.5" thickBot="1">
      <c r="B5" s="54"/>
      <c r="D5" s="70"/>
      <c r="E5" s="70"/>
    </row>
    <row r="6" spans="1:16" ht="13.5" thickBot="1">
      <c r="A6" s="83" t="s">
        <v>86</v>
      </c>
      <c r="B6" s="84" t="s">
        <v>174</v>
      </c>
      <c r="C6" s="85"/>
      <c r="D6" s="86" t="s">
        <v>87</v>
      </c>
      <c r="E6" s="86" t="s">
        <v>88</v>
      </c>
      <c r="F6" s="87" t="s">
        <v>89</v>
      </c>
      <c r="G6" s="88" t="s">
        <v>90</v>
      </c>
      <c r="H6" s="86" t="s">
        <v>219</v>
      </c>
      <c r="I6" s="88" t="s">
        <v>91</v>
      </c>
      <c r="J6" s="86" t="s">
        <v>92</v>
      </c>
      <c r="K6" s="88" t="s">
        <v>93</v>
      </c>
      <c r="L6" s="86" t="s">
        <v>138</v>
      </c>
      <c r="M6" s="88" t="s">
        <v>94</v>
      </c>
      <c r="N6" s="89" t="s">
        <v>95</v>
      </c>
      <c r="O6" s="90" t="s">
        <v>144</v>
      </c>
      <c r="P6" s="54"/>
    </row>
    <row r="7" ht="12.75">
      <c r="P7" s="55"/>
    </row>
    <row r="8" spans="1:16" ht="39.75" customHeight="1">
      <c r="A8" s="92">
        <v>39700</v>
      </c>
      <c r="B8" s="93" t="s">
        <v>96</v>
      </c>
      <c r="C8" s="94" t="s">
        <v>97</v>
      </c>
      <c r="D8" s="56">
        <f aca="true" t="shared" si="0" ref="D8:F26">C38</f>
        <v>11268866.21</v>
      </c>
      <c r="E8" s="56">
        <f t="shared" si="0"/>
        <v>-5739398.27</v>
      </c>
      <c r="F8" s="56">
        <f t="shared" si="0"/>
        <v>5529467.940000001</v>
      </c>
      <c r="G8" s="57">
        <v>0.17</v>
      </c>
      <c r="H8" s="58">
        <f aca="true" t="shared" si="1" ref="H8:H26">F8*G8</f>
        <v>940009.5498000003</v>
      </c>
      <c r="I8" s="57">
        <v>0.4</v>
      </c>
      <c r="J8" s="58">
        <f aca="true" t="shared" si="2" ref="J8:J26">F8*I8</f>
        <v>2211787.1760000004</v>
      </c>
      <c r="K8" s="57">
        <v>0.4</v>
      </c>
      <c r="L8" s="58">
        <f aca="true" t="shared" si="3" ref="L8:L26">F8*K8</f>
        <v>2211787.1760000004</v>
      </c>
      <c r="M8" s="57">
        <v>0.03</v>
      </c>
      <c r="N8" s="58">
        <f aca="true" t="shared" si="4" ref="N8:N26">F8*M8</f>
        <v>165884.03820000004</v>
      </c>
      <c r="O8" s="59">
        <f aca="true" t="shared" si="5" ref="O8:O26">L8+J8+H8+N8</f>
        <v>5529467.940000001</v>
      </c>
      <c r="P8" s="60"/>
    </row>
    <row r="9" spans="1:15" ht="39.75" customHeight="1">
      <c r="A9" s="92">
        <v>39702</v>
      </c>
      <c r="B9" s="93" t="s">
        <v>98</v>
      </c>
      <c r="C9" s="94" t="s">
        <v>99</v>
      </c>
      <c r="D9" s="56">
        <f t="shared" si="0"/>
        <v>283087.73</v>
      </c>
      <c r="E9" s="56">
        <f t="shared" si="0"/>
        <v>-106995.55</v>
      </c>
      <c r="F9" s="56">
        <f t="shared" si="0"/>
        <v>176092.18</v>
      </c>
      <c r="G9" s="57">
        <v>0.2</v>
      </c>
      <c r="H9" s="58">
        <f t="shared" si="1"/>
        <v>35218.436</v>
      </c>
      <c r="I9" s="57">
        <v>0.2</v>
      </c>
      <c r="J9" s="58">
        <f t="shared" si="2"/>
        <v>35218.436</v>
      </c>
      <c r="K9" s="57">
        <v>0.5</v>
      </c>
      <c r="L9" s="58">
        <f t="shared" si="3"/>
        <v>88046.09</v>
      </c>
      <c r="M9" s="57">
        <v>0.1</v>
      </c>
      <c r="N9" s="58">
        <f t="shared" si="4"/>
        <v>17609.218</v>
      </c>
      <c r="O9" s="61">
        <f t="shared" si="5"/>
        <v>176092.18</v>
      </c>
    </row>
    <row r="10" spans="1:15" ht="12.75">
      <c r="A10" s="92">
        <v>39705</v>
      </c>
      <c r="B10" s="93" t="s">
        <v>100</v>
      </c>
      <c r="C10" s="94" t="s">
        <v>101</v>
      </c>
      <c r="D10" s="56">
        <f t="shared" si="0"/>
        <v>7081729.89</v>
      </c>
      <c r="E10" s="56">
        <f t="shared" si="0"/>
        <v>-2874600.35</v>
      </c>
      <c r="F10" s="56">
        <f t="shared" si="0"/>
        <v>4207129.539999999</v>
      </c>
      <c r="G10" s="57">
        <v>0.05</v>
      </c>
      <c r="H10" s="58">
        <f t="shared" si="1"/>
        <v>210356.47699999996</v>
      </c>
      <c r="I10" s="57">
        <v>0.75</v>
      </c>
      <c r="J10" s="58">
        <f t="shared" si="2"/>
        <v>3155347.1549999993</v>
      </c>
      <c r="K10" s="57">
        <v>0.2</v>
      </c>
      <c r="L10" s="58">
        <f t="shared" si="3"/>
        <v>841425.9079999998</v>
      </c>
      <c r="M10" s="57">
        <v>0</v>
      </c>
      <c r="N10" s="58">
        <f t="shared" si="4"/>
        <v>0</v>
      </c>
      <c r="O10" s="59">
        <f t="shared" si="5"/>
        <v>4207129.539999999</v>
      </c>
    </row>
    <row r="11" spans="1:15" ht="12.75">
      <c r="A11" s="92">
        <v>39708</v>
      </c>
      <c r="B11" s="93" t="s">
        <v>102</v>
      </c>
      <c r="C11" s="94" t="s">
        <v>103</v>
      </c>
      <c r="D11" s="56">
        <f t="shared" si="0"/>
        <v>1572921.94</v>
      </c>
      <c r="E11" s="56">
        <f t="shared" si="0"/>
        <v>-875989.27</v>
      </c>
      <c r="F11" s="56">
        <f t="shared" si="0"/>
        <v>696932.6699999999</v>
      </c>
      <c r="G11" s="57">
        <v>0.05</v>
      </c>
      <c r="H11" s="58">
        <f t="shared" si="1"/>
        <v>34846.633499999996</v>
      </c>
      <c r="I11" s="57">
        <v>0.75</v>
      </c>
      <c r="J11" s="58">
        <f t="shared" si="2"/>
        <v>522699.50249999994</v>
      </c>
      <c r="K11" s="57">
        <v>0.2</v>
      </c>
      <c r="L11" s="58">
        <f t="shared" si="3"/>
        <v>139386.53399999999</v>
      </c>
      <c r="M11" s="57">
        <v>0</v>
      </c>
      <c r="N11" s="58">
        <f t="shared" si="4"/>
        <v>0</v>
      </c>
      <c r="O11" s="59">
        <f t="shared" si="5"/>
        <v>696932.6699999999</v>
      </c>
    </row>
    <row r="12" spans="1:15" ht="12.75">
      <c r="A12" s="92">
        <v>39710</v>
      </c>
      <c r="B12" s="93" t="s">
        <v>104</v>
      </c>
      <c r="C12" s="94" t="s">
        <v>105</v>
      </c>
      <c r="D12" s="56">
        <f t="shared" si="0"/>
        <v>1207027.52</v>
      </c>
      <c r="E12" s="56">
        <f t="shared" si="0"/>
        <v>-443484.63</v>
      </c>
      <c r="F12" s="56">
        <f t="shared" si="0"/>
        <v>763542.89</v>
      </c>
      <c r="G12" s="57">
        <v>0</v>
      </c>
      <c r="H12" s="58">
        <f t="shared" si="1"/>
        <v>0</v>
      </c>
      <c r="I12" s="57">
        <v>0</v>
      </c>
      <c r="J12" s="58">
        <f t="shared" si="2"/>
        <v>0</v>
      </c>
      <c r="K12" s="57">
        <v>1</v>
      </c>
      <c r="L12" s="58">
        <f t="shared" si="3"/>
        <v>763542.89</v>
      </c>
      <c r="M12" s="57">
        <v>0</v>
      </c>
      <c r="N12" s="58">
        <f t="shared" si="4"/>
        <v>0</v>
      </c>
      <c r="O12" s="59">
        <f t="shared" si="5"/>
        <v>763542.89</v>
      </c>
    </row>
    <row r="13" spans="1:15" ht="12.75">
      <c r="A13" s="92">
        <v>39711</v>
      </c>
      <c r="B13" s="93" t="s">
        <v>106</v>
      </c>
      <c r="C13" s="94" t="s">
        <v>107</v>
      </c>
      <c r="D13" s="56">
        <f t="shared" si="0"/>
        <v>16325127.5</v>
      </c>
      <c r="E13" s="56">
        <f t="shared" si="0"/>
        <v>-6149944.35</v>
      </c>
      <c r="F13" s="56">
        <f t="shared" si="0"/>
        <v>10175183.15</v>
      </c>
      <c r="G13" s="57">
        <v>0.05</v>
      </c>
      <c r="H13" s="58">
        <f t="shared" si="1"/>
        <v>508759.15750000003</v>
      </c>
      <c r="I13" s="57">
        <v>0.1</v>
      </c>
      <c r="J13" s="58">
        <f t="shared" si="2"/>
        <v>1017518.3150000001</v>
      </c>
      <c r="K13" s="57">
        <v>0.84</v>
      </c>
      <c r="L13" s="58">
        <f t="shared" si="3"/>
        <v>8547153.846</v>
      </c>
      <c r="M13" s="57">
        <v>0.01</v>
      </c>
      <c r="N13" s="58">
        <f t="shared" si="4"/>
        <v>101751.8315</v>
      </c>
      <c r="O13" s="59">
        <f t="shared" si="5"/>
        <v>10175183.15</v>
      </c>
    </row>
    <row r="14" spans="1:15" ht="12.75">
      <c r="A14" s="92">
        <v>39714</v>
      </c>
      <c r="B14" s="93" t="s">
        <v>108</v>
      </c>
      <c r="C14" s="94" t="s">
        <v>109</v>
      </c>
      <c r="D14" s="56">
        <f t="shared" si="0"/>
        <v>28033328.95</v>
      </c>
      <c r="E14" s="56">
        <f t="shared" si="0"/>
        <v>-6954697.35</v>
      </c>
      <c r="F14" s="56">
        <f t="shared" si="0"/>
        <v>21078631.6</v>
      </c>
      <c r="G14" s="57">
        <v>0.13</v>
      </c>
      <c r="H14" s="58">
        <f t="shared" si="1"/>
        <v>2740222.1080000005</v>
      </c>
      <c r="I14" s="57">
        <v>0.15</v>
      </c>
      <c r="J14" s="58">
        <f t="shared" si="2"/>
        <v>3161794.74</v>
      </c>
      <c r="K14" s="57">
        <v>0.7</v>
      </c>
      <c r="L14" s="58">
        <f t="shared" si="3"/>
        <v>14755042.12</v>
      </c>
      <c r="M14" s="57">
        <v>0.02</v>
      </c>
      <c r="N14" s="58">
        <f t="shared" si="4"/>
        <v>421572.63200000004</v>
      </c>
      <c r="O14" s="59">
        <f t="shared" si="5"/>
        <v>21078631.599999998</v>
      </c>
    </row>
    <row r="15" spans="1:15" ht="12.75">
      <c r="A15" s="92">
        <v>39717</v>
      </c>
      <c r="B15" s="93" t="s">
        <v>110</v>
      </c>
      <c r="C15" s="94" t="s">
        <v>111</v>
      </c>
      <c r="D15" s="56">
        <f t="shared" si="0"/>
        <v>13507939.37</v>
      </c>
      <c r="E15" s="56">
        <f t="shared" si="0"/>
        <v>-2695922.61</v>
      </c>
      <c r="F15" s="56">
        <f t="shared" si="0"/>
        <v>10812016.76</v>
      </c>
      <c r="G15" s="57">
        <v>0.5</v>
      </c>
      <c r="H15" s="58">
        <f t="shared" si="1"/>
        <v>5406008.38</v>
      </c>
      <c r="I15" s="57">
        <v>0.35</v>
      </c>
      <c r="J15" s="58">
        <f t="shared" si="2"/>
        <v>3784205.8659999995</v>
      </c>
      <c r="K15" s="57">
        <v>0.15</v>
      </c>
      <c r="L15" s="58">
        <f t="shared" si="3"/>
        <v>1621802.514</v>
      </c>
      <c r="M15" s="57">
        <v>0</v>
      </c>
      <c r="N15" s="58">
        <f t="shared" si="4"/>
        <v>0</v>
      </c>
      <c r="O15" s="59">
        <f t="shared" si="5"/>
        <v>10812016.759999998</v>
      </c>
    </row>
    <row r="16" spans="1:15" ht="12.75">
      <c r="A16" s="92">
        <v>39720</v>
      </c>
      <c r="B16" s="93" t="s">
        <v>112</v>
      </c>
      <c r="C16" s="94" t="s">
        <v>113</v>
      </c>
      <c r="D16" s="56">
        <f t="shared" si="0"/>
        <v>4069730.19</v>
      </c>
      <c r="E16" s="56">
        <f t="shared" si="0"/>
        <v>-2439819.16</v>
      </c>
      <c r="F16" s="56">
        <f t="shared" si="0"/>
        <v>1629911.0299999998</v>
      </c>
      <c r="G16" s="57">
        <v>0</v>
      </c>
      <c r="H16" s="58">
        <f t="shared" si="1"/>
        <v>0</v>
      </c>
      <c r="I16" s="57">
        <v>0</v>
      </c>
      <c r="J16" s="58">
        <f t="shared" si="2"/>
        <v>0</v>
      </c>
      <c r="K16" s="57">
        <v>1</v>
      </c>
      <c r="L16" s="58">
        <f t="shared" si="3"/>
        <v>1629911.0299999998</v>
      </c>
      <c r="M16" s="57">
        <v>0</v>
      </c>
      <c r="N16" s="58">
        <f t="shared" si="4"/>
        <v>0</v>
      </c>
      <c r="O16" s="59">
        <f t="shared" si="5"/>
        <v>1629911.0299999998</v>
      </c>
    </row>
    <row r="17" spans="1:15" ht="25.5">
      <c r="A17" s="92">
        <v>39723</v>
      </c>
      <c r="B17" s="93" t="s">
        <v>114</v>
      </c>
      <c r="C17" s="94" t="s">
        <v>115</v>
      </c>
      <c r="D17" s="56">
        <f t="shared" si="0"/>
        <v>36721540.98</v>
      </c>
      <c r="E17" s="56">
        <f t="shared" si="0"/>
        <v>-14832449.01</v>
      </c>
      <c r="F17" s="56">
        <f t="shared" si="0"/>
        <v>21889091.97</v>
      </c>
      <c r="G17" s="57">
        <v>0.05</v>
      </c>
      <c r="H17" s="58">
        <f t="shared" si="1"/>
        <v>1094454.5985</v>
      </c>
      <c r="I17" s="57">
        <v>0.75</v>
      </c>
      <c r="J17" s="58">
        <f t="shared" si="2"/>
        <v>16416818.9775</v>
      </c>
      <c r="K17" s="57">
        <v>0.2</v>
      </c>
      <c r="L17" s="58">
        <f t="shared" si="3"/>
        <v>4377818.394</v>
      </c>
      <c r="M17" s="57">
        <v>0</v>
      </c>
      <c r="N17" s="58">
        <f t="shared" si="4"/>
        <v>0</v>
      </c>
      <c r="O17" s="59">
        <f t="shared" si="5"/>
        <v>21889091.97</v>
      </c>
    </row>
    <row r="18" spans="1:15" ht="12.75">
      <c r="A18" s="92">
        <v>39726</v>
      </c>
      <c r="B18" s="93" t="s">
        <v>193</v>
      </c>
      <c r="C18" s="94" t="s">
        <v>116</v>
      </c>
      <c r="D18" s="56">
        <f t="shared" si="0"/>
        <v>7939486.73</v>
      </c>
      <c r="E18" s="56">
        <f t="shared" si="0"/>
        <v>-4399673.11</v>
      </c>
      <c r="F18" s="56">
        <f t="shared" si="0"/>
        <v>3539813.62</v>
      </c>
      <c r="G18" s="57">
        <v>0.05</v>
      </c>
      <c r="H18" s="58">
        <f t="shared" si="1"/>
        <v>176990.681</v>
      </c>
      <c r="I18" s="57">
        <v>0.25</v>
      </c>
      <c r="J18" s="58">
        <f t="shared" si="2"/>
        <v>884953.405</v>
      </c>
      <c r="K18" s="57">
        <v>0.7</v>
      </c>
      <c r="L18" s="58">
        <f t="shared" si="3"/>
        <v>2477869.534</v>
      </c>
      <c r="M18" s="57">
        <v>0</v>
      </c>
      <c r="N18" s="58">
        <f t="shared" si="4"/>
        <v>0</v>
      </c>
      <c r="O18" s="59">
        <f t="shared" si="5"/>
        <v>3539813.62</v>
      </c>
    </row>
    <row r="19" spans="1:15" ht="12.75">
      <c r="A19" s="92">
        <v>39729</v>
      </c>
      <c r="B19" s="93" t="s">
        <v>117</v>
      </c>
      <c r="C19" s="94" t="s">
        <v>116</v>
      </c>
      <c r="D19" s="56">
        <f t="shared" si="0"/>
        <v>20127174.3</v>
      </c>
      <c r="E19" s="56">
        <f t="shared" si="0"/>
        <v>-7429569.01</v>
      </c>
      <c r="F19" s="56">
        <f t="shared" si="0"/>
        <v>12697605.290000001</v>
      </c>
      <c r="G19" s="57">
        <v>0.05</v>
      </c>
      <c r="H19" s="58">
        <f t="shared" si="1"/>
        <v>634880.2645</v>
      </c>
      <c r="I19" s="57">
        <v>0.2</v>
      </c>
      <c r="J19" s="58">
        <f t="shared" si="2"/>
        <v>2539521.058</v>
      </c>
      <c r="K19" s="57">
        <v>0.75</v>
      </c>
      <c r="L19" s="58">
        <f t="shared" si="3"/>
        <v>9523203.967500001</v>
      </c>
      <c r="M19" s="57">
        <v>0</v>
      </c>
      <c r="N19" s="58">
        <f t="shared" si="4"/>
        <v>0</v>
      </c>
      <c r="O19" s="59">
        <f t="shared" si="5"/>
        <v>12697605.290000001</v>
      </c>
    </row>
    <row r="20" spans="1:15" ht="12.75">
      <c r="A20" s="92">
        <v>39732</v>
      </c>
      <c r="B20" s="93" t="s">
        <v>118</v>
      </c>
      <c r="C20" s="94" t="s">
        <v>119</v>
      </c>
      <c r="D20" s="56">
        <f t="shared" si="0"/>
        <v>6359265.77</v>
      </c>
      <c r="E20" s="56">
        <f t="shared" si="0"/>
        <v>-2953845.79</v>
      </c>
      <c r="F20" s="56">
        <f t="shared" si="0"/>
        <v>3405419.9799999995</v>
      </c>
      <c r="G20" s="57">
        <v>0</v>
      </c>
      <c r="H20" s="58">
        <f t="shared" si="1"/>
        <v>0</v>
      </c>
      <c r="I20" s="57">
        <v>0.95</v>
      </c>
      <c r="J20" s="58">
        <f t="shared" si="2"/>
        <v>3235148.980999999</v>
      </c>
      <c r="K20" s="57">
        <v>0.05</v>
      </c>
      <c r="L20" s="58">
        <f t="shared" si="3"/>
        <v>170270.99899999998</v>
      </c>
      <c r="M20" s="57">
        <v>0</v>
      </c>
      <c r="N20" s="58">
        <f t="shared" si="4"/>
        <v>0</v>
      </c>
      <c r="O20" s="59">
        <f t="shared" si="5"/>
        <v>3405419.979999999</v>
      </c>
    </row>
    <row r="21" spans="1:15" ht="12.75">
      <c r="A21" s="92">
        <v>39735</v>
      </c>
      <c r="B21" s="93" t="s">
        <v>120</v>
      </c>
      <c r="C21" s="94" t="s">
        <v>121</v>
      </c>
      <c r="D21" s="56">
        <f t="shared" si="0"/>
        <v>11733186.99</v>
      </c>
      <c r="E21" s="56">
        <f t="shared" si="0"/>
        <v>-4276276.14</v>
      </c>
      <c r="F21" s="56">
        <f t="shared" si="0"/>
        <v>7456910.850000001</v>
      </c>
      <c r="G21" s="57">
        <v>0.05</v>
      </c>
      <c r="H21" s="58">
        <f t="shared" si="1"/>
        <v>372845.54250000004</v>
      </c>
      <c r="I21" s="57">
        <v>0.85</v>
      </c>
      <c r="J21" s="58">
        <f t="shared" si="2"/>
        <v>6338374.2225</v>
      </c>
      <c r="K21" s="57">
        <v>0.1</v>
      </c>
      <c r="L21" s="58">
        <f t="shared" si="3"/>
        <v>745691.0850000001</v>
      </c>
      <c r="M21" s="57">
        <v>0</v>
      </c>
      <c r="N21" s="58">
        <f t="shared" si="4"/>
        <v>0</v>
      </c>
      <c r="O21" s="59">
        <f t="shared" si="5"/>
        <v>7456910.850000001</v>
      </c>
    </row>
    <row r="22" spans="1:15" ht="12.75">
      <c r="A22" s="92">
        <v>39738</v>
      </c>
      <c r="B22" s="93" t="s">
        <v>122</v>
      </c>
      <c r="C22" s="94" t="s">
        <v>119</v>
      </c>
      <c r="D22" s="56">
        <f t="shared" si="0"/>
        <v>9705531.82</v>
      </c>
      <c r="E22" s="56">
        <f t="shared" si="0"/>
        <v>-3871300</v>
      </c>
      <c r="F22" s="56">
        <f t="shared" si="0"/>
        <v>5834231.82</v>
      </c>
      <c r="G22" s="57">
        <v>0</v>
      </c>
      <c r="H22" s="58">
        <f t="shared" si="1"/>
        <v>0</v>
      </c>
      <c r="I22" s="57">
        <v>0.95</v>
      </c>
      <c r="J22" s="58">
        <f t="shared" si="2"/>
        <v>5542520.229</v>
      </c>
      <c r="K22" s="57">
        <v>0.05</v>
      </c>
      <c r="L22" s="58">
        <f t="shared" si="3"/>
        <v>291711.591</v>
      </c>
      <c r="M22" s="57">
        <v>0</v>
      </c>
      <c r="N22" s="58">
        <f t="shared" si="4"/>
        <v>0</v>
      </c>
      <c r="O22" s="59">
        <f t="shared" si="5"/>
        <v>5834231.82</v>
      </c>
    </row>
    <row r="23" spans="1:15" ht="12.75">
      <c r="A23" s="92">
        <v>39741</v>
      </c>
      <c r="B23" s="93" t="s">
        <v>123</v>
      </c>
      <c r="C23" s="94" t="s">
        <v>124</v>
      </c>
      <c r="D23" s="56">
        <f t="shared" si="0"/>
        <v>30466456.79</v>
      </c>
      <c r="E23" s="56">
        <f t="shared" si="0"/>
        <v>-8733939.49</v>
      </c>
      <c r="F23" s="56">
        <f t="shared" si="0"/>
        <v>21732517.299999997</v>
      </c>
      <c r="G23" s="57">
        <v>0.25</v>
      </c>
      <c r="H23" s="58">
        <f t="shared" si="1"/>
        <v>5433129.324999999</v>
      </c>
      <c r="I23" s="57">
        <v>0.2</v>
      </c>
      <c r="J23" s="58">
        <f t="shared" si="2"/>
        <v>4346503.46</v>
      </c>
      <c r="K23" s="57">
        <v>0.5</v>
      </c>
      <c r="L23" s="58">
        <f t="shared" si="3"/>
        <v>10866258.649999999</v>
      </c>
      <c r="M23" s="57">
        <v>0.05</v>
      </c>
      <c r="N23" s="58">
        <f t="shared" si="4"/>
        <v>1086625.865</v>
      </c>
      <c r="O23" s="59">
        <f t="shared" si="5"/>
        <v>21732517.299999997</v>
      </c>
    </row>
    <row r="24" spans="1:15" ht="12.75">
      <c r="A24" s="92">
        <v>39744</v>
      </c>
      <c r="B24" s="93" t="s">
        <v>125</v>
      </c>
      <c r="C24" s="94" t="s">
        <v>126</v>
      </c>
      <c r="D24" s="56">
        <f t="shared" si="0"/>
        <v>11743833.51</v>
      </c>
      <c r="E24" s="56">
        <f t="shared" si="0"/>
        <v>-5055136.37</v>
      </c>
      <c r="F24" s="56">
        <f t="shared" si="0"/>
        <v>6688697.14</v>
      </c>
      <c r="G24" s="57">
        <v>0.25</v>
      </c>
      <c r="H24" s="58">
        <f t="shared" si="1"/>
        <v>1672174.285</v>
      </c>
      <c r="I24" s="57">
        <v>0.2</v>
      </c>
      <c r="J24" s="58">
        <f t="shared" si="2"/>
        <v>1337739.428</v>
      </c>
      <c r="K24" s="57">
        <v>0.5</v>
      </c>
      <c r="L24" s="58">
        <f t="shared" si="3"/>
        <v>3344348.57</v>
      </c>
      <c r="M24" s="57">
        <v>0.05</v>
      </c>
      <c r="N24" s="58">
        <f t="shared" si="4"/>
        <v>334434.857</v>
      </c>
      <c r="O24" s="59">
        <f t="shared" si="5"/>
        <v>6688697.14</v>
      </c>
    </row>
    <row r="25" spans="1:15" ht="25.5">
      <c r="A25" s="92">
        <v>39747</v>
      </c>
      <c r="B25" s="93" t="s">
        <v>127</v>
      </c>
      <c r="C25" s="94" t="s">
        <v>128</v>
      </c>
      <c r="D25" s="56">
        <f t="shared" si="0"/>
        <v>15181400.22</v>
      </c>
      <c r="E25" s="56">
        <f t="shared" si="0"/>
        <v>-6394843.56</v>
      </c>
      <c r="F25" s="56">
        <f t="shared" si="0"/>
        <v>8786556.66</v>
      </c>
      <c r="G25" s="57">
        <v>0.5</v>
      </c>
      <c r="H25" s="58">
        <f t="shared" si="1"/>
        <v>4393278.33</v>
      </c>
      <c r="I25" s="57">
        <v>0.35</v>
      </c>
      <c r="J25" s="58">
        <f t="shared" si="2"/>
        <v>3075294.831</v>
      </c>
      <c r="K25" s="57">
        <v>0.15</v>
      </c>
      <c r="L25" s="58">
        <f t="shared" si="3"/>
        <v>1317983.499</v>
      </c>
      <c r="M25" s="57">
        <v>0</v>
      </c>
      <c r="N25" s="58">
        <f t="shared" si="4"/>
        <v>0</v>
      </c>
      <c r="O25" s="59">
        <f t="shared" si="5"/>
        <v>8786556.66</v>
      </c>
    </row>
    <row r="26" spans="1:15" ht="12.75">
      <c r="A26" s="92">
        <v>39750</v>
      </c>
      <c r="B26" s="93" t="s">
        <v>129</v>
      </c>
      <c r="C26" s="94" t="s">
        <v>107</v>
      </c>
      <c r="D26" s="56">
        <f t="shared" si="0"/>
        <v>6794059.12</v>
      </c>
      <c r="E26" s="56">
        <f t="shared" si="0"/>
        <v>-4908286.13</v>
      </c>
      <c r="F26" s="56">
        <f t="shared" si="0"/>
        <v>1885772.9900000002</v>
      </c>
      <c r="G26" s="57">
        <v>0.05</v>
      </c>
      <c r="H26" s="58">
        <f t="shared" si="1"/>
        <v>94288.64950000001</v>
      </c>
      <c r="I26" s="57">
        <v>0.1</v>
      </c>
      <c r="J26" s="58">
        <f t="shared" si="2"/>
        <v>188577.29900000003</v>
      </c>
      <c r="K26" s="57">
        <v>0.84</v>
      </c>
      <c r="L26" s="58">
        <f t="shared" si="3"/>
        <v>1584049.3116000001</v>
      </c>
      <c r="M26" s="57">
        <v>0.01</v>
      </c>
      <c r="N26" s="58">
        <f t="shared" si="4"/>
        <v>18857.729900000002</v>
      </c>
      <c r="O26" s="59">
        <f t="shared" si="5"/>
        <v>1885772.9900000002</v>
      </c>
    </row>
    <row r="27" spans="4:15" ht="12.75">
      <c r="D27" s="62"/>
      <c r="G27" s="57"/>
      <c r="H27" s="58"/>
      <c r="I27" s="57"/>
      <c r="J27" s="58"/>
      <c r="K27" s="57"/>
      <c r="L27" s="58"/>
      <c r="M27" s="57"/>
      <c r="N27" s="58"/>
      <c r="O27" s="59"/>
    </row>
    <row r="28" spans="1:15" ht="38.25">
      <c r="A28" s="92">
        <v>39758</v>
      </c>
      <c r="B28" s="93" t="s">
        <v>131</v>
      </c>
      <c r="C28" s="94" t="s">
        <v>132</v>
      </c>
      <c r="D28" s="56">
        <f>C58</f>
        <v>312623.91</v>
      </c>
      <c r="E28" s="56">
        <f>D58</f>
        <v>-123740.35</v>
      </c>
      <c r="F28" s="56">
        <f>E58</f>
        <v>188883.55999999997</v>
      </c>
      <c r="G28" s="57">
        <v>0.2</v>
      </c>
      <c r="H28" s="58">
        <f>F28*G28</f>
        <v>37776.71199999999</v>
      </c>
      <c r="I28" s="57">
        <v>0.7</v>
      </c>
      <c r="J28" s="58">
        <f>F28*I28</f>
        <v>132218.49199999997</v>
      </c>
      <c r="K28" s="57">
        <v>0.1</v>
      </c>
      <c r="L28" s="58">
        <f>F28*K28</f>
        <v>18888.355999999996</v>
      </c>
      <c r="M28" s="57">
        <v>0</v>
      </c>
      <c r="N28" s="58">
        <f>F28*M28</f>
        <v>0</v>
      </c>
      <c r="O28" s="59">
        <f>L28+J28+H28+N28</f>
        <v>188883.55999999997</v>
      </c>
    </row>
    <row r="29" spans="1:15" ht="12.75">
      <c r="A29" s="92"/>
      <c r="B29" s="93"/>
      <c r="C29" s="94"/>
      <c r="D29" s="56"/>
      <c r="E29" s="56"/>
      <c r="F29" s="56"/>
      <c r="G29" s="57"/>
      <c r="H29" s="58"/>
      <c r="I29" s="57"/>
      <c r="J29" s="58"/>
      <c r="K29" s="57"/>
      <c r="L29" s="58"/>
      <c r="M29" s="57"/>
      <c r="N29" s="58"/>
      <c r="O29" s="59"/>
    </row>
    <row r="30" spans="1:15" ht="12.75">
      <c r="A30" s="92" t="s">
        <v>133</v>
      </c>
      <c r="B30" s="93" t="s">
        <v>134</v>
      </c>
      <c r="C30" s="94"/>
      <c r="D30" s="56">
        <f>C59</f>
        <v>240840243.59</v>
      </c>
      <c r="E30" s="56">
        <f>D59</f>
        <v>-91395235.25999999</v>
      </c>
      <c r="F30" s="56">
        <f>E59</f>
        <v>149445008.32999998</v>
      </c>
      <c r="G30" s="57"/>
      <c r="H30" s="58">
        <f>SUM(H8:H28)</f>
        <v>23785239.129800007</v>
      </c>
      <c r="I30" s="57"/>
      <c r="J30" s="58">
        <f>SUM(J8:J28)</f>
        <v>57926241.57350001</v>
      </c>
      <c r="K30" s="57"/>
      <c r="L30" s="58">
        <f>SUM(L8:L28)</f>
        <v>65316192.0651</v>
      </c>
      <c r="M30" s="57"/>
      <c r="N30" s="58">
        <f>SUM(N8:N28)</f>
        <v>2146736.1716</v>
      </c>
      <c r="O30" s="61">
        <f>SUM(O8:O28)</f>
        <v>149174408.94</v>
      </c>
    </row>
    <row r="31" spans="1:15" ht="12.75">
      <c r="A31" s="95"/>
      <c r="B31" s="96"/>
      <c r="C31" s="97"/>
      <c r="D31" s="64"/>
      <c r="E31" s="64"/>
      <c r="F31" s="64"/>
      <c r="G31" s="65"/>
      <c r="H31" s="66"/>
      <c r="I31" s="65"/>
      <c r="J31" s="66"/>
      <c r="K31" s="65"/>
      <c r="L31" s="66"/>
      <c r="M31" s="65"/>
      <c r="N31" s="66"/>
      <c r="O31" s="67"/>
    </row>
    <row r="32" spans="2:14" ht="12.75">
      <c r="B32" s="91" t="s">
        <v>135</v>
      </c>
      <c r="C32" s="98"/>
      <c r="F32" s="35">
        <f>ROUND(F30/$F$30,6)</f>
        <v>1</v>
      </c>
      <c r="G32" s="99"/>
      <c r="H32" s="99">
        <f>ROUND(H30/$F$30,6)</f>
        <v>0.159157</v>
      </c>
      <c r="I32" s="99"/>
      <c r="J32" s="99">
        <f>ROUND(J30/$F$30,6)</f>
        <v>0.387609</v>
      </c>
      <c r="K32" s="99"/>
      <c r="L32" s="99">
        <f>1-H32-J32-N32</f>
        <v>0.438869</v>
      </c>
      <c r="M32" s="99"/>
      <c r="N32" s="99">
        <f>ROUND(N30/$F$30,6)</f>
        <v>0.014365</v>
      </c>
    </row>
    <row r="36" spans="1:5" ht="12.75">
      <c r="A36" s="100" t="s">
        <v>169</v>
      </c>
      <c r="B36" s="100"/>
      <c r="C36" s="100"/>
      <c r="D36" s="100"/>
      <c r="E36" s="100"/>
    </row>
    <row r="37" spans="1:12" ht="12.75">
      <c r="A37" s="101" t="s">
        <v>86</v>
      </c>
      <c r="B37" s="102" t="s">
        <v>174</v>
      </c>
      <c r="C37" s="103" t="s">
        <v>82</v>
      </c>
      <c r="D37" s="71" t="s">
        <v>77</v>
      </c>
      <c r="E37" s="71" t="s">
        <v>323</v>
      </c>
      <c r="F37" s="72"/>
      <c r="G37" s="63"/>
      <c r="L37" s="73"/>
    </row>
    <row r="38" spans="1:7" ht="12.75">
      <c r="A38" s="82" t="s">
        <v>339</v>
      </c>
      <c r="B38" s="91" t="s">
        <v>324</v>
      </c>
      <c r="C38" s="74">
        <v>11268866.21</v>
      </c>
      <c r="D38" s="74">
        <v>-5739398.27</v>
      </c>
      <c r="E38" s="74">
        <f>SUM(C38:D38)</f>
        <v>5529467.940000001</v>
      </c>
      <c r="F38" s="72"/>
      <c r="G38" s="63"/>
    </row>
    <row r="39" spans="1:7" ht="12.75">
      <c r="A39" s="82" t="s">
        <v>340</v>
      </c>
      <c r="B39" s="91" t="s">
        <v>325</v>
      </c>
      <c r="C39" s="74">
        <v>283087.73</v>
      </c>
      <c r="D39" s="74">
        <v>-106995.55</v>
      </c>
      <c r="E39" s="74">
        <f aca="true" t="shared" si="6" ref="E39:E58">SUM(C39:D39)</f>
        <v>176092.18</v>
      </c>
      <c r="F39" s="72"/>
      <c r="G39" s="63"/>
    </row>
    <row r="40" spans="1:12" ht="12.75">
      <c r="A40" s="82" t="s">
        <v>341</v>
      </c>
      <c r="B40" s="91" t="s">
        <v>100</v>
      </c>
      <c r="C40" s="74">
        <v>7081729.89</v>
      </c>
      <c r="D40" s="74">
        <v>-2874600.35</v>
      </c>
      <c r="E40" s="74">
        <f t="shared" si="6"/>
        <v>4207129.539999999</v>
      </c>
      <c r="F40" s="72"/>
      <c r="G40" s="63"/>
      <c r="L40" s="75"/>
    </row>
    <row r="41" spans="1:12" ht="12.75">
      <c r="A41" s="82" t="s">
        <v>342</v>
      </c>
      <c r="B41" s="91" t="s">
        <v>102</v>
      </c>
      <c r="C41" s="74">
        <v>1572921.94</v>
      </c>
      <c r="D41" s="74">
        <v>-875989.27</v>
      </c>
      <c r="E41" s="74">
        <f t="shared" si="6"/>
        <v>696932.6699999999</v>
      </c>
      <c r="F41" s="72"/>
      <c r="G41" s="63"/>
      <c r="L41" s="75"/>
    </row>
    <row r="42" spans="1:12" ht="12.75">
      <c r="A42" s="82" t="s">
        <v>343</v>
      </c>
      <c r="B42" s="91" t="s">
        <v>326</v>
      </c>
      <c r="C42" s="74">
        <v>1207027.52</v>
      </c>
      <c r="D42" s="74">
        <v>-443484.63</v>
      </c>
      <c r="E42" s="74">
        <f t="shared" si="6"/>
        <v>763542.89</v>
      </c>
      <c r="F42" s="72"/>
      <c r="G42" s="63"/>
      <c r="L42" s="75"/>
    </row>
    <row r="43" spans="1:12" ht="12.75">
      <c r="A43" s="82" t="s">
        <v>344</v>
      </c>
      <c r="B43" s="91" t="s">
        <v>106</v>
      </c>
      <c r="C43" s="74">
        <v>16325127.5</v>
      </c>
      <c r="D43" s="74">
        <v>-6149944.35</v>
      </c>
      <c r="E43" s="74">
        <f t="shared" si="6"/>
        <v>10175183.15</v>
      </c>
      <c r="F43" s="72"/>
      <c r="G43" s="63"/>
      <c r="L43" s="75"/>
    </row>
    <row r="44" spans="1:12" ht="12.75">
      <c r="A44" s="82" t="s">
        <v>345</v>
      </c>
      <c r="B44" s="91" t="s">
        <v>327</v>
      </c>
      <c r="C44" s="74">
        <v>28033328.95</v>
      </c>
      <c r="D44" s="74">
        <v>-6954697.35</v>
      </c>
      <c r="E44" s="74">
        <f t="shared" si="6"/>
        <v>21078631.6</v>
      </c>
      <c r="F44" s="72"/>
      <c r="G44" s="63"/>
      <c r="L44" s="75"/>
    </row>
    <row r="45" spans="1:7" ht="12.75">
      <c r="A45" s="82" t="s">
        <v>346</v>
      </c>
      <c r="B45" s="91" t="s">
        <v>110</v>
      </c>
      <c r="C45" s="74">
        <v>13507939.37</v>
      </c>
      <c r="D45" s="74">
        <v>-2695922.61</v>
      </c>
      <c r="E45" s="74">
        <f t="shared" si="6"/>
        <v>10812016.76</v>
      </c>
      <c r="F45" s="72"/>
      <c r="G45" s="63"/>
    </row>
    <row r="46" spans="1:7" ht="12.75">
      <c r="A46" s="82" t="s">
        <v>347</v>
      </c>
      <c r="B46" s="91" t="s">
        <v>328</v>
      </c>
      <c r="C46" s="74">
        <v>4069730.19</v>
      </c>
      <c r="D46" s="74">
        <v>-2439819.16</v>
      </c>
      <c r="E46" s="74">
        <f t="shared" si="6"/>
        <v>1629911.0299999998</v>
      </c>
      <c r="F46" s="72"/>
      <c r="G46" s="63"/>
    </row>
    <row r="47" spans="1:7" ht="12.75">
      <c r="A47" s="82" t="s">
        <v>348</v>
      </c>
      <c r="B47" s="91" t="s">
        <v>114</v>
      </c>
      <c r="C47" s="74">
        <v>36721540.98</v>
      </c>
      <c r="D47" s="74">
        <v>-14832449.01</v>
      </c>
      <c r="E47" s="74">
        <f t="shared" si="6"/>
        <v>21889091.97</v>
      </c>
      <c r="F47" s="72"/>
      <c r="G47" s="63"/>
    </row>
    <row r="48" spans="1:7" ht="12.75">
      <c r="A48" s="82" t="s">
        <v>349</v>
      </c>
      <c r="B48" s="91" t="s">
        <v>193</v>
      </c>
      <c r="C48" s="74">
        <v>7939486.73</v>
      </c>
      <c r="D48" s="74">
        <v>-4399673.11</v>
      </c>
      <c r="E48" s="74">
        <f t="shared" si="6"/>
        <v>3539813.62</v>
      </c>
      <c r="F48" s="72"/>
      <c r="G48" s="63"/>
    </row>
    <row r="49" spans="1:7" ht="12.75">
      <c r="A49" s="82" t="s">
        <v>350</v>
      </c>
      <c r="B49" s="91" t="s">
        <v>117</v>
      </c>
      <c r="C49" s="74">
        <v>20127174.3</v>
      </c>
      <c r="D49" s="74">
        <v>-7429569.01</v>
      </c>
      <c r="E49" s="74">
        <f t="shared" si="6"/>
        <v>12697605.290000001</v>
      </c>
      <c r="F49" s="72"/>
      <c r="G49" s="63"/>
    </row>
    <row r="50" spans="1:7" ht="12.75">
      <c r="A50" s="82" t="s">
        <v>351</v>
      </c>
      <c r="B50" s="91" t="s">
        <v>118</v>
      </c>
      <c r="C50" s="74">
        <v>6359265.77</v>
      </c>
      <c r="D50" s="74">
        <v>-2953845.79</v>
      </c>
      <c r="E50" s="74">
        <f t="shared" si="6"/>
        <v>3405419.9799999995</v>
      </c>
      <c r="F50" s="72"/>
      <c r="G50" s="63"/>
    </row>
    <row r="51" spans="1:7" ht="12.75">
      <c r="A51" s="82" t="s">
        <v>352</v>
      </c>
      <c r="B51" s="91" t="s">
        <v>329</v>
      </c>
      <c r="C51" s="74">
        <v>11733186.99</v>
      </c>
      <c r="D51" s="74">
        <v>-4276276.14</v>
      </c>
      <c r="E51" s="74">
        <f t="shared" si="6"/>
        <v>7456910.850000001</v>
      </c>
      <c r="F51" s="72"/>
      <c r="G51" s="63"/>
    </row>
    <row r="52" spans="1:7" ht="12.75">
      <c r="A52" s="82" t="s">
        <v>353</v>
      </c>
      <c r="B52" s="91" t="s">
        <v>330</v>
      </c>
      <c r="C52" s="74">
        <v>9705531.82</v>
      </c>
      <c r="D52" s="74">
        <v>-3871300</v>
      </c>
      <c r="E52" s="74">
        <f t="shared" si="6"/>
        <v>5834231.82</v>
      </c>
      <c r="F52" s="72"/>
      <c r="G52" s="63"/>
    </row>
    <row r="53" spans="1:7" ht="12.75">
      <c r="A53" s="82" t="s">
        <v>354</v>
      </c>
      <c r="B53" s="91" t="s">
        <v>331</v>
      </c>
      <c r="C53" s="74">
        <v>30466456.79</v>
      </c>
      <c r="D53" s="74">
        <v>-8733939.49</v>
      </c>
      <c r="E53" s="74">
        <f t="shared" si="6"/>
        <v>21732517.299999997</v>
      </c>
      <c r="F53" s="72"/>
      <c r="G53" s="63"/>
    </row>
    <row r="54" spans="1:7" ht="12.75">
      <c r="A54" s="82" t="s">
        <v>355</v>
      </c>
      <c r="B54" s="91" t="s">
        <v>332</v>
      </c>
      <c r="C54" s="74">
        <v>11743833.51</v>
      </c>
      <c r="D54" s="74">
        <v>-5055136.37</v>
      </c>
      <c r="E54" s="74">
        <f t="shared" si="6"/>
        <v>6688697.14</v>
      </c>
      <c r="F54" s="72"/>
      <c r="G54" s="63"/>
    </row>
    <row r="55" spans="1:7" ht="12.75">
      <c r="A55" s="82" t="s">
        <v>356</v>
      </c>
      <c r="B55" s="91" t="s">
        <v>333</v>
      </c>
      <c r="C55" s="74">
        <v>15181400.22</v>
      </c>
      <c r="D55" s="74">
        <v>-6394843.56</v>
      </c>
      <c r="E55" s="74">
        <f t="shared" si="6"/>
        <v>8786556.66</v>
      </c>
      <c r="F55" s="72"/>
      <c r="G55" s="63"/>
    </row>
    <row r="56" spans="1:7" ht="12.75">
      <c r="A56" s="82" t="s">
        <v>357</v>
      </c>
      <c r="B56" s="91" t="s">
        <v>334</v>
      </c>
      <c r="C56" s="74">
        <v>6794059.12</v>
      </c>
      <c r="D56" s="74">
        <v>-4908286.13</v>
      </c>
      <c r="E56" s="74">
        <f t="shared" si="6"/>
        <v>1885772.9900000002</v>
      </c>
      <c r="F56" s="72"/>
      <c r="G56" s="63"/>
    </row>
    <row r="57" spans="1:7" ht="12.75">
      <c r="A57" s="82" t="s">
        <v>358</v>
      </c>
      <c r="B57" s="91" t="s">
        <v>359</v>
      </c>
      <c r="C57" s="74">
        <v>405924.15</v>
      </c>
      <c r="D57" s="74">
        <v>-135324.76</v>
      </c>
      <c r="E57" s="74">
        <f t="shared" si="6"/>
        <v>270599.39</v>
      </c>
      <c r="F57" s="104" t="s">
        <v>389</v>
      </c>
      <c r="G57" s="63"/>
    </row>
    <row r="58" spans="1:7" ht="12.75">
      <c r="A58" s="82" t="s">
        <v>360</v>
      </c>
      <c r="B58" s="91" t="s">
        <v>131</v>
      </c>
      <c r="C58" s="74">
        <v>312623.91</v>
      </c>
      <c r="D58" s="74">
        <v>-123740.35</v>
      </c>
      <c r="E58" s="105">
        <f t="shared" si="6"/>
        <v>188883.55999999997</v>
      </c>
      <c r="F58" s="72"/>
      <c r="G58" s="63"/>
    </row>
    <row r="59" spans="1:9" ht="13.5" thickBot="1">
      <c r="A59" s="82" t="s">
        <v>130</v>
      </c>
      <c r="B59" s="91" t="s">
        <v>144</v>
      </c>
      <c r="C59" s="76">
        <f>SUM(C38:C58)</f>
        <v>240840243.59</v>
      </c>
      <c r="D59" s="76">
        <f>SUM(D38:D58)</f>
        <v>-91395235.25999999</v>
      </c>
      <c r="E59" s="76">
        <f>SUM(E38:E58)</f>
        <v>149445008.32999998</v>
      </c>
      <c r="G59" s="63"/>
      <c r="I59" s="70"/>
    </row>
    <row r="60" spans="4:7" ht="13.5" thickTop="1">
      <c r="D60" s="62"/>
      <c r="E60" s="72"/>
      <c r="G60" s="63"/>
    </row>
    <row r="61" spans="1:7" ht="12.75">
      <c r="A61" s="77"/>
      <c r="B61" s="4"/>
      <c r="C61" s="52"/>
      <c r="D61" s="52"/>
      <c r="E61" s="78">
        <f>+E59-O30</f>
        <v>270599.3899999857</v>
      </c>
      <c r="G61" s="63"/>
    </row>
    <row r="62" spans="3:14" ht="12.75">
      <c r="C62" s="106"/>
      <c r="D62" s="106"/>
      <c r="E62" s="106"/>
      <c r="G62" s="63"/>
      <c r="K62" s="68"/>
      <c r="L62" s="68"/>
      <c r="M62" s="68"/>
      <c r="N62" s="68"/>
    </row>
    <row r="63" spans="6:14" ht="12.75">
      <c r="F63" s="69"/>
      <c r="G63" s="70"/>
      <c r="H63" s="69"/>
      <c r="I63" s="70"/>
      <c r="J63" s="68"/>
      <c r="K63" s="68"/>
      <c r="L63" s="68"/>
      <c r="M63" s="68"/>
      <c r="N63" s="68"/>
    </row>
    <row r="64" spans="3:14" ht="12.75">
      <c r="C64" s="107"/>
      <c r="D64" s="107"/>
      <c r="F64" s="69"/>
      <c r="G64" s="70"/>
      <c r="H64" s="69"/>
      <c r="I64" s="70"/>
      <c r="J64" s="68"/>
      <c r="K64" s="68"/>
      <c r="L64" s="68"/>
      <c r="M64" s="68"/>
      <c r="N64" s="68"/>
    </row>
    <row r="65" spans="6:14" ht="12.75">
      <c r="F65" s="69"/>
      <c r="G65" s="70"/>
      <c r="H65" s="69"/>
      <c r="I65" s="70"/>
      <c r="J65" s="68"/>
      <c r="K65" s="68"/>
      <c r="L65" s="68"/>
      <c r="M65" s="68"/>
      <c r="N65" s="68"/>
    </row>
    <row r="66" spans="6:14" ht="12.75">
      <c r="F66" s="69"/>
      <c r="G66" s="70"/>
      <c r="H66" s="69"/>
      <c r="I66" s="70"/>
      <c r="J66" s="68"/>
      <c r="K66" s="68"/>
      <c r="L66" s="68"/>
      <c r="M66" s="68"/>
      <c r="N66" s="68"/>
    </row>
    <row r="67" spans="6:14" ht="12.75">
      <c r="F67" s="69"/>
      <c r="G67" s="70"/>
      <c r="H67" s="69"/>
      <c r="I67" s="70"/>
      <c r="J67" s="68"/>
      <c r="K67" s="68"/>
      <c r="L67" s="68"/>
      <c r="M67" s="68"/>
      <c r="N67" s="68"/>
    </row>
    <row r="68" spans="6:14" ht="12.75">
      <c r="F68" s="69"/>
      <c r="G68" s="70"/>
      <c r="H68" s="69"/>
      <c r="I68" s="70"/>
      <c r="J68" s="68"/>
      <c r="K68" s="68"/>
      <c r="L68" s="68"/>
      <c r="M68" s="68"/>
      <c r="N68" s="68"/>
    </row>
    <row r="69" spans="6:14" ht="12.75">
      <c r="F69" s="69"/>
      <c r="G69" s="70"/>
      <c r="H69" s="69"/>
      <c r="I69" s="70"/>
      <c r="J69" s="68"/>
      <c r="K69" s="68"/>
      <c r="L69" s="68"/>
      <c r="M69" s="68"/>
      <c r="N69" s="68"/>
    </row>
    <row r="70" spans="6:14" ht="12.75">
      <c r="F70" s="69"/>
      <c r="G70" s="70"/>
      <c r="H70" s="69"/>
      <c r="I70" s="70"/>
      <c r="J70" s="68"/>
      <c r="K70" s="68"/>
      <c r="L70" s="68"/>
      <c r="M70" s="68"/>
      <c r="N70" s="68"/>
    </row>
    <row r="71" spans="6:14" ht="12.75">
      <c r="F71" s="69"/>
      <c r="G71" s="70"/>
      <c r="H71" s="69"/>
      <c r="I71" s="70"/>
      <c r="J71" s="68"/>
      <c r="K71" s="68"/>
      <c r="L71" s="68"/>
      <c r="M71" s="68"/>
      <c r="N71" s="68"/>
    </row>
    <row r="72" spans="6:14" ht="12.75">
      <c r="F72" s="69"/>
      <c r="G72" s="70"/>
      <c r="H72" s="69"/>
      <c r="I72" s="70"/>
      <c r="J72" s="68"/>
      <c r="K72" s="68"/>
      <c r="L72" s="68"/>
      <c r="M72" s="68"/>
      <c r="N72" s="68"/>
    </row>
    <row r="73" spans="6:14" ht="12.75">
      <c r="F73" s="69"/>
      <c r="G73" s="70"/>
      <c r="H73" s="69"/>
      <c r="I73" s="70"/>
      <c r="J73" s="68"/>
      <c r="K73" s="68"/>
      <c r="L73" s="68"/>
      <c r="M73" s="68"/>
      <c r="N73" s="68"/>
    </row>
    <row r="74" spans="6:14" ht="12.75">
      <c r="F74" s="69"/>
      <c r="G74" s="70"/>
      <c r="H74" s="69"/>
      <c r="I74" s="70"/>
      <c r="J74" s="68"/>
      <c r="K74" s="68"/>
      <c r="L74" s="68"/>
      <c r="M74" s="68"/>
      <c r="N74" s="68"/>
    </row>
    <row r="75" spans="6:14" ht="12.75">
      <c r="F75" s="69"/>
      <c r="G75" s="70"/>
      <c r="H75" s="69"/>
      <c r="I75" s="70"/>
      <c r="J75" s="68"/>
      <c r="K75" s="68"/>
      <c r="L75" s="68"/>
      <c r="M75" s="68"/>
      <c r="N75" s="68"/>
    </row>
    <row r="76" spans="6:14" ht="12.75">
      <c r="F76" s="69"/>
      <c r="G76" s="70"/>
      <c r="H76" s="69"/>
      <c r="I76" s="70"/>
      <c r="J76" s="68"/>
      <c r="K76" s="68"/>
      <c r="L76" s="68"/>
      <c r="M76" s="68"/>
      <c r="N76" s="68"/>
    </row>
    <row r="77" spans="6:14" ht="12.75">
      <c r="F77" s="69"/>
      <c r="G77" s="70"/>
      <c r="H77" s="69"/>
      <c r="I77" s="70"/>
      <c r="J77" s="68"/>
      <c r="K77" s="68"/>
      <c r="L77" s="68"/>
      <c r="M77" s="68"/>
      <c r="N77" s="68"/>
    </row>
    <row r="78" spans="6:14" ht="12.75">
      <c r="F78" s="69"/>
      <c r="G78" s="70"/>
      <c r="H78" s="69"/>
      <c r="I78" s="70"/>
      <c r="J78" s="68"/>
      <c r="K78" s="68"/>
      <c r="L78" s="68"/>
      <c r="M78" s="68"/>
      <c r="N78" s="68"/>
    </row>
    <row r="79" spans="6:14" ht="12.75">
      <c r="F79" s="69"/>
      <c r="G79" s="70"/>
      <c r="H79" s="69"/>
      <c r="I79" s="70"/>
      <c r="J79" s="68"/>
      <c r="K79" s="68"/>
      <c r="L79" s="68"/>
      <c r="M79" s="68"/>
      <c r="N79" s="68"/>
    </row>
    <row r="80" spans="6:14" ht="12.75">
      <c r="F80" s="69"/>
      <c r="G80" s="70"/>
      <c r="H80" s="69"/>
      <c r="I80" s="70"/>
      <c r="J80" s="68"/>
      <c r="K80" s="68"/>
      <c r="L80" s="68"/>
      <c r="M80" s="68"/>
      <c r="N80" s="68"/>
    </row>
    <row r="81" spans="6:14" ht="12.75">
      <c r="F81" s="69"/>
      <c r="G81" s="70"/>
      <c r="H81" s="69"/>
      <c r="I81" s="70"/>
      <c r="J81" s="68"/>
      <c r="K81" s="68"/>
      <c r="L81" s="68"/>
      <c r="M81" s="68"/>
      <c r="N81" s="68"/>
    </row>
    <row r="82" spans="6:14" ht="12.75">
      <c r="F82" s="69"/>
      <c r="G82" s="70"/>
      <c r="H82" s="69"/>
      <c r="I82" s="70"/>
      <c r="J82" s="68"/>
      <c r="K82" s="68"/>
      <c r="L82" s="68"/>
      <c r="M82" s="68"/>
      <c r="N82" s="68"/>
    </row>
    <row r="83" spans="6:14" ht="12.75">
      <c r="F83" s="69"/>
      <c r="G83" s="70"/>
      <c r="H83" s="69"/>
      <c r="I83" s="70"/>
      <c r="J83" s="68"/>
      <c r="K83" s="68"/>
      <c r="L83" s="68"/>
      <c r="M83" s="68"/>
      <c r="N83" s="68"/>
    </row>
    <row r="84" spans="6:14" ht="12.75">
      <c r="F84" s="69"/>
      <c r="G84" s="70"/>
      <c r="H84" s="69"/>
      <c r="I84" s="70"/>
      <c r="J84" s="68"/>
      <c r="K84" s="68"/>
      <c r="L84" s="68"/>
      <c r="M84" s="68"/>
      <c r="N84" s="68"/>
    </row>
    <row r="85" spans="6:14" ht="12.75">
      <c r="F85" s="69"/>
      <c r="G85" s="70"/>
      <c r="H85" s="69"/>
      <c r="I85" s="70"/>
      <c r="J85" s="68"/>
      <c r="K85" s="68"/>
      <c r="L85" s="68"/>
      <c r="M85" s="68"/>
      <c r="N85" s="68"/>
    </row>
    <row r="86" spans="6:14" ht="12.75">
      <c r="F86" s="69"/>
      <c r="G86" s="70"/>
      <c r="H86" s="69"/>
      <c r="I86" s="70"/>
      <c r="J86" s="68"/>
      <c r="K86" s="68"/>
      <c r="L86" s="68"/>
      <c r="M86" s="68"/>
      <c r="N86" s="68"/>
    </row>
    <row r="87" spans="6:14" ht="12.75">
      <c r="F87" s="69"/>
      <c r="G87" s="70"/>
      <c r="H87" s="69"/>
      <c r="I87" s="70"/>
      <c r="J87" s="68"/>
      <c r="K87" s="68"/>
      <c r="L87" s="68"/>
      <c r="M87" s="68"/>
      <c r="N87" s="68"/>
    </row>
  </sheetData>
  <printOptions horizontalCentered="1"/>
  <pageMargins left="0.5" right="0.5" top="0.5" bottom="0.65" header="0.4" footer="0.2"/>
  <pageSetup fitToHeight="1" fitToWidth="1" horizontalDpi="600" verticalDpi="600" orientation="landscape" scale="61" r:id="rId1"/>
  <headerFooter alignWithMargins="0">
    <oddFooter>&amp;LExhibit RMP___(CCP-3)&amp;CTab 3 - Page 6 of 20&amp;R&amp;F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87"/>
  <sheetViews>
    <sheetView zoomScale="90" zoomScaleNormal="90" workbookViewId="0" topLeftCell="A1">
      <selection activeCell="A1" sqref="A1:I84"/>
    </sheetView>
  </sheetViews>
  <sheetFormatPr defaultColWidth="9.140625" defaultRowHeight="12.75"/>
  <cols>
    <col min="1" max="3" width="9.140625" style="4" customWidth="1"/>
    <col min="4" max="4" width="16.7109375" style="4" customWidth="1"/>
    <col min="5" max="5" width="17.57421875" style="4" customWidth="1"/>
    <col min="6" max="6" width="14.7109375" style="4" customWidth="1"/>
    <col min="7" max="9" width="16.7109375" style="4" customWidth="1"/>
    <col min="10" max="10" width="11.7109375" style="4" bestFit="1" customWidth="1"/>
    <col min="11" max="16384" width="9.140625" style="4" customWidth="1"/>
  </cols>
  <sheetData>
    <row r="1" spans="1:9" ht="12.75">
      <c r="A1" s="29" t="str">
        <f>+'TOTAL FUNCFAC'!$A$1</f>
        <v>PACIFICORP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2" t="str">
        <f>+'TOTAL FUNCFAC'!$A$2</f>
        <v>12 Months Ended December 2007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292" t="s">
        <v>147</v>
      </c>
      <c r="B3" s="292"/>
      <c r="C3" s="292"/>
      <c r="D3" s="292"/>
      <c r="E3" s="292"/>
      <c r="F3" s="292"/>
      <c r="G3" s="292"/>
      <c r="H3" s="292"/>
      <c r="I3" s="292"/>
    </row>
    <row r="4" ht="12.75">
      <c r="D4" s="54"/>
    </row>
    <row r="5" spans="1:10" ht="12.75">
      <c r="A5" s="4" t="s">
        <v>148</v>
      </c>
      <c r="J5" s="54"/>
    </row>
    <row r="6" spans="1:10" ht="12.75">
      <c r="A6" s="44" t="s">
        <v>150</v>
      </c>
      <c r="B6" s="44" t="s">
        <v>151</v>
      </c>
      <c r="C6" s="44" t="s">
        <v>152</v>
      </c>
      <c r="D6" s="45" t="s">
        <v>153</v>
      </c>
      <c r="E6" s="45" t="s">
        <v>136</v>
      </c>
      <c r="F6" s="45" t="s">
        <v>137</v>
      </c>
      <c r="G6" s="45" t="s">
        <v>142</v>
      </c>
      <c r="H6" s="45" t="s">
        <v>238</v>
      </c>
      <c r="I6" s="45" t="s">
        <v>146</v>
      </c>
      <c r="J6" s="55"/>
    </row>
    <row r="7" spans="1:10" ht="12.75" hidden="1">
      <c r="A7" s="4" t="s">
        <v>154</v>
      </c>
      <c r="B7" s="4" t="s">
        <v>155</v>
      </c>
      <c r="C7" s="4" t="s">
        <v>146</v>
      </c>
      <c r="D7" s="31"/>
      <c r="E7" s="31">
        <f>$D7*VLOOKUP(+$C7,$C$78:$I84,3,FALSE)</f>
        <v>0</v>
      </c>
      <c r="F7" s="31">
        <f>$D7*VLOOKUP(+$C7,$C$78:$I84,4,FALSE)</f>
        <v>0</v>
      </c>
      <c r="G7" s="31">
        <f>$D7*VLOOKUP(+$C7,$C$78:$I84,5,FALSE)</f>
        <v>0</v>
      </c>
      <c r="H7" s="31">
        <f>$D7*VLOOKUP(+$C7,$C$78:$I84,6,FALSE)</f>
        <v>0</v>
      </c>
      <c r="I7" s="31">
        <f>$D7*VLOOKUP(+$C7,$C$78:$I84,7,FALSE)</f>
        <v>0</v>
      </c>
      <c r="J7" s="55">
        <v>39218</v>
      </c>
    </row>
    <row r="8" spans="1:9" ht="12.75" hidden="1">
      <c r="A8" s="4" t="s">
        <v>154</v>
      </c>
      <c r="B8" s="4" t="s">
        <v>155</v>
      </c>
      <c r="C8" s="4" t="s">
        <v>170</v>
      </c>
      <c r="D8" s="31"/>
      <c r="E8" s="31">
        <f>$D8*VLOOKUP(+$C8,$C$78:$I85,3,FALSE)</f>
        <v>0</v>
      </c>
      <c r="F8" s="31">
        <f>$D8*VLOOKUP(+$C8,$C$78:$I85,4,FALSE)</f>
        <v>0</v>
      </c>
      <c r="G8" s="31">
        <f>$D8*VLOOKUP(+$C8,$C$78:$I85,5,FALSE)</f>
        <v>0</v>
      </c>
      <c r="H8" s="4">
        <f>$D8*VLOOKUP(+$C8,$C$78:$I85,6,FALSE)</f>
        <v>0</v>
      </c>
      <c r="I8" s="4">
        <f>$D8*VLOOKUP(+$C8,$C$78:$I85,7,FALSE)</f>
        <v>0</v>
      </c>
    </row>
    <row r="9" spans="1:9" ht="12.75" hidden="1">
      <c r="A9" s="4" t="s">
        <v>154</v>
      </c>
      <c r="B9" s="4" t="s">
        <v>15</v>
      </c>
      <c r="C9" s="4" t="s">
        <v>146</v>
      </c>
      <c r="D9" s="31"/>
      <c r="E9" s="31">
        <f>$D9*VLOOKUP(+$C9,$C$78:$I86,3,FALSE)</f>
        <v>0</v>
      </c>
      <c r="F9" s="31">
        <f>$D9*VLOOKUP(+$C9,$C$78:$I86,4,FALSE)</f>
        <v>0</v>
      </c>
      <c r="G9" s="31">
        <f>$D9*VLOOKUP(+$C9,$C$78:$I86,5,FALSE)</f>
        <v>0</v>
      </c>
      <c r="H9" s="4">
        <f>$D9*VLOOKUP(+$C9,$C$78:$I86,6,FALSE)</f>
        <v>0</v>
      </c>
      <c r="I9" s="4">
        <f>$D9*VLOOKUP(+$C9,$C$78:$I86,7,FALSE)</f>
        <v>0</v>
      </c>
    </row>
    <row r="10" spans="1:9" ht="12.75" hidden="1">
      <c r="A10" s="4" t="s">
        <v>154</v>
      </c>
      <c r="B10" s="4" t="s">
        <v>15</v>
      </c>
      <c r="C10" s="4" t="s">
        <v>170</v>
      </c>
      <c r="D10" s="31"/>
      <c r="E10" s="31">
        <f>$D10*VLOOKUP(+$C10,$C$78:$I87,3,FALSE)</f>
        <v>0</v>
      </c>
      <c r="F10" s="31">
        <f>$D10*VLOOKUP(+$C10,$C$78:$I87,4,FALSE)</f>
        <v>0</v>
      </c>
      <c r="G10" s="31">
        <f>$D10*VLOOKUP(+$C10,$C$78:$I87,5,FALSE)</f>
        <v>0</v>
      </c>
      <c r="H10" s="4">
        <f>$D10*VLOOKUP(+$C10,$C$78:$I87,6,FALSE)</f>
        <v>0</v>
      </c>
      <c r="I10" s="4">
        <f>$D10*VLOOKUP(+$C10,$C$78:$I87,7,FALSE)</f>
        <v>0</v>
      </c>
    </row>
    <row r="11" spans="1:9" ht="12.75" hidden="1">
      <c r="A11" s="4" t="s">
        <v>154</v>
      </c>
      <c r="B11" s="4" t="s">
        <v>156</v>
      </c>
      <c r="C11" s="4" t="s">
        <v>146</v>
      </c>
      <c r="D11" s="31"/>
      <c r="E11" s="31">
        <f>$D11*VLOOKUP(+$C11,$C$78:$I87,3,FALSE)</f>
        <v>0</v>
      </c>
      <c r="F11" s="31">
        <f>$D11*VLOOKUP(+$C11,$C$78:$I87,4,FALSE)</f>
        <v>0</v>
      </c>
      <c r="G11" s="31">
        <f>$D11*VLOOKUP(+$C11,$C$78:$I87,5,FALSE)</f>
        <v>0</v>
      </c>
      <c r="H11" s="4">
        <f>$D11*VLOOKUP(+$C11,$C$78:$I87,6,FALSE)</f>
        <v>0</v>
      </c>
      <c r="I11" s="4">
        <f>$D11*VLOOKUP(+$C11,$C$78:$I87,7,FALSE)</f>
        <v>0</v>
      </c>
    </row>
    <row r="12" spans="1:9" ht="12.75" hidden="1">
      <c r="A12" s="4" t="s">
        <v>154</v>
      </c>
      <c r="B12" s="4" t="s">
        <v>156</v>
      </c>
      <c r="C12" s="4" t="s">
        <v>142</v>
      </c>
      <c r="D12" s="31"/>
      <c r="E12" s="31">
        <f>$D12*VLOOKUP(+$C12,$C$78:$I88,3,FALSE)</f>
        <v>0</v>
      </c>
      <c r="F12" s="31">
        <f>$D12*VLOOKUP(+$C12,$C$78:$I88,4,FALSE)</f>
        <v>0</v>
      </c>
      <c r="G12" s="31">
        <f>$D12*VLOOKUP(+$C12,$C$78:$I88,5,FALSE)</f>
        <v>0</v>
      </c>
      <c r="H12" s="4">
        <f>$D12*VLOOKUP(+$C12,$C$78:$I88,6,FALSE)</f>
        <v>0</v>
      </c>
      <c r="I12" s="4">
        <f>$D12*VLOOKUP(+$C12,$C$78:$I88,7,FALSE)</f>
        <v>0</v>
      </c>
    </row>
    <row r="13" spans="1:9" ht="12.75" hidden="1">
      <c r="A13" s="4" t="s">
        <v>154</v>
      </c>
      <c r="B13" s="4" t="s">
        <v>157</v>
      </c>
      <c r="C13" s="4" t="s">
        <v>142</v>
      </c>
      <c r="D13" s="31"/>
      <c r="E13" s="31">
        <f>$D13*VLOOKUP(+$C13,$C$78:$I89,3,FALSE)</f>
        <v>0</v>
      </c>
      <c r="F13" s="31">
        <f>$D13*VLOOKUP(+$C13,$C$78:$I89,4,FALSE)</f>
        <v>0</v>
      </c>
      <c r="G13" s="31">
        <f>$D13*VLOOKUP(+$C13,$C$78:$I89,5,FALSE)</f>
        <v>0</v>
      </c>
      <c r="H13" s="4">
        <f>$D13*VLOOKUP(+$C13,$C$78:$I89,6,FALSE)</f>
        <v>0</v>
      </c>
      <c r="I13" s="4">
        <f>$D13*VLOOKUP(+$C13,$C$78:$I89,7,FALSE)</f>
        <v>0</v>
      </c>
    </row>
    <row r="14" spans="1:9" ht="12.75" hidden="1">
      <c r="A14" s="4" t="s">
        <v>154</v>
      </c>
      <c r="B14" s="4" t="s">
        <v>157</v>
      </c>
      <c r="C14" s="4" t="s">
        <v>140</v>
      </c>
      <c r="D14" s="31"/>
      <c r="E14" s="31">
        <f>$D14*VLOOKUP(+$C14,$C$78:$I90,3,FALSE)</f>
        <v>0</v>
      </c>
      <c r="F14" s="31">
        <f>$D14*VLOOKUP(+$C14,$C$78:$I90,4,FALSE)</f>
        <v>0</v>
      </c>
      <c r="G14" s="31">
        <f>$D14*VLOOKUP(+$C14,$C$78:$I90,5,FALSE)</f>
        <v>0</v>
      </c>
      <c r="H14" s="4">
        <f>$D14*VLOOKUP(+$C14,$C$78:$I90,6,FALSE)</f>
        <v>0</v>
      </c>
      <c r="I14" s="4">
        <f>$D14*VLOOKUP(+$C14,$C$78:$I90,7,FALSE)</f>
        <v>0</v>
      </c>
    </row>
    <row r="15" spans="1:9" ht="12.75" hidden="1">
      <c r="A15" s="4" t="s">
        <v>154</v>
      </c>
      <c r="B15" s="4" t="s">
        <v>157</v>
      </c>
      <c r="C15" s="4" t="s">
        <v>146</v>
      </c>
      <c r="D15" s="31"/>
      <c r="E15" s="31">
        <f>$D15*VLOOKUP(+$C15,$C$78:$I91,3,FALSE)</f>
        <v>0</v>
      </c>
      <c r="F15" s="31">
        <f>$D15*VLOOKUP(+$C15,$C$78:$I91,4,FALSE)</f>
        <v>0</v>
      </c>
      <c r="G15" s="31">
        <f>$D15*VLOOKUP(+$C15,$C$78:$I91,5,FALSE)</f>
        <v>0</v>
      </c>
      <c r="H15" s="4">
        <f>$D15*VLOOKUP(+$C15,$C$78:$I91,6,FALSE)</f>
        <v>0</v>
      </c>
      <c r="I15" s="4">
        <f>$D15*VLOOKUP(+$C15,$C$78:$I91,7,FALSE)</f>
        <v>0</v>
      </c>
    </row>
    <row r="16" spans="1:9" ht="12.75" hidden="1">
      <c r="A16" s="4" t="s">
        <v>154</v>
      </c>
      <c r="B16" s="4" t="s">
        <v>157</v>
      </c>
      <c r="C16" s="4" t="s">
        <v>146</v>
      </c>
      <c r="D16" s="31"/>
      <c r="E16" s="31">
        <f>$D16*VLOOKUP(+$C16,$C$78:$I92,3,FALSE)</f>
        <v>0</v>
      </c>
      <c r="F16" s="31">
        <f>$D16*VLOOKUP(+$C16,$C$78:$I92,4,FALSE)</f>
        <v>0</v>
      </c>
      <c r="G16" s="31">
        <f>$D16*VLOOKUP(+$C16,$C$78:$I92,5,FALSE)</f>
        <v>0</v>
      </c>
      <c r="H16" s="4">
        <f>$D16*VLOOKUP(+$C16,$C$78:$I92,6,FALSE)</f>
        <v>0</v>
      </c>
      <c r="I16" s="4">
        <f>$D16*VLOOKUP(+$C16,$C$78:$I92,7,FALSE)</f>
        <v>0</v>
      </c>
    </row>
    <row r="17" spans="1:9" ht="12.75" hidden="1">
      <c r="A17" s="4" t="s">
        <v>154</v>
      </c>
      <c r="B17" s="4" t="s">
        <v>157</v>
      </c>
      <c r="C17" s="4" t="s">
        <v>146</v>
      </c>
      <c r="D17" s="31"/>
      <c r="E17" s="31">
        <f>$D17*VLOOKUP(+$C17,$C$78:$I94,3,FALSE)</f>
        <v>0</v>
      </c>
      <c r="F17" s="31">
        <f>$D17*VLOOKUP(+$C17,$C$78:$I94,4,FALSE)</f>
        <v>0</v>
      </c>
      <c r="G17" s="31">
        <f>$D17*VLOOKUP(+$C17,$C$78:$I94,5,FALSE)</f>
        <v>0</v>
      </c>
      <c r="H17" s="4">
        <f>$D17*VLOOKUP(+$C17,$C$78:$I94,6,FALSE)</f>
        <v>0</v>
      </c>
      <c r="I17" s="4">
        <f>$D17*VLOOKUP(+$C17,$C$78:$I94,7,FALSE)</f>
        <v>0</v>
      </c>
    </row>
    <row r="18" spans="1:9" ht="12.75" hidden="1">
      <c r="A18" s="4" t="s">
        <v>154</v>
      </c>
      <c r="B18" s="4" t="s">
        <v>157</v>
      </c>
      <c r="C18" s="4" t="s">
        <v>146</v>
      </c>
      <c r="D18" s="31"/>
      <c r="E18" s="31">
        <f>$D18*VLOOKUP(+$C18,$C$78:$I94,3,FALSE)</f>
        <v>0</v>
      </c>
      <c r="F18" s="31">
        <f>$D18*VLOOKUP(+$C18,$C$78:$I94,4,FALSE)</f>
        <v>0</v>
      </c>
      <c r="G18" s="31">
        <f>$D18*VLOOKUP(+$C18,$C$78:$I94,5,FALSE)</f>
        <v>0</v>
      </c>
      <c r="H18" s="4">
        <f>$D18*VLOOKUP(+$C18,$C$78:$I94,6,FALSE)</f>
        <v>0</v>
      </c>
      <c r="I18" s="4">
        <f>$D18*VLOOKUP(+$C18,$C$78:$I94,7,FALSE)</f>
        <v>0</v>
      </c>
    </row>
    <row r="19" spans="1:9" ht="12.75" hidden="1">
      <c r="A19" s="4" t="s">
        <v>154</v>
      </c>
      <c r="B19" s="4" t="s">
        <v>157</v>
      </c>
      <c r="C19" s="4" t="s">
        <v>146</v>
      </c>
      <c r="D19" s="31"/>
      <c r="E19" s="31">
        <f>$D19*VLOOKUP(+$C19,$C$78:$I94,3,FALSE)</f>
        <v>0</v>
      </c>
      <c r="F19" s="31">
        <f>$D19*VLOOKUP(+$C19,$C$78:$I94,4,FALSE)</f>
        <v>0</v>
      </c>
      <c r="G19" s="31">
        <f>$D19*VLOOKUP(+$C19,$C$78:$I94,5,FALSE)</f>
        <v>0</v>
      </c>
      <c r="H19" s="4">
        <f>$D19*VLOOKUP(+$C19,$C$78:$I94,6,FALSE)</f>
        <v>0</v>
      </c>
      <c r="I19" s="4">
        <f>$D19*VLOOKUP(+$C19,$C$78:$I94,7,FALSE)</f>
        <v>0</v>
      </c>
    </row>
    <row r="20" spans="1:9" ht="12.75" hidden="1">
      <c r="A20" s="4" t="s">
        <v>154</v>
      </c>
      <c r="B20" s="4" t="s">
        <v>157</v>
      </c>
      <c r="C20" s="4" t="s">
        <v>146</v>
      </c>
      <c r="D20" s="31"/>
      <c r="E20" s="31">
        <f>$D20*VLOOKUP(+$C20,$C$78:$I95,3,FALSE)</f>
        <v>0</v>
      </c>
      <c r="F20" s="31">
        <f>$D20*VLOOKUP(+$C20,$C$78:$I95,4,FALSE)</f>
        <v>0</v>
      </c>
      <c r="G20" s="31">
        <f>$D20*VLOOKUP(+$C20,$C$78:$I95,5,FALSE)</f>
        <v>0</v>
      </c>
      <c r="H20" s="4">
        <f>$D20*VLOOKUP(+$C20,$C$78:$I95,6,FALSE)</f>
        <v>0</v>
      </c>
      <c r="I20" s="4">
        <f>$D20*VLOOKUP(+$C20,$C$78:$I95,7,FALSE)</f>
        <v>0</v>
      </c>
    </row>
    <row r="21" spans="1:9" ht="12.75" hidden="1">
      <c r="A21" s="4" t="s">
        <v>154</v>
      </c>
      <c r="B21" s="4" t="s">
        <v>157</v>
      </c>
      <c r="C21" s="4" t="s">
        <v>170</v>
      </c>
      <c r="D21" s="31"/>
      <c r="E21" s="31">
        <f>$D21*VLOOKUP(+$C21,$C$78:$I93,3,FALSE)</f>
        <v>0</v>
      </c>
      <c r="F21" s="31">
        <f>$D21*VLOOKUP(+$C21,$C$78:$I93,4,FALSE)</f>
        <v>0</v>
      </c>
      <c r="G21" s="31">
        <f>$D21*VLOOKUP(+$C21,$C$78:$I93,5,FALSE)</f>
        <v>0</v>
      </c>
      <c r="H21" s="4">
        <f>$D21*VLOOKUP(+$C21,$C$78:$I93,6,FALSE)</f>
        <v>0</v>
      </c>
      <c r="I21" s="4">
        <f>$D21*VLOOKUP(+$C21,$C$78:$I93,7,FALSE)</f>
        <v>0</v>
      </c>
    </row>
    <row r="22" spans="1:9" ht="12.75" hidden="1">
      <c r="A22" s="4" t="s">
        <v>154</v>
      </c>
      <c r="B22" s="4" t="s">
        <v>158</v>
      </c>
      <c r="C22" s="4" t="s">
        <v>142</v>
      </c>
      <c r="D22" s="31"/>
      <c r="E22" s="31">
        <f>$D22*VLOOKUP(+$C22,$C$78:$I96,3,FALSE)</f>
        <v>0</v>
      </c>
      <c r="F22" s="31">
        <f>$D22*VLOOKUP(+$C22,$C$78:$I96,4,FALSE)</f>
        <v>0</v>
      </c>
      <c r="G22" s="31">
        <f>$D22*VLOOKUP(+$C22,$C$78:$I96,5,FALSE)</f>
        <v>0</v>
      </c>
      <c r="H22" s="4">
        <f>$D22*VLOOKUP(+$C22,$C$78:$I96,6,FALSE)</f>
        <v>0</v>
      </c>
      <c r="I22" s="4">
        <f>$D22*VLOOKUP(+$C22,$C$78:$I96,7,FALSE)</f>
        <v>0</v>
      </c>
    </row>
    <row r="23" spans="1:9" ht="12.75" hidden="1">
      <c r="A23" s="4" t="s">
        <v>154</v>
      </c>
      <c r="B23" s="4" t="s">
        <v>158</v>
      </c>
      <c r="C23" s="4" t="s">
        <v>146</v>
      </c>
      <c r="D23" s="31"/>
      <c r="E23" s="31">
        <f>$D23*VLOOKUP(+$C23,$C$78:$I97,3,FALSE)</f>
        <v>0</v>
      </c>
      <c r="F23" s="31">
        <f>$D23*VLOOKUP(+$C23,$C$78:$I97,4,FALSE)</f>
        <v>0</v>
      </c>
      <c r="G23" s="31">
        <f>$D23*VLOOKUP(+$C23,$C$78:$I97,5,FALSE)</f>
        <v>0</v>
      </c>
      <c r="H23" s="4">
        <f>$D23*VLOOKUP(+$C23,$C$78:$I97,6,FALSE)</f>
        <v>0</v>
      </c>
      <c r="I23" s="4">
        <f>$D23*VLOOKUP(+$C23,$C$78:$I97,7,FALSE)</f>
        <v>0</v>
      </c>
    </row>
    <row r="24" spans="1:9" ht="12.75" hidden="1">
      <c r="A24" s="4" t="s">
        <v>154</v>
      </c>
      <c r="B24" s="4" t="s">
        <v>158</v>
      </c>
      <c r="C24" s="4" t="s">
        <v>140</v>
      </c>
      <c r="D24" s="31"/>
      <c r="E24" s="31">
        <f>$D24*VLOOKUP(+$C24,$C$78:$I96,3,FALSE)</f>
        <v>0</v>
      </c>
      <c r="F24" s="31">
        <f>$D24*VLOOKUP(+$C24,$C$78:$I96,4,FALSE)</f>
        <v>0</v>
      </c>
      <c r="G24" s="31">
        <f>$D24*VLOOKUP(+$C24,$C$78:$I96,5,FALSE)</f>
        <v>0</v>
      </c>
      <c r="H24" s="4">
        <f>$D24*VLOOKUP(+$C24,$C$78:$I96,6,FALSE)</f>
        <v>0</v>
      </c>
      <c r="I24" s="4">
        <f>$D24*VLOOKUP(+$C24,$C$78:$I96,7,FALSE)</f>
        <v>0</v>
      </c>
    </row>
    <row r="25" spans="1:9" ht="12.75" hidden="1">
      <c r="A25" s="4" t="s">
        <v>154</v>
      </c>
      <c r="B25" s="4" t="s">
        <v>158</v>
      </c>
      <c r="C25" s="4" t="s">
        <v>142</v>
      </c>
      <c r="D25" s="31"/>
      <c r="E25" s="31">
        <f>$D25*VLOOKUP(+$C25,$C$78:$I97,3,FALSE)</f>
        <v>0</v>
      </c>
      <c r="F25" s="31">
        <f>$D25*VLOOKUP(+$C25,$C$78:$I97,4,FALSE)</f>
        <v>0</v>
      </c>
      <c r="G25" s="31">
        <f>$D25*VLOOKUP(+$C25,$C$78:$I97,5,FALSE)</f>
        <v>0</v>
      </c>
      <c r="H25" s="4">
        <f>$D25*VLOOKUP(+$C25,$C$78:$I97,6,FALSE)</f>
        <v>0</v>
      </c>
      <c r="I25" s="4">
        <f>$D25*VLOOKUP(+$C25,$C$78:$I97,7,FALSE)</f>
        <v>0</v>
      </c>
    </row>
    <row r="26" spans="1:9" ht="12.75" hidden="1">
      <c r="A26" s="4" t="s">
        <v>154</v>
      </c>
      <c r="B26" s="4" t="s">
        <v>159</v>
      </c>
      <c r="C26" s="4" t="s">
        <v>146</v>
      </c>
      <c r="D26" s="31"/>
      <c r="E26" s="31">
        <f>$D26*VLOOKUP(+$C26,$C$78:$I98,3,FALSE)</f>
        <v>0</v>
      </c>
      <c r="F26" s="31">
        <f>$D26*VLOOKUP(+$C26,$C$78:$I98,4,FALSE)</f>
        <v>0</v>
      </c>
      <c r="G26" s="31">
        <f>$D26*VLOOKUP(+$C26,$C$78:$I98,5,FALSE)</f>
        <v>0</v>
      </c>
      <c r="H26" s="4">
        <f>$D26*VLOOKUP(+$C26,$C$78:$I98,6,FALSE)</f>
        <v>0</v>
      </c>
      <c r="I26" s="4">
        <f>$D26*VLOOKUP(+$C26,$C$78:$I98,7,FALSE)</f>
        <v>0</v>
      </c>
    </row>
    <row r="27" spans="1:9" ht="12.75" hidden="1">
      <c r="A27" s="4" t="s">
        <v>154</v>
      </c>
      <c r="B27" s="4" t="s">
        <v>159</v>
      </c>
      <c r="C27" s="4" t="s">
        <v>170</v>
      </c>
      <c r="D27" s="31"/>
      <c r="E27" s="31">
        <f>$D27*VLOOKUP(+$C27,$C$78:$I99,3,FALSE)</f>
        <v>0</v>
      </c>
      <c r="F27" s="31">
        <f>$D27*VLOOKUP(+$C27,$C$78:$I99,4,FALSE)</f>
        <v>0</v>
      </c>
      <c r="G27" s="31">
        <f>$D27*VLOOKUP(+$C27,$C$78:$I99,5,FALSE)</f>
        <v>0</v>
      </c>
      <c r="H27" s="4">
        <f>$D27*VLOOKUP(+$C27,$C$78:$I99,6,FALSE)</f>
        <v>0</v>
      </c>
      <c r="I27" s="4">
        <f>$D27*VLOOKUP(+$C27,$C$78:$I99,7,FALSE)</f>
        <v>0</v>
      </c>
    </row>
    <row r="28" spans="1:9" ht="12.75" hidden="1">
      <c r="A28" s="4" t="s">
        <v>154</v>
      </c>
      <c r="B28" s="4" t="s">
        <v>159</v>
      </c>
      <c r="C28" s="4" t="s">
        <v>142</v>
      </c>
      <c r="D28" s="31"/>
      <c r="E28" s="31">
        <f>$D28*VLOOKUP(+$C28,$C$78:$I100,3,FALSE)</f>
        <v>0</v>
      </c>
      <c r="F28" s="31">
        <f>$D28*VLOOKUP(+$C28,$C$78:$I100,4,FALSE)</f>
        <v>0</v>
      </c>
      <c r="G28" s="31">
        <f>$D28*VLOOKUP(+$C28,$C$78:$I100,5,FALSE)</f>
        <v>0</v>
      </c>
      <c r="H28" s="4">
        <f>$D28*VLOOKUP(+$C28,$C$78:$I100,6,FALSE)</f>
        <v>0</v>
      </c>
      <c r="I28" s="4">
        <f>$D28*VLOOKUP(+$C28,$C$78:$I100,7,FALSE)</f>
        <v>0</v>
      </c>
    </row>
    <row r="29" spans="1:9" ht="12.75" hidden="1">
      <c r="A29" s="4" t="s">
        <v>154</v>
      </c>
      <c r="B29" s="4" t="s">
        <v>214</v>
      </c>
      <c r="C29" s="4" t="s">
        <v>140</v>
      </c>
      <c r="D29" s="31">
        <v>0</v>
      </c>
      <c r="E29" s="31">
        <f>$D29*VLOOKUP(+$C29,$C$78:$I100,3,FALSE)</f>
        <v>0</v>
      </c>
      <c r="F29" s="31">
        <f>$D29*VLOOKUP(+$C29,$C$78:$I100,4,FALSE)</f>
        <v>0</v>
      </c>
      <c r="G29" s="31">
        <f>$D29*VLOOKUP(+$C29,$C$78:$I100,5,FALSE)</f>
        <v>0</v>
      </c>
      <c r="H29" s="4">
        <f>$D29*VLOOKUP(+$C29,$C$78:$I100,6,FALSE)</f>
        <v>0</v>
      </c>
      <c r="I29" s="4">
        <f>$D29*VLOOKUP(+$C29,$C$78:$I100,7,FALSE)</f>
        <v>0</v>
      </c>
    </row>
    <row r="30" spans="1:10" ht="12.75">
      <c r="A30" s="4" t="s">
        <v>154</v>
      </c>
      <c r="B30" s="4" t="s">
        <v>214</v>
      </c>
      <c r="C30" s="4" t="s">
        <v>146</v>
      </c>
      <c r="D30" s="16">
        <v>106</v>
      </c>
      <c r="E30" s="16">
        <f>$D30*VLOOKUP(+$C30,$C$78:$I102,3,FALSE)</f>
        <v>0</v>
      </c>
      <c r="F30" s="16">
        <f>$D30*VLOOKUP(+$C30,$C$78:$I102,4,FALSE)</f>
        <v>0</v>
      </c>
      <c r="G30" s="16">
        <f>$D30*VLOOKUP(+$C30,$C$78:$I102,5,FALSE)</f>
        <v>0</v>
      </c>
      <c r="H30" s="37">
        <f>$D30*VLOOKUP(+$C30,$C$78:$I102,6,FALSE)</f>
        <v>0</v>
      </c>
      <c r="I30" s="16">
        <f>$D30*VLOOKUP(+$C30,$C$78:$I102,7,FALSE)</f>
        <v>106</v>
      </c>
      <c r="J30" s="34"/>
    </row>
    <row r="31" spans="1:10" ht="12.75">
      <c r="A31" s="4" t="s">
        <v>154</v>
      </c>
      <c r="B31" s="4" t="s">
        <v>214</v>
      </c>
      <c r="C31" s="4" t="s">
        <v>142</v>
      </c>
      <c r="D31" s="16">
        <v>0</v>
      </c>
      <c r="E31" s="16">
        <f>$D31*VLOOKUP(+$C31,$C$78:$I100,3,FALSE)</f>
        <v>0</v>
      </c>
      <c r="F31" s="16">
        <f>$D31*VLOOKUP(+$C31,$C$78:$I100,4,FALSE)</f>
        <v>0</v>
      </c>
      <c r="G31" s="16">
        <f>$D31*VLOOKUP(+$C31,$C$78:$I100,5,FALSE)</f>
        <v>0</v>
      </c>
      <c r="H31" s="37">
        <f>$D31*VLOOKUP(+$C31,$C$78:$I100,6,FALSE)</f>
        <v>0</v>
      </c>
      <c r="I31" s="37">
        <f>$D31*VLOOKUP(+$C31,$C$78:$I100,7,FALSE)</f>
        <v>0</v>
      </c>
      <c r="J31" s="54"/>
    </row>
    <row r="32" spans="1:10" ht="12.75">
      <c r="A32" s="4" t="s">
        <v>154</v>
      </c>
      <c r="B32" s="4" t="s">
        <v>214</v>
      </c>
      <c r="C32" s="4" t="s">
        <v>170</v>
      </c>
      <c r="D32" s="16">
        <v>1010</v>
      </c>
      <c r="E32" s="16">
        <f>$D32*VLOOKUP(+$C32,$C$78:$I101,3,FALSE)</f>
        <v>470.6930306696691</v>
      </c>
      <c r="F32" s="16">
        <f>$D32*VLOOKUP(+$C32,$C$78:$I101,4,FALSE)</f>
        <v>199.936899031973</v>
      </c>
      <c r="G32" s="16">
        <f>$D32*VLOOKUP(+$C32,$C$78:$I101,5,FALSE)</f>
        <v>339.37007029835786</v>
      </c>
      <c r="H32" s="37">
        <f>$D32*VLOOKUP(+$C32,$C$78:$I101,6,FALSE)</f>
        <v>0</v>
      </c>
      <c r="I32" s="37">
        <f>$D32*VLOOKUP(+$C32,$C$78:$I101,7,FALSE)</f>
        <v>0</v>
      </c>
      <c r="J32" s="55"/>
    </row>
    <row r="33" spans="1:9" ht="12.75">
      <c r="A33" s="4" t="s">
        <v>161</v>
      </c>
      <c r="D33" s="30">
        <f aca="true" t="shared" si="0" ref="D33:I33">SUM(D7:D32)</f>
        <v>1116</v>
      </c>
      <c r="E33" s="30">
        <f t="shared" si="0"/>
        <v>470.6930306696691</v>
      </c>
      <c r="F33" s="30">
        <f t="shared" si="0"/>
        <v>199.936899031973</v>
      </c>
      <c r="G33" s="30">
        <f t="shared" si="0"/>
        <v>339.37007029835786</v>
      </c>
      <c r="H33" s="30">
        <f t="shared" si="0"/>
        <v>0</v>
      </c>
      <c r="I33" s="30">
        <f t="shared" si="0"/>
        <v>106</v>
      </c>
    </row>
    <row r="34" spans="4:9" ht="12.75">
      <c r="D34" s="35">
        <f aca="true" t="shared" si="1" ref="D34:I34">D33/$D33</f>
        <v>1</v>
      </c>
      <c r="E34" s="35">
        <f t="shared" si="1"/>
        <v>0.42176794862873573</v>
      </c>
      <c r="F34" s="35">
        <f t="shared" si="1"/>
        <v>0.1791549274480045</v>
      </c>
      <c r="G34" s="35">
        <f t="shared" si="1"/>
        <v>0.3040950450702131</v>
      </c>
      <c r="H34" s="35">
        <f t="shared" si="1"/>
        <v>0</v>
      </c>
      <c r="I34" s="35">
        <f t="shared" si="1"/>
        <v>0.09498207885304659</v>
      </c>
    </row>
    <row r="35" spans="4:7" ht="12.75">
      <c r="D35" s="31"/>
      <c r="E35" s="31"/>
      <c r="F35" s="31"/>
      <c r="G35" s="31"/>
    </row>
    <row r="36" spans="4:7" ht="12.75">
      <c r="D36" s="31"/>
      <c r="E36" s="31"/>
      <c r="F36" s="31"/>
      <c r="G36" s="31"/>
    </row>
    <row r="37" spans="1:9" ht="12.75">
      <c r="A37" s="4" t="s">
        <v>154</v>
      </c>
      <c r="B37" s="4" t="s">
        <v>162</v>
      </c>
      <c r="C37" s="4" t="s">
        <v>145</v>
      </c>
      <c r="D37" s="31">
        <v>0</v>
      </c>
      <c r="E37" s="31">
        <f>$D37*VLOOKUP(+$C37,$C$78:$I105,3,FALSE)</f>
        <v>0</v>
      </c>
      <c r="F37" s="31">
        <f>$D37*VLOOKUP(+$C37,$C$78:$I105,4,FALSE)</f>
        <v>0</v>
      </c>
      <c r="G37" s="31">
        <f>$D37*VLOOKUP(+$C37,$C$78:$I105,5,FALSE)</f>
        <v>0</v>
      </c>
      <c r="H37" s="4">
        <f>$D37*VLOOKUP(+$C37,$C$78:$I105,6,FALSE)</f>
        <v>0</v>
      </c>
      <c r="I37" s="4">
        <f>$D37*VLOOKUP(+$C37,$C$78:$I105,7,FALSE)</f>
        <v>0</v>
      </c>
    </row>
    <row r="38" spans="1:9" ht="12.75">
      <c r="A38" s="4" t="s">
        <v>154</v>
      </c>
      <c r="B38" s="4" t="s">
        <v>162</v>
      </c>
      <c r="C38" s="4" t="s">
        <v>145</v>
      </c>
      <c r="D38" s="31">
        <v>0</v>
      </c>
      <c r="E38" s="31">
        <f>$D38*VLOOKUP(+$C38,$C$78:$I106,3,FALSE)</f>
        <v>0</v>
      </c>
      <c r="F38" s="31">
        <f>$D38*VLOOKUP(+$C38,$C$78:$I106,4,FALSE)</f>
        <v>0</v>
      </c>
      <c r="G38" s="31">
        <f>$D38*VLOOKUP(+$C38,$C$78:$I106,5,FALSE)</f>
        <v>0</v>
      </c>
      <c r="H38" s="4">
        <f>$D38*VLOOKUP(+$C38,$C$78:$I106,6,FALSE)</f>
        <v>0</v>
      </c>
      <c r="I38" s="4">
        <f>$D38*VLOOKUP(+$C38,$C$78:$I106,7,FALSE)</f>
        <v>0</v>
      </c>
    </row>
    <row r="39" spans="1:9" ht="12.75">
      <c r="A39" s="4" t="s">
        <v>83</v>
      </c>
      <c r="D39" s="152">
        <f aca="true" t="shared" si="2" ref="D39:I39">SUM(D37:D38)</f>
        <v>0</v>
      </c>
      <c r="E39" s="152">
        <f t="shared" si="2"/>
        <v>0</v>
      </c>
      <c r="F39" s="152">
        <f t="shared" si="2"/>
        <v>0</v>
      </c>
      <c r="G39" s="152">
        <f t="shared" si="2"/>
        <v>0</v>
      </c>
      <c r="H39" s="152">
        <f t="shared" si="2"/>
        <v>0</v>
      </c>
      <c r="I39" s="152">
        <f t="shared" si="2"/>
        <v>0</v>
      </c>
    </row>
    <row r="40" spans="4:9" ht="12.75">
      <c r="D40" s="35">
        <f aca="true" t="shared" si="3" ref="D40:I40">IF(D39=0,0,-D39/$D39)</f>
        <v>0</v>
      </c>
      <c r="E40" s="35">
        <f t="shared" si="3"/>
        <v>0</v>
      </c>
      <c r="F40" s="35">
        <f t="shared" si="3"/>
        <v>0</v>
      </c>
      <c r="G40" s="35">
        <f t="shared" si="3"/>
        <v>0</v>
      </c>
      <c r="H40" s="35">
        <f t="shared" si="3"/>
        <v>0</v>
      </c>
      <c r="I40" s="35">
        <f t="shared" si="3"/>
        <v>0</v>
      </c>
    </row>
    <row r="41" spans="4:9" ht="12.75">
      <c r="D41" s="151"/>
      <c r="E41" s="151"/>
      <c r="F41" s="151"/>
      <c r="G41" s="151"/>
      <c r="H41" s="151"/>
      <c r="I41" s="151"/>
    </row>
    <row r="42" spans="1:9" ht="12.75">
      <c r="A42" s="4" t="s">
        <v>154</v>
      </c>
      <c r="B42" s="4" t="s">
        <v>163</v>
      </c>
      <c r="C42" s="4" t="s">
        <v>140</v>
      </c>
      <c r="D42" s="16">
        <v>3</v>
      </c>
      <c r="E42" s="16">
        <f>$D42*VLOOKUP(+$C42,$C$78:$I109,3,FALSE)</f>
        <v>3</v>
      </c>
      <c r="F42" s="16">
        <f>$D42*VLOOKUP(+$C42,$C$78:$I109,4,FALSE)</f>
        <v>0</v>
      </c>
      <c r="G42" s="16">
        <f>$D42*VLOOKUP(+$C42,$C$78:$I109,5,FALSE)</f>
        <v>0</v>
      </c>
      <c r="H42" s="37">
        <f>$D42*VLOOKUP(+$C42,$C$78:$I109,6,FALSE)</f>
        <v>0</v>
      </c>
      <c r="I42" s="37">
        <f>$D42*VLOOKUP(+$C42,$C$78:$I109,7,FALSE)</f>
        <v>0</v>
      </c>
    </row>
    <row r="43" spans="1:9" ht="12.75">
      <c r="A43" s="4" t="s">
        <v>154</v>
      </c>
      <c r="B43" s="4" t="s">
        <v>163</v>
      </c>
      <c r="C43" s="4" t="s">
        <v>146</v>
      </c>
      <c r="D43" s="32">
        <v>0</v>
      </c>
      <c r="E43" s="16">
        <f>$D43*VLOOKUP(+$C43,$C$78:$I110,3,FALSE)</f>
        <v>0</v>
      </c>
      <c r="F43" s="16">
        <f>$D43*VLOOKUP(+$C43,$C$78:$I110,4,FALSE)</f>
        <v>0</v>
      </c>
      <c r="G43" s="16">
        <f>$D43*VLOOKUP(+$C43,$C$78:$I110,5,FALSE)</f>
        <v>0</v>
      </c>
      <c r="H43" s="37">
        <f>$D43*VLOOKUP(+$C43,$C$78:$I110,6,FALSE)</f>
        <v>0</v>
      </c>
      <c r="I43" s="37">
        <f>$D43*VLOOKUP(+$C43,$C$78:$I110,7,FALSE)</f>
        <v>0</v>
      </c>
    </row>
    <row r="44" spans="1:9" ht="12.75">
      <c r="A44" s="4" t="s">
        <v>154</v>
      </c>
      <c r="B44" s="4" t="s">
        <v>163</v>
      </c>
      <c r="C44" s="4" t="s">
        <v>141</v>
      </c>
      <c r="D44" s="16">
        <v>15571</v>
      </c>
      <c r="E44" s="16">
        <f>$D44*VLOOKUP(+$C44,$C$78:$I111,3,FALSE)</f>
        <v>0</v>
      </c>
      <c r="F44" s="16">
        <f>$D44*VLOOKUP(+$C44,$C$78:$I111,4,FALSE)</f>
        <v>15571</v>
      </c>
      <c r="G44" s="16">
        <f>$D44*VLOOKUP(+$C44,$C$78:$I111,5,FALSE)</f>
        <v>0</v>
      </c>
      <c r="H44" s="37">
        <f>$D44*VLOOKUP(+$C44,$C$78:$I111,6,FALSE)</f>
        <v>0</v>
      </c>
      <c r="I44" s="37">
        <f>$D44*VLOOKUP(+$C44,$C$78:$I111,7,FALSE)</f>
        <v>0</v>
      </c>
    </row>
    <row r="45" spans="1:9" ht="12.75">
      <c r="A45" s="4" t="s">
        <v>154</v>
      </c>
      <c r="B45" s="4" t="s">
        <v>163</v>
      </c>
      <c r="C45" s="4" t="s">
        <v>140</v>
      </c>
      <c r="D45" s="16">
        <v>0</v>
      </c>
      <c r="E45" s="16">
        <f>$D45*VLOOKUP(+$C45,$C$78:$I112,3,FALSE)</f>
        <v>0</v>
      </c>
      <c r="F45" s="16">
        <f>$D45*VLOOKUP(+$C45,$C$78:$I112,4,FALSE)</f>
        <v>0</v>
      </c>
      <c r="G45" s="16">
        <f>$D45*VLOOKUP(+$C45,$C$78:$I112,5,FALSE)</f>
        <v>0</v>
      </c>
      <c r="H45" s="37">
        <f>$D45*VLOOKUP(+$C45,$C$78:$I112,6,FALSE)</f>
        <v>0</v>
      </c>
      <c r="I45" s="37">
        <f>$D45*VLOOKUP(+$C45,$C$78:$I112,7,FALSE)</f>
        <v>0</v>
      </c>
    </row>
    <row r="46" spans="1:9" ht="12.75">
      <c r="A46" s="4" t="s">
        <v>154</v>
      </c>
      <c r="B46" s="4" t="s">
        <v>163</v>
      </c>
      <c r="C46" s="4" t="s">
        <v>141</v>
      </c>
      <c r="D46" s="16">
        <v>0</v>
      </c>
      <c r="E46" s="16">
        <f>$D46*VLOOKUP(+$C46,$C$78:$I113,3,FALSE)</f>
        <v>0</v>
      </c>
      <c r="F46" s="16">
        <f>$D46*VLOOKUP(+$C46,$C$78:$I113,4,FALSE)</f>
        <v>0</v>
      </c>
      <c r="G46" s="16">
        <f>$D46*VLOOKUP(+$C46,$C$78:$I113,5,FALSE)</f>
        <v>0</v>
      </c>
      <c r="H46" s="37">
        <f>$D46*VLOOKUP(+$C46,$C$78:$I113,6,FALSE)</f>
        <v>0</v>
      </c>
      <c r="I46" s="37">
        <f>$D46*VLOOKUP(+$C46,$C$78:$I113,7,FALSE)</f>
        <v>0</v>
      </c>
    </row>
    <row r="47" spans="1:9" ht="12.75">
      <c r="A47" s="4" t="s">
        <v>154</v>
      </c>
      <c r="B47" s="4" t="s">
        <v>163</v>
      </c>
      <c r="C47" s="4" t="s">
        <v>140</v>
      </c>
      <c r="D47" s="16">
        <v>0</v>
      </c>
      <c r="E47" s="16">
        <f>$D47*VLOOKUP(+$C47,$C$78:$I114,3,FALSE)</f>
        <v>0</v>
      </c>
      <c r="F47" s="16">
        <f>$D47*VLOOKUP(+$C47,$C$78:$I114,4,FALSE)</f>
        <v>0</v>
      </c>
      <c r="G47" s="16">
        <f>$D47*VLOOKUP(+$C47,$C$78:$I114,5,FALSE)</f>
        <v>0</v>
      </c>
      <c r="H47" s="37">
        <f>$D47*VLOOKUP(+$C47,$C$78:$I114,6,FALSE)</f>
        <v>0</v>
      </c>
      <c r="I47" s="37">
        <f>$D47*VLOOKUP(+$C47,$C$78:$I114,7,FALSE)</f>
        <v>0</v>
      </c>
    </row>
    <row r="48" spans="1:9" ht="12.75">
      <c r="A48" s="4" t="s">
        <v>154</v>
      </c>
      <c r="B48" s="4" t="s">
        <v>163</v>
      </c>
      <c r="C48" s="4" t="s">
        <v>141</v>
      </c>
      <c r="D48" s="16">
        <v>0</v>
      </c>
      <c r="E48" s="16">
        <f>$D48*VLOOKUP(+$C48,$C$78:$I115,3,FALSE)</f>
        <v>0</v>
      </c>
      <c r="F48" s="16">
        <f>$D48*VLOOKUP(+$C48,$C$78:$I115,4,FALSE)</f>
        <v>0</v>
      </c>
      <c r="G48" s="16">
        <f>$D48*VLOOKUP(+$C48,$C$78:$I115,5,FALSE)</f>
        <v>0</v>
      </c>
      <c r="H48" s="37">
        <f>$D48*VLOOKUP(+$C48,$C$78:$I115,6,FALSE)</f>
        <v>0</v>
      </c>
      <c r="I48" s="37">
        <f>$D48*VLOOKUP(+$C48,$C$78:$I115,7,FALSE)</f>
        <v>0</v>
      </c>
    </row>
    <row r="49" spans="1:9" ht="12.75">
      <c r="A49" s="4" t="s">
        <v>164</v>
      </c>
      <c r="D49" s="30">
        <f aca="true" t="shared" si="4" ref="D49:I49">SUM(D42:D48)</f>
        <v>15574</v>
      </c>
      <c r="E49" s="30">
        <f t="shared" si="4"/>
        <v>3</v>
      </c>
      <c r="F49" s="30">
        <f t="shared" si="4"/>
        <v>15571</v>
      </c>
      <c r="G49" s="30">
        <f t="shared" si="4"/>
        <v>0</v>
      </c>
      <c r="H49" s="30">
        <f t="shared" si="4"/>
        <v>0</v>
      </c>
      <c r="I49" s="30">
        <f t="shared" si="4"/>
        <v>0</v>
      </c>
    </row>
    <row r="50" spans="4:10" ht="12.75">
      <c r="D50" s="35">
        <f aca="true" t="shared" si="5" ref="D50:I50">D49/$D49</f>
        <v>1</v>
      </c>
      <c r="E50" s="35">
        <f t="shared" si="5"/>
        <v>0.00019262874020803904</v>
      </c>
      <c r="F50" s="35">
        <f t="shared" si="5"/>
        <v>0.9998073712597919</v>
      </c>
      <c r="G50" s="35">
        <f t="shared" si="5"/>
        <v>0</v>
      </c>
      <c r="H50" s="35">
        <f t="shared" si="5"/>
        <v>0</v>
      </c>
      <c r="I50" s="35">
        <f t="shared" si="5"/>
        <v>0</v>
      </c>
      <c r="J50" s="72"/>
    </row>
    <row r="51" spans="4:7" ht="12.75">
      <c r="D51" s="31"/>
      <c r="E51" s="31"/>
      <c r="F51" s="31"/>
      <c r="G51" s="31"/>
    </row>
    <row r="52" spans="1:9" ht="12.75">
      <c r="A52" s="4" t="s">
        <v>154</v>
      </c>
      <c r="B52" s="4" t="s">
        <v>165</v>
      </c>
      <c r="C52" s="4" t="s">
        <v>146</v>
      </c>
      <c r="D52" s="16">
        <v>0</v>
      </c>
      <c r="E52" s="16">
        <f>$D52*VLOOKUP(+$C52,$C$78:$I119,3,FALSE)</f>
        <v>0</v>
      </c>
      <c r="F52" s="16">
        <f>$D52*VLOOKUP(+$C52,$C$78:$I119,4,FALSE)</f>
        <v>0</v>
      </c>
      <c r="G52" s="16">
        <f>$D52*VLOOKUP(+$C52,$C$78:$I119,5,FALSE)</f>
        <v>0</v>
      </c>
      <c r="H52" s="37">
        <f>$D52*VLOOKUP(+$C52,$C$78:$I119,6,FALSE)</f>
        <v>0</v>
      </c>
      <c r="I52" s="37">
        <f>$D52*VLOOKUP(+$C52,$C$78:$I119,7,FALSE)</f>
        <v>0</v>
      </c>
    </row>
    <row r="53" spans="1:9" ht="12.75">
      <c r="A53" s="4" t="s">
        <v>154</v>
      </c>
      <c r="B53" s="4" t="s">
        <v>165</v>
      </c>
      <c r="C53" s="4" t="s">
        <v>146</v>
      </c>
      <c r="D53" s="16">
        <v>0</v>
      </c>
      <c r="E53" s="16">
        <f>$D53*VLOOKUP(+$C53,$C$78:$I120,3,FALSE)</f>
        <v>0</v>
      </c>
      <c r="F53" s="16">
        <f>$D53*VLOOKUP(+$C53,$C$78:$I120,4,FALSE)</f>
        <v>0</v>
      </c>
      <c r="G53" s="16">
        <f>$D53*VLOOKUP(+$C53,$C$78:$I120,5,FALSE)</f>
        <v>0</v>
      </c>
      <c r="H53" s="37">
        <f>$D53*VLOOKUP(+$C53,$C$78:$I120,6,FALSE)</f>
        <v>0</v>
      </c>
      <c r="I53" s="37">
        <f>$D53*VLOOKUP(+$C53,$C$78:$I120,7,FALSE)</f>
        <v>0</v>
      </c>
    </row>
    <row r="54" spans="1:9" ht="12.75">
      <c r="A54" s="4" t="s">
        <v>154</v>
      </c>
      <c r="B54" s="4" t="s">
        <v>165</v>
      </c>
      <c r="C54" s="4" t="s">
        <v>140</v>
      </c>
      <c r="D54" s="32">
        <v>38189</v>
      </c>
      <c r="E54" s="16">
        <f>$D54*VLOOKUP(+$C54,$C$78:$I121,3,FALSE)</f>
        <v>38189</v>
      </c>
      <c r="F54" s="16">
        <f>$D54*VLOOKUP(+$C54,$C$78:$I121,4,FALSE)</f>
        <v>0</v>
      </c>
      <c r="G54" s="16">
        <f>$D54*VLOOKUP(+$C54,$C$78:$I121,5,FALSE)</f>
        <v>0</v>
      </c>
      <c r="H54" s="37">
        <f>$D54*VLOOKUP(+$C54,$C$78:$I121,6,FALSE)</f>
        <v>0</v>
      </c>
      <c r="I54" s="37">
        <f>$D54*VLOOKUP(+$C54,$C$78:$I121,7,FALSE)</f>
        <v>0</v>
      </c>
    </row>
    <row r="55" spans="1:9" ht="12.75">
      <c r="A55" s="4" t="s">
        <v>154</v>
      </c>
      <c r="B55" s="4" t="s">
        <v>165</v>
      </c>
      <c r="C55" s="4" t="s">
        <v>140</v>
      </c>
      <c r="D55" s="16">
        <v>0</v>
      </c>
      <c r="E55" s="16">
        <f>$D55*VLOOKUP(+$C55,$C$78:$I120,3,FALSE)</f>
        <v>0</v>
      </c>
      <c r="F55" s="16">
        <f>$D55*VLOOKUP(+$C55,$C$78:$I120,4,FALSE)</f>
        <v>0</v>
      </c>
      <c r="G55" s="16">
        <f>$D55*VLOOKUP(+$C55,$C$78:$I120,5,FALSE)</f>
        <v>0</v>
      </c>
      <c r="H55" s="37">
        <f>$D55*VLOOKUP(+$C55,$C$78:$I120,6,FALSE)</f>
        <v>0</v>
      </c>
      <c r="I55" s="37">
        <f>$D55*VLOOKUP(+$C55,$C$78:$I120,7,FALSE)</f>
        <v>0</v>
      </c>
    </row>
    <row r="56" spans="1:9" ht="12.75">
      <c r="A56" s="4" t="s">
        <v>154</v>
      </c>
      <c r="B56" s="4" t="s">
        <v>165</v>
      </c>
      <c r="C56" s="4" t="s">
        <v>140</v>
      </c>
      <c r="D56" s="16">
        <v>0</v>
      </c>
      <c r="E56" s="16">
        <f>$D56*VLOOKUP(+$C56,$C$78:$I122,3,FALSE)</f>
        <v>0</v>
      </c>
      <c r="F56" s="16">
        <f>$D56*VLOOKUP(+$C56,$C$78:$I122,4,FALSE)</f>
        <v>0</v>
      </c>
      <c r="G56" s="16">
        <f>$D56*VLOOKUP(+$C56,$C$78:$I122,5,FALSE)</f>
        <v>0</v>
      </c>
      <c r="H56" s="37">
        <f>$D56*VLOOKUP(+$C56,$C$78:$I122,6,FALSE)</f>
        <v>0</v>
      </c>
      <c r="I56" s="37">
        <f>$D56*VLOOKUP(+$C56,$C$78:$I122,7,FALSE)</f>
        <v>0</v>
      </c>
    </row>
    <row r="57" spans="1:9" ht="12.75">
      <c r="A57" s="4" t="s">
        <v>154</v>
      </c>
      <c r="B57" s="4" t="s">
        <v>165</v>
      </c>
      <c r="C57" s="4" t="s">
        <v>140</v>
      </c>
      <c r="D57" s="16">
        <v>0</v>
      </c>
      <c r="E57" s="16">
        <f>$D57*VLOOKUP(+$C57,$C$78:$I122,3,FALSE)</f>
        <v>0</v>
      </c>
      <c r="F57" s="16">
        <f>$D57*VLOOKUP(+$C57,$C$78:$I122,4,FALSE)</f>
        <v>0</v>
      </c>
      <c r="G57" s="16">
        <f>$D57*VLOOKUP(+$C57,$C$78:$I122,5,FALSE)</f>
        <v>0</v>
      </c>
      <c r="H57" s="37">
        <f>$D57*VLOOKUP(+$C57,$C$78:$I122,6,FALSE)</f>
        <v>0</v>
      </c>
      <c r="I57" s="37">
        <f>$D57*VLOOKUP(+$C57,$C$78:$I122,7,FALSE)</f>
        <v>0</v>
      </c>
    </row>
    <row r="58" spans="1:9" ht="12.75">
      <c r="A58" s="4" t="s">
        <v>154</v>
      </c>
      <c r="B58" s="4" t="s">
        <v>165</v>
      </c>
      <c r="C58" s="4" t="s">
        <v>141</v>
      </c>
      <c r="D58" s="16">
        <v>40652</v>
      </c>
      <c r="E58" s="16">
        <f>$D58*VLOOKUP(+$C58,$C$78:$I123,3,FALSE)</f>
        <v>0</v>
      </c>
      <c r="F58" s="16">
        <f>$D58*VLOOKUP(+$C58,$C$78:$I123,4,FALSE)</f>
        <v>40652</v>
      </c>
      <c r="G58" s="16">
        <f>$D58*VLOOKUP(+$C58,$C$78:$I123,5,FALSE)</f>
        <v>0</v>
      </c>
      <c r="H58" s="37">
        <f>$D58*VLOOKUP(+$C58,$C$78:$I123,6,FALSE)</f>
        <v>0</v>
      </c>
      <c r="I58" s="37">
        <f>$D58*VLOOKUP(+$C58,$C$78:$I123,7,FALSE)</f>
        <v>0</v>
      </c>
    </row>
    <row r="59" spans="1:9" ht="12.75" hidden="1">
      <c r="A59" s="4" t="s">
        <v>154</v>
      </c>
      <c r="B59" s="4" t="s">
        <v>165</v>
      </c>
      <c r="C59" s="4" t="s">
        <v>141</v>
      </c>
      <c r="D59" s="16">
        <v>0</v>
      </c>
      <c r="E59" s="16">
        <f>$D59*VLOOKUP(+$C59,$C$78:$I124,3,FALSE)</f>
        <v>0</v>
      </c>
      <c r="F59" s="16">
        <f>$D59*VLOOKUP(+$C59,$C$78:$I124,4,FALSE)</f>
        <v>0</v>
      </c>
      <c r="G59" s="16">
        <f>$D59*VLOOKUP(+$C59,$C$78:$I124,5,FALSE)</f>
        <v>0</v>
      </c>
      <c r="H59" s="37">
        <f>$D59*VLOOKUP(+$C59,$C$78:$I124,6,FALSE)</f>
        <v>0</v>
      </c>
      <c r="I59" s="37">
        <f>$D59*VLOOKUP(+$C59,$C$78:$I124,7,FALSE)</f>
        <v>0</v>
      </c>
    </row>
    <row r="60" spans="1:9" ht="12.75" hidden="1">
      <c r="A60" s="4" t="s">
        <v>154</v>
      </c>
      <c r="B60" s="4" t="s">
        <v>165</v>
      </c>
      <c r="C60" s="4" t="s">
        <v>141</v>
      </c>
      <c r="D60" s="16">
        <v>0</v>
      </c>
      <c r="E60" s="16">
        <f>$D60*VLOOKUP(+$C60,$C$78:$I123,3,FALSE)</f>
        <v>0</v>
      </c>
      <c r="F60" s="16">
        <f>$D60*VLOOKUP(+$C60,$C$78:$I123,4,FALSE)</f>
        <v>0</v>
      </c>
      <c r="G60" s="16">
        <f>$D60*VLOOKUP(+$C60,$C$78:$I123,5,FALSE)</f>
        <v>0</v>
      </c>
      <c r="H60" s="37">
        <f>$D60*VLOOKUP(+$C60,$C$78:$I123,6,FALSE)</f>
        <v>0</v>
      </c>
      <c r="I60" s="37">
        <f>$D60*VLOOKUP(+$C60,$C$78:$I123,7,FALSE)</f>
        <v>0</v>
      </c>
    </row>
    <row r="61" spans="1:9" ht="12.75" hidden="1">
      <c r="A61" s="4" t="s">
        <v>154</v>
      </c>
      <c r="B61" s="4" t="s">
        <v>165</v>
      </c>
      <c r="C61" s="4" t="s">
        <v>141</v>
      </c>
      <c r="D61" s="16">
        <v>0</v>
      </c>
      <c r="E61" s="16">
        <f>$D61*VLOOKUP(+$C61,$C$78:$I123,3,FALSE)</f>
        <v>0</v>
      </c>
      <c r="F61" s="16">
        <f>$D61*VLOOKUP(+$C61,$C$78:$I123,4,FALSE)</f>
        <v>0</v>
      </c>
      <c r="G61" s="16">
        <f>$D61*VLOOKUP(+$C61,$C$78:$I123,5,FALSE)</f>
        <v>0</v>
      </c>
      <c r="H61" s="37">
        <f>$D61*VLOOKUP(+$C61,$C$78:$I123,6,FALSE)</f>
        <v>0</v>
      </c>
      <c r="I61" s="37">
        <f>$D61*VLOOKUP(+$C61,$C$78:$I123,7,FALSE)</f>
        <v>0</v>
      </c>
    </row>
    <row r="62" spans="1:9" ht="12.75" hidden="1">
      <c r="A62" s="4" t="s">
        <v>154</v>
      </c>
      <c r="B62" s="4" t="s">
        <v>165</v>
      </c>
      <c r="C62" s="4" t="s">
        <v>141</v>
      </c>
      <c r="D62" s="16">
        <v>0</v>
      </c>
      <c r="E62" s="16">
        <f>$D62*VLOOKUP(+$C62,$C$78:$I123,3,FALSE)</f>
        <v>0</v>
      </c>
      <c r="F62" s="16">
        <f>$D62*VLOOKUP(+$C62,$C$78:$I123,4,FALSE)</f>
        <v>0</v>
      </c>
      <c r="G62" s="16">
        <f>$D62*VLOOKUP(+$C62,$C$78:$I123,5,FALSE)</f>
        <v>0</v>
      </c>
      <c r="H62" s="37">
        <f>$D62*VLOOKUP(+$C62,$C$78:$I123,6,FALSE)</f>
        <v>0</v>
      </c>
      <c r="I62" s="37">
        <f>$D62*VLOOKUP(+$C62,$C$78:$I123,7,FALSE)</f>
        <v>0</v>
      </c>
    </row>
    <row r="63" spans="1:9" ht="12.75" hidden="1">
      <c r="A63" s="4" t="s">
        <v>154</v>
      </c>
      <c r="B63" s="4" t="s">
        <v>165</v>
      </c>
      <c r="C63" s="4" t="s">
        <v>141</v>
      </c>
      <c r="D63" s="16">
        <v>0</v>
      </c>
      <c r="E63" s="16">
        <f>$D63*VLOOKUP(+$C63,$C$78:$I124,3,FALSE)</f>
        <v>0</v>
      </c>
      <c r="F63" s="16">
        <f>$D63*VLOOKUP(+$C63,$C$78:$I124,4,FALSE)</f>
        <v>0</v>
      </c>
      <c r="G63" s="16">
        <f>$D63*VLOOKUP(+$C63,$C$78:$I124,5,FALSE)</f>
        <v>0</v>
      </c>
      <c r="H63" s="37">
        <f>$D63*VLOOKUP(+$C63,$C$78:$I124,6,FALSE)</f>
        <v>0</v>
      </c>
      <c r="I63" s="37">
        <f>$D63*VLOOKUP(+$C63,$C$78:$I124,7,FALSE)</f>
        <v>0</v>
      </c>
    </row>
    <row r="64" spans="1:9" ht="12.75" hidden="1">
      <c r="A64" s="4" t="s">
        <v>154</v>
      </c>
      <c r="B64" s="4" t="s">
        <v>165</v>
      </c>
      <c r="C64" s="4" t="s">
        <v>146</v>
      </c>
      <c r="D64" s="16">
        <v>0</v>
      </c>
      <c r="E64" s="16">
        <f>$D64*VLOOKUP(+$C64,$C$78:$I121,3,FALSE)</f>
        <v>0</v>
      </c>
      <c r="F64" s="16">
        <f>$D64*VLOOKUP(+$C64,$C$78:$I121,4,FALSE)</f>
        <v>0</v>
      </c>
      <c r="G64" s="16">
        <f>$D64*VLOOKUP(+$C64,$C$78:$I121,5,FALSE)</f>
        <v>0</v>
      </c>
      <c r="H64" s="37">
        <f>$D64*VLOOKUP(+$C64,$C$78:$I121,6,FALSE)</f>
        <v>0</v>
      </c>
      <c r="I64" s="37">
        <f>$D64*VLOOKUP(+$C64,$C$78:$I121,7,FALSE)</f>
        <v>0</v>
      </c>
    </row>
    <row r="65" spans="1:9" ht="12.75">
      <c r="A65" s="4" t="s">
        <v>166</v>
      </c>
      <c r="D65" s="30">
        <f aca="true" t="shared" si="6" ref="D65:I65">SUM(D52:D64)</f>
        <v>78841</v>
      </c>
      <c r="E65" s="30">
        <f t="shared" si="6"/>
        <v>38189</v>
      </c>
      <c r="F65" s="30">
        <f t="shared" si="6"/>
        <v>40652</v>
      </c>
      <c r="G65" s="30">
        <f t="shared" si="6"/>
        <v>0</v>
      </c>
      <c r="H65" s="30">
        <f t="shared" si="6"/>
        <v>0</v>
      </c>
      <c r="I65" s="30">
        <f t="shared" si="6"/>
        <v>0</v>
      </c>
    </row>
    <row r="66" spans="4:9" ht="12.75">
      <c r="D66" s="35">
        <f aca="true" t="shared" si="7" ref="D66:I66">D65/$D65</f>
        <v>1</v>
      </c>
      <c r="E66" s="35">
        <f t="shared" si="7"/>
        <v>0.4843799545921538</v>
      </c>
      <c r="F66" s="35">
        <f t="shared" si="7"/>
        <v>0.5156200454078461</v>
      </c>
      <c r="G66" s="35">
        <f t="shared" si="7"/>
        <v>0</v>
      </c>
      <c r="H66" s="35">
        <f t="shared" si="7"/>
        <v>0</v>
      </c>
      <c r="I66" s="35">
        <f t="shared" si="7"/>
        <v>0</v>
      </c>
    </row>
    <row r="67" spans="4:7" ht="12.75">
      <c r="D67" s="31"/>
      <c r="E67" s="31"/>
      <c r="F67" s="31"/>
      <c r="G67" s="31"/>
    </row>
    <row r="68" spans="1:9" ht="12.75">
      <c r="A68" s="4" t="s">
        <v>154</v>
      </c>
      <c r="B68" s="4" t="s">
        <v>167</v>
      </c>
      <c r="C68" s="4" t="s">
        <v>170</v>
      </c>
      <c r="D68" s="16">
        <v>244</v>
      </c>
      <c r="E68" s="16">
        <f>$D68*VLOOKUP(+$C68,$C$78:$I128,3,FALSE)</f>
        <v>113.71197968653392</v>
      </c>
      <c r="F68" s="16">
        <f>$D68*VLOOKUP(+$C68,$C$78:$I128,4,FALSE)</f>
        <v>48.30158748891229</v>
      </c>
      <c r="G68" s="16">
        <f>$D68*VLOOKUP(+$C68,$C$78:$I128,5,FALSE)</f>
        <v>81.98643282455379</v>
      </c>
      <c r="H68" s="16">
        <f>$D68*VLOOKUP(+$C68,$C$78:$I128,6,FALSE)</f>
        <v>0</v>
      </c>
      <c r="I68" s="16">
        <f>$D68*VLOOKUP(+$C68,$C$78:$I128,7,FALSE)</f>
        <v>0</v>
      </c>
    </row>
    <row r="69" spans="1:9" ht="12.75">
      <c r="A69" s="4" t="s">
        <v>154</v>
      </c>
      <c r="B69" s="4" t="s">
        <v>167</v>
      </c>
      <c r="C69" s="4" t="s">
        <v>170</v>
      </c>
      <c r="D69" s="16">
        <v>0</v>
      </c>
      <c r="E69" s="16">
        <f>$D69*VLOOKUP(+$C69,$C$78:$I129,3,FALSE)</f>
        <v>0</v>
      </c>
      <c r="F69" s="16">
        <f>$D69*VLOOKUP(+$C69,$C$78:$I129,4,FALSE)</f>
        <v>0</v>
      </c>
      <c r="G69" s="16">
        <f>$D69*VLOOKUP(+$C69,$C$78:$I129,5,FALSE)</f>
        <v>0</v>
      </c>
      <c r="H69" s="16">
        <f>$D69*VLOOKUP(+$C69,$C$78:$I129,6,FALSE)</f>
        <v>0</v>
      </c>
      <c r="I69" s="16">
        <f>$D69*VLOOKUP(+$C69,$C$78:$I129,7,FALSE)</f>
        <v>0</v>
      </c>
    </row>
    <row r="70" spans="1:9" ht="12.75">
      <c r="A70" s="4" t="s">
        <v>154</v>
      </c>
      <c r="B70" s="4" t="s">
        <v>167</v>
      </c>
      <c r="C70" s="4" t="s">
        <v>140</v>
      </c>
      <c r="D70" s="16">
        <v>0</v>
      </c>
      <c r="E70" s="16">
        <f>$D70*VLOOKUP(+$C70,$C$78:$I129,3,FALSE)</f>
        <v>0</v>
      </c>
      <c r="F70" s="16">
        <f>$D70*VLOOKUP(+$C70,$C$78:$I129,4,FALSE)</f>
        <v>0</v>
      </c>
      <c r="G70" s="16">
        <f>$D70*VLOOKUP(+$C70,$C$78:$I129,5,FALSE)</f>
        <v>0</v>
      </c>
      <c r="H70" s="16">
        <f>$D70*VLOOKUP(+$C70,$C$78:$I129,6,FALSE)</f>
        <v>0</v>
      </c>
      <c r="I70" s="16">
        <f>$D70*VLOOKUP(+$C70,$C$78:$I129,7,FALSE)</f>
        <v>0</v>
      </c>
    </row>
    <row r="71" spans="1:9" ht="12.75">
      <c r="A71" s="4" t="s">
        <v>154</v>
      </c>
      <c r="B71" s="4" t="s">
        <v>167</v>
      </c>
      <c r="C71" s="4" t="s">
        <v>146</v>
      </c>
      <c r="D71" s="16">
        <v>27831</v>
      </c>
      <c r="E71" s="16">
        <f>$D71*VLOOKUP(+$C71,$C$78:$I130,3,FALSE)</f>
        <v>0</v>
      </c>
      <c r="F71" s="16">
        <f>$D71*VLOOKUP(+$C71,$C$78:$I130,4,FALSE)</f>
        <v>0</v>
      </c>
      <c r="G71" s="16">
        <f>$D71*VLOOKUP(+$C71,$C$78:$I130,5,FALSE)</f>
        <v>0</v>
      </c>
      <c r="H71" s="16">
        <f>$D71*VLOOKUP(+$C71,$C$78:$I130,6,FALSE)</f>
        <v>0</v>
      </c>
      <c r="I71" s="16">
        <f>$D71*VLOOKUP(+$C71,$C$78:$I130,7,FALSE)</f>
        <v>27831</v>
      </c>
    </row>
    <row r="72" spans="1:9" ht="12.75">
      <c r="A72" s="4" t="s">
        <v>171</v>
      </c>
      <c r="D72" s="30">
        <f aca="true" t="shared" si="8" ref="D72:I72">SUM(D68:D71)</f>
        <v>28075</v>
      </c>
      <c r="E72" s="30">
        <f t="shared" si="8"/>
        <v>113.71197968653392</v>
      </c>
      <c r="F72" s="30">
        <f t="shared" si="8"/>
        <v>48.30158748891229</v>
      </c>
      <c r="G72" s="30">
        <f t="shared" si="8"/>
        <v>81.98643282455379</v>
      </c>
      <c r="H72" s="30">
        <f t="shared" si="8"/>
        <v>0</v>
      </c>
      <c r="I72" s="30">
        <f t="shared" si="8"/>
        <v>27831</v>
      </c>
    </row>
    <row r="73" spans="4:9" ht="12.75">
      <c r="D73" s="35">
        <f aca="true" t="shared" si="9" ref="D73:I73">D72/$D72</f>
        <v>1</v>
      </c>
      <c r="E73" s="35">
        <f t="shared" si="9"/>
        <v>0.004050293132200674</v>
      </c>
      <c r="F73" s="35">
        <f t="shared" si="9"/>
        <v>0.0017204483522319605</v>
      </c>
      <c r="G73" s="35">
        <f t="shared" si="9"/>
        <v>0.0029202647488710165</v>
      </c>
      <c r="H73" s="35">
        <f t="shared" si="9"/>
        <v>0</v>
      </c>
      <c r="I73" s="35">
        <f t="shared" si="9"/>
        <v>0.9913089937666963</v>
      </c>
    </row>
    <row r="74" spans="4:9" ht="12.75">
      <c r="D74" s="31"/>
      <c r="E74" s="151"/>
      <c r="F74" s="151"/>
      <c r="G74" s="151"/>
      <c r="H74" s="151"/>
      <c r="I74" s="151"/>
    </row>
    <row r="75" spans="1:9" ht="13.5" thickBot="1">
      <c r="A75" s="4" t="s">
        <v>172</v>
      </c>
      <c r="D75" s="33">
        <f>D33+D39+D49+D65+D72</f>
        <v>123606</v>
      </c>
      <c r="E75" s="33">
        <f>E33+E39+E49+E65+E72</f>
        <v>38776.405010356204</v>
      </c>
      <c r="F75" s="33">
        <f>F33+F38+F49+F65+F72</f>
        <v>56471.23848652088</v>
      </c>
      <c r="G75" s="33">
        <f>G33+G38+G49+G65+G72</f>
        <v>421.35650312291165</v>
      </c>
      <c r="H75" s="33">
        <f>H33+H38+H49+H65+H72</f>
        <v>0</v>
      </c>
      <c r="I75" s="33">
        <f>I33+I38+I49+I65+I72</f>
        <v>27937</v>
      </c>
    </row>
    <row r="76" spans="4:6" ht="13.5" thickTop="1">
      <c r="D76" s="31"/>
      <c r="E76" s="31"/>
      <c r="F76" s="31"/>
    </row>
    <row r="77" spans="3:9" ht="12.75">
      <c r="C77" s="153"/>
      <c r="D77" s="154" t="s">
        <v>144</v>
      </c>
      <c r="E77" s="155" t="s">
        <v>219</v>
      </c>
      <c r="F77" s="155" t="s">
        <v>220</v>
      </c>
      <c r="G77" s="154" t="s">
        <v>142</v>
      </c>
      <c r="H77" s="154" t="s">
        <v>145</v>
      </c>
      <c r="I77" s="154" t="s">
        <v>146</v>
      </c>
    </row>
    <row r="78" spans="3:9" ht="12.75">
      <c r="C78" s="156" t="s">
        <v>140</v>
      </c>
      <c r="D78" s="35">
        <f>SUM(E78:I78)</f>
        <v>1</v>
      </c>
      <c r="E78" s="35">
        <f>'FORM 1'!$C$13</f>
        <v>1</v>
      </c>
      <c r="F78" s="35">
        <f>'FORM 1'!$D$13</f>
        <v>0</v>
      </c>
      <c r="G78" s="35">
        <f>'FORM 1'!$E$13</f>
        <v>0</v>
      </c>
      <c r="H78" s="35">
        <f>'FORM 1'!$F$13</f>
        <v>0</v>
      </c>
      <c r="I78" s="35">
        <f>'FORM 1'!$G$13</f>
        <v>0</v>
      </c>
    </row>
    <row r="79" spans="3:9" ht="12.75">
      <c r="C79" s="156" t="s">
        <v>141</v>
      </c>
      <c r="D79" s="35">
        <f aca="true" t="shared" si="10" ref="D79:D84">SUM(E79:I79)</f>
        <v>1</v>
      </c>
      <c r="E79" s="35">
        <f>'FORM 1'!$C$14</f>
        <v>0</v>
      </c>
      <c r="F79" s="35">
        <f>'FORM 1'!$D$14</f>
        <v>1</v>
      </c>
      <c r="G79" s="35">
        <f>'FORM 1'!$E$14</f>
        <v>0</v>
      </c>
      <c r="H79" s="35">
        <f>'FORM 1'!$F$14</f>
        <v>0</v>
      </c>
      <c r="I79" s="35">
        <f>'FORM 1'!$G$14</f>
        <v>0</v>
      </c>
    </row>
    <row r="80" spans="3:9" ht="12.75">
      <c r="C80" s="156" t="s">
        <v>175</v>
      </c>
      <c r="D80" s="35">
        <f t="shared" si="10"/>
        <v>1</v>
      </c>
      <c r="E80" s="35">
        <f>'FORM 1'!$C$18</f>
        <v>0</v>
      </c>
      <c r="F80" s="35">
        <f>'FORM 1'!$D$18</f>
        <v>0.37072930705909285</v>
      </c>
      <c r="G80" s="35">
        <f>'FORM 1'!$E$18</f>
        <v>0.6292706929409071</v>
      </c>
      <c r="H80" s="35">
        <f>'FORM 1'!$F$18</f>
        <v>0</v>
      </c>
      <c r="I80" s="35">
        <f>'FORM 1'!$G$18</f>
        <v>0</v>
      </c>
    </row>
    <row r="81" spans="3:9" ht="12.75">
      <c r="C81" s="156" t="s">
        <v>145</v>
      </c>
      <c r="D81" s="35">
        <f t="shared" si="10"/>
        <v>1</v>
      </c>
      <c r="E81" s="35">
        <v>0</v>
      </c>
      <c r="F81" s="35">
        <v>0</v>
      </c>
      <c r="G81" s="35">
        <v>0</v>
      </c>
      <c r="H81" s="35">
        <v>1</v>
      </c>
      <c r="I81" s="35">
        <v>0</v>
      </c>
    </row>
    <row r="82" spans="3:9" ht="12.75">
      <c r="C82" s="156" t="s">
        <v>142</v>
      </c>
      <c r="D82" s="35">
        <f t="shared" si="10"/>
        <v>1</v>
      </c>
      <c r="E82" s="35">
        <v>0</v>
      </c>
      <c r="F82" s="35">
        <v>0</v>
      </c>
      <c r="G82" s="35">
        <v>1</v>
      </c>
      <c r="H82" s="35">
        <v>0</v>
      </c>
      <c r="I82" s="35">
        <v>0</v>
      </c>
    </row>
    <row r="83" spans="3:9" ht="12.75">
      <c r="C83" s="2" t="s">
        <v>170</v>
      </c>
      <c r="D83" s="35">
        <f t="shared" si="10"/>
        <v>1</v>
      </c>
      <c r="E83" s="35">
        <f>'FORM 1'!$C$16</f>
        <v>0.46603270363333577</v>
      </c>
      <c r="F83" s="35">
        <f>'FORM 1'!$D$16</f>
        <v>0.1979573257742307</v>
      </c>
      <c r="G83" s="35">
        <f>'FORM 1'!$E$16</f>
        <v>0.33600997059243354</v>
      </c>
      <c r="H83" s="35">
        <f>'FORM 1'!$F$16</f>
        <v>0</v>
      </c>
      <c r="I83" s="35">
        <f>'FORM 1'!$G$16</f>
        <v>0</v>
      </c>
    </row>
    <row r="84" spans="3:9" ht="12.75">
      <c r="C84" s="4" t="s">
        <v>146</v>
      </c>
      <c r="D84" s="35">
        <f t="shared" si="10"/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</row>
    <row r="87" ht="12.75">
      <c r="D87" s="153"/>
    </row>
  </sheetData>
  <mergeCells count="2">
    <mergeCell ref="A3:I3"/>
    <mergeCell ref="A2:I2"/>
  </mergeCells>
  <printOptions horizontalCentered="1"/>
  <pageMargins left="0.5" right="0.5" top="0.5" bottom="0.65" header="0.4" footer="0.2"/>
  <pageSetup fitToHeight="1" fitToWidth="1" horizontalDpi="600" verticalDpi="600" orientation="landscape" scale="68" r:id="rId1"/>
  <headerFooter alignWithMargins="0">
    <oddFooter>&amp;LExhibit RMP____(CCP-3)&amp;CTab 3 - Page 7 of 20&amp;R&amp;F</oddFooter>
  </headerFooter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37"/>
  <sheetViews>
    <sheetView zoomScale="90" zoomScaleNormal="90" workbookViewId="0" topLeftCell="A1">
      <selection activeCell="A1" sqref="A1:H27"/>
    </sheetView>
  </sheetViews>
  <sheetFormatPr defaultColWidth="9.140625" defaultRowHeight="12.75"/>
  <cols>
    <col min="1" max="1" width="12.140625" style="4" customWidth="1"/>
    <col min="2" max="2" width="16.57421875" style="4" bestFit="1" customWidth="1"/>
    <col min="3" max="8" width="15.7109375" style="4" customWidth="1"/>
    <col min="9" max="9" width="20.00390625" style="4" bestFit="1" customWidth="1"/>
    <col min="10" max="12" width="9.140625" style="4" customWidth="1"/>
    <col min="13" max="13" width="14.7109375" style="4" customWidth="1"/>
    <col min="14" max="16384" width="9.140625" style="4" customWidth="1"/>
  </cols>
  <sheetData>
    <row r="1" spans="1:8" ht="15">
      <c r="A1" s="28" t="str">
        <f>+'TOTAL FUNCFAC'!$A$1</f>
        <v>PACIFICORP</v>
      </c>
      <c r="B1" s="29"/>
      <c r="C1" s="29"/>
      <c r="D1" s="29"/>
      <c r="E1" s="29"/>
      <c r="F1" s="29"/>
      <c r="G1" s="29"/>
      <c r="H1" s="29"/>
    </row>
    <row r="2" spans="1:8" ht="15">
      <c r="A2" s="291" t="str">
        <f>+'TOTAL FUNCFAC'!A2</f>
        <v>12 Months Ended December 2007</v>
      </c>
      <c r="B2" s="291"/>
      <c r="C2" s="291"/>
      <c r="D2" s="291"/>
      <c r="E2" s="291"/>
      <c r="F2" s="291"/>
      <c r="G2" s="291"/>
      <c r="H2" s="291"/>
    </row>
    <row r="3" spans="1:8" ht="15">
      <c r="A3" s="291" t="s">
        <v>368</v>
      </c>
      <c r="B3" s="291"/>
      <c r="C3" s="291"/>
      <c r="D3" s="291"/>
      <c r="E3" s="291"/>
      <c r="F3" s="291"/>
      <c r="G3" s="291"/>
      <c r="H3" s="291"/>
    </row>
    <row r="4" spans="1:13" ht="15">
      <c r="A4" s="111"/>
      <c r="B4" s="54"/>
      <c r="C4" s="108"/>
      <c r="M4" s="31"/>
    </row>
    <row r="5" spans="9:13" ht="12.75">
      <c r="I5" s="54"/>
      <c r="M5" s="31"/>
    </row>
    <row r="6" spans="1:13" ht="12.75">
      <c r="A6" s="44"/>
      <c r="B6" s="44" t="s">
        <v>152</v>
      </c>
      <c r="C6" s="45" t="s">
        <v>153</v>
      </c>
      <c r="D6" s="45" t="s">
        <v>136</v>
      </c>
      <c r="E6" s="45" t="s">
        <v>137</v>
      </c>
      <c r="F6" s="45" t="s">
        <v>142</v>
      </c>
      <c r="G6" s="45" t="s">
        <v>145</v>
      </c>
      <c r="H6" s="45" t="s">
        <v>146</v>
      </c>
      <c r="I6" s="55"/>
      <c r="M6" s="31"/>
    </row>
    <row r="7" spans="3:13" ht="12.75">
      <c r="C7" s="31"/>
      <c r="I7" s="34"/>
      <c r="M7" s="31"/>
    </row>
    <row r="8" spans="2:9" ht="12.75">
      <c r="B8" s="4" t="s">
        <v>145</v>
      </c>
      <c r="C8" s="16">
        <v>1385</v>
      </c>
      <c r="D8" s="16">
        <f aca="true" t="shared" si="0" ref="D8:D13">VLOOKUP($B8,$B$21:$H$27,3,FALSE)*$C8</f>
        <v>0</v>
      </c>
      <c r="E8" s="16">
        <f aca="true" t="shared" si="1" ref="E8:E13">VLOOKUP($B8,$B$21:$H$27,4,FALSE)*$C8</f>
        <v>0</v>
      </c>
      <c r="F8" s="16">
        <f aca="true" t="shared" si="2" ref="F8:F13">VLOOKUP($B8,$B$21:$H$27,5,FALSE)*$C8</f>
        <v>0</v>
      </c>
      <c r="G8" s="16">
        <f aca="true" t="shared" si="3" ref="G8:G13">VLOOKUP($B8,$B$21:$H$27,6,FALSE)*$C8</f>
        <v>1385</v>
      </c>
      <c r="H8" s="16">
        <f aca="true" t="shared" si="4" ref="H8:H13">VLOOKUP($B8,$B$21:$H$27,7,FALSE)*$C8</f>
        <v>0</v>
      </c>
      <c r="I8" s="54"/>
    </row>
    <row r="9" spans="2:8" ht="12.75">
      <c r="B9" s="4" t="s">
        <v>142</v>
      </c>
      <c r="C9" s="16">
        <v>129065</v>
      </c>
      <c r="D9" s="16">
        <f t="shared" si="0"/>
        <v>0</v>
      </c>
      <c r="E9" s="16">
        <f t="shared" si="1"/>
        <v>0</v>
      </c>
      <c r="F9" s="16">
        <f t="shared" si="2"/>
        <v>129065</v>
      </c>
      <c r="G9" s="16">
        <f t="shared" si="3"/>
        <v>0</v>
      </c>
      <c r="H9" s="16">
        <f t="shared" si="4"/>
        <v>0</v>
      </c>
    </row>
    <row r="10" spans="2:8" ht="12.75">
      <c r="B10" s="4" t="s">
        <v>143</v>
      </c>
      <c r="C10" s="32">
        <f>490+743+5112+12928</f>
        <v>19273</v>
      </c>
      <c r="D10" s="16">
        <f t="shared" si="0"/>
        <v>5003.0181789803855</v>
      </c>
      <c r="E10" s="16">
        <f t="shared" si="1"/>
        <v>4221.473112078563</v>
      </c>
      <c r="F10" s="16">
        <f t="shared" si="2"/>
        <v>9545.948712394373</v>
      </c>
      <c r="G10" s="16">
        <f t="shared" si="3"/>
        <v>502.5599965466783</v>
      </c>
      <c r="H10" s="16">
        <f t="shared" si="4"/>
        <v>0</v>
      </c>
    </row>
    <row r="11" spans="2:8" ht="12.75">
      <c r="B11" s="4" t="s">
        <v>140</v>
      </c>
      <c r="C11" s="32">
        <v>193082</v>
      </c>
      <c r="D11" s="16">
        <f t="shared" si="0"/>
        <v>193082</v>
      </c>
      <c r="E11" s="16">
        <f t="shared" si="1"/>
        <v>0</v>
      </c>
      <c r="F11" s="16">
        <f t="shared" si="2"/>
        <v>0</v>
      </c>
      <c r="G11" s="16">
        <f t="shared" si="3"/>
        <v>0</v>
      </c>
      <c r="H11" s="16">
        <f t="shared" si="4"/>
        <v>0</v>
      </c>
    </row>
    <row r="12" spans="2:8" ht="12.75">
      <c r="B12" s="4" t="s">
        <v>170</v>
      </c>
      <c r="C12" s="32">
        <v>17605</v>
      </c>
      <c r="D12" s="16">
        <f t="shared" si="0"/>
        <v>8204.505747464877</v>
      </c>
      <c r="E12" s="16">
        <f t="shared" si="1"/>
        <v>3485.0387202553316</v>
      </c>
      <c r="F12" s="16">
        <f t="shared" si="2"/>
        <v>5915.455532279792</v>
      </c>
      <c r="G12" s="16">
        <f t="shared" si="3"/>
        <v>0</v>
      </c>
      <c r="H12" s="16">
        <f t="shared" si="4"/>
        <v>0</v>
      </c>
    </row>
    <row r="13" spans="2:8" ht="12.75">
      <c r="B13" s="4" t="s">
        <v>141</v>
      </c>
      <c r="C13" s="32">
        <v>57371</v>
      </c>
      <c r="D13" s="16">
        <f t="shared" si="0"/>
        <v>0</v>
      </c>
      <c r="E13" s="16">
        <f t="shared" si="1"/>
        <v>57371</v>
      </c>
      <c r="F13" s="16">
        <f t="shared" si="2"/>
        <v>0</v>
      </c>
      <c r="G13" s="16">
        <f t="shared" si="3"/>
        <v>0</v>
      </c>
      <c r="H13" s="16">
        <f t="shared" si="4"/>
        <v>0</v>
      </c>
    </row>
    <row r="14" spans="3:8" ht="12.75">
      <c r="C14" s="32"/>
      <c r="D14" s="16"/>
      <c r="E14" s="16"/>
      <c r="F14" s="16"/>
      <c r="G14" s="16"/>
      <c r="H14" s="16"/>
    </row>
    <row r="15" spans="2:9" ht="12.75">
      <c r="B15" s="4" t="s">
        <v>144</v>
      </c>
      <c r="C15" s="30">
        <f aca="true" t="shared" si="5" ref="C15:H15">SUM(C8:C14)</f>
        <v>417781</v>
      </c>
      <c r="D15" s="30">
        <f t="shared" si="5"/>
        <v>206289.52392644525</v>
      </c>
      <c r="E15" s="30">
        <f t="shared" si="5"/>
        <v>65077.5118323339</v>
      </c>
      <c r="F15" s="30">
        <f t="shared" si="5"/>
        <v>144526.40424467417</v>
      </c>
      <c r="G15" s="30">
        <f t="shared" si="5"/>
        <v>1887.5599965466783</v>
      </c>
      <c r="H15" s="30">
        <f t="shared" si="5"/>
        <v>0</v>
      </c>
      <c r="I15" s="109"/>
    </row>
    <row r="16" spans="3:9" ht="12.75">
      <c r="C16" s="32"/>
      <c r="D16" s="32"/>
      <c r="E16" s="32"/>
      <c r="F16" s="32"/>
      <c r="G16" s="32"/>
      <c r="H16" s="32"/>
      <c r="I16" s="109"/>
    </row>
    <row r="17" ht="12.75">
      <c r="C17" s="109"/>
    </row>
    <row r="18" spans="1:8" ht="12.75">
      <c r="A18" s="112"/>
      <c r="B18" s="113" t="s">
        <v>386</v>
      </c>
      <c r="C18" s="114">
        <f aca="true" t="shared" si="6" ref="C18:H18">C15/$C15</f>
        <v>1</v>
      </c>
      <c r="D18" s="115">
        <f t="shared" si="6"/>
        <v>0.49377430741571604</v>
      </c>
      <c r="E18" s="115">
        <f t="shared" si="6"/>
        <v>0.15576943861098014</v>
      </c>
      <c r="F18" s="115">
        <f t="shared" si="6"/>
        <v>0.3459381930836351</v>
      </c>
      <c r="G18" s="115">
        <f t="shared" si="6"/>
        <v>0.004518060889668698</v>
      </c>
      <c r="H18" s="116">
        <f t="shared" si="6"/>
        <v>0</v>
      </c>
    </row>
    <row r="19" spans="3:8" ht="12.75">
      <c r="C19" s="31"/>
      <c r="D19" s="31"/>
      <c r="E19" s="31"/>
      <c r="F19" s="31"/>
      <c r="G19" s="31"/>
      <c r="H19" s="31"/>
    </row>
    <row r="20" ht="12.75">
      <c r="C20" s="109"/>
    </row>
    <row r="21" spans="2:8" ht="12.75">
      <c r="B21" s="4" t="s">
        <v>140</v>
      </c>
      <c r="C21" s="36">
        <f>'FORM 1'!$B$13</f>
        <v>1</v>
      </c>
      <c r="D21" s="36">
        <f>'FORM 1'!$C$13</f>
        <v>1</v>
      </c>
      <c r="E21" s="36">
        <f>'FORM 1'!$D$13</f>
        <v>0</v>
      </c>
      <c r="F21" s="36">
        <f>'FORM 1'!$E$13</f>
        <v>0</v>
      </c>
      <c r="G21" s="36">
        <f>'FORM 1'!$F$13</f>
        <v>0</v>
      </c>
      <c r="H21" s="36">
        <f>'FORM 1'!$G$13</f>
        <v>0</v>
      </c>
    </row>
    <row r="22" spans="2:8" ht="12.75">
      <c r="B22" s="4" t="s">
        <v>141</v>
      </c>
      <c r="C22" s="36">
        <f>'FORM 1'!$B$14</f>
        <v>1</v>
      </c>
      <c r="D22" s="36">
        <f>'FORM 1'!$C$14</f>
        <v>0</v>
      </c>
      <c r="E22" s="36">
        <f>'FORM 1'!$D$14</f>
        <v>1</v>
      </c>
      <c r="F22" s="36">
        <f>'FORM 1'!$E$14</f>
        <v>0</v>
      </c>
      <c r="G22" s="36">
        <f>'FORM 1'!$F$14</f>
        <v>0</v>
      </c>
      <c r="H22" s="36">
        <f>'FORM 1'!$G$14</f>
        <v>0</v>
      </c>
    </row>
    <row r="23" spans="2:8" ht="12.75">
      <c r="B23" s="4" t="s">
        <v>142</v>
      </c>
      <c r="C23" s="36">
        <f>'FORM 1'!$B$15</f>
        <v>1</v>
      </c>
      <c r="D23" s="36">
        <f>'FORM 1'!$C$15</f>
        <v>0</v>
      </c>
      <c r="E23" s="36">
        <f>'FORM 1'!$D$15</f>
        <v>0</v>
      </c>
      <c r="F23" s="36">
        <f>'FORM 1'!$E$15</f>
        <v>1</v>
      </c>
      <c r="G23" s="36">
        <f>'FORM 1'!$F$15</f>
        <v>0</v>
      </c>
      <c r="H23" s="36">
        <f>'FORM 1'!$G$15</f>
        <v>0</v>
      </c>
    </row>
    <row r="24" spans="2:8" ht="12.75">
      <c r="B24" s="4" t="s">
        <v>145</v>
      </c>
      <c r="C24" s="36">
        <f>'FORM 1'!$B$15</f>
        <v>1</v>
      </c>
      <c r="D24" s="36">
        <v>0</v>
      </c>
      <c r="E24" s="36">
        <v>0</v>
      </c>
      <c r="F24" s="36">
        <v>0</v>
      </c>
      <c r="G24" s="36">
        <v>1</v>
      </c>
      <c r="H24" s="36">
        <v>0</v>
      </c>
    </row>
    <row r="25" spans="2:8" ht="12.75">
      <c r="B25" s="4" t="s">
        <v>170</v>
      </c>
      <c r="C25" s="36">
        <f>'FORM 1'!$B$16</f>
        <v>1</v>
      </c>
      <c r="D25" s="36">
        <f>'FORM 1'!$C$16</f>
        <v>0.46603270363333577</v>
      </c>
      <c r="E25" s="36">
        <f>'FORM 1'!$D$16</f>
        <v>0.1979573257742307</v>
      </c>
      <c r="F25" s="36">
        <f>'FORM 1'!$E$16</f>
        <v>0.33600997059243354</v>
      </c>
      <c r="G25" s="36">
        <f>'FORM 1'!$F$16</f>
        <v>0</v>
      </c>
      <c r="H25" s="36">
        <f>'FORM 1'!$G$16</f>
        <v>0</v>
      </c>
    </row>
    <row r="26" spans="2:8" ht="12.75">
      <c r="B26" s="4" t="s">
        <v>175</v>
      </c>
      <c r="C26" s="36">
        <f>'FORM 1'!$B$18</f>
        <v>1</v>
      </c>
      <c r="D26" s="36">
        <f>'FORM 1'!$C$18</f>
        <v>0</v>
      </c>
      <c r="E26" s="36">
        <f>'FORM 1'!$D$18</f>
        <v>0.37072930705909285</v>
      </c>
      <c r="F26" s="36">
        <f>'FORM 1'!$E$18</f>
        <v>0.6292706929409071</v>
      </c>
      <c r="G26" s="36">
        <f>'FORM 1'!$F$18</f>
        <v>0</v>
      </c>
      <c r="H26" s="36">
        <f>'FORM 1'!$G$18</f>
        <v>0</v>
      </c>
    </row>
    <row r="27" spans="2:8" ht="12.75">
      <c r="B27" s="4" t="s">
        <v>143</v>
      </c>
      <c r="C27" s="36">
        <f>'GENERAL PLANT'!$D$58</f>
        <v>1</v>
      </c>
      <c r="D27" s="36">
        <f>'GENERAL PLANT'!$E$58</f>
        <v>0.25958689249106964</v>
      </c>
      <c r="E27" s="36">
        <f>'GENERAL PLANT'!$F$58</f>
        <v>0.2190355996512511</v>
      </c>
      <c r="F27" s="36">
        <f>'GENERAL PLANT'!$G$58</f>
        <v>0.49530165061974646</v>
      </c>
      <c r="G27" s="36">
        <f>'GENERAL PLANT'!$H$58</f>
        <v>0.02607585723793277</v>
      </c>
      <c r="H27" s="36">
        <f>'GENERAL PLANT'!$I$58</f>
        <v>0</v>
      </c>
    </row>
    <row r="30" ht="12.75">
      <c r="C30" s="31"/>
    </row>
    <row r="31" ht="12.75">
      <c r="C31" s="31"/>
    </row>
    <row r="32" ht="12.75">
      <c r="C32" s="109"/>
    </row>
    <row r="33" ht="12.75">
      <c r="C33" s="109"/>
    </row>
    <row r="35" ht="12.75">
      <c r="C35" s="110"/>
    </row>
    <row r="36" ht="12.75">
      <c r="C36" s="31"/>
    </row>
    <row r="37" ht="12.75">
      <c r="C37" s="109"/>
    </row>
  </sheetData>
  <mergeCells count="2">
    <mergeCell ref="A2:H2"/>
    <mergeCell ref="A3:H3"/>
  </mergeCells>
  <printOptions horizontalCentered="1"/>
  <pageMargins left="0.5" right="0.5" top="0.5" bottom="0.65" header="0.4" footer="0.2"/>
  <pageSetup fitToHeight="1" fitToWidth="1" horizontalDpi="600" verticalDpi="600" orientation="landscape" r:id="rId1"/>
  <headerFooter alignWithMargins="0">
    <oddFooter>&amp;LExhibit RMP____(CCP-3)&amp;CTab 3 - Page 8 of 20&amp;R&amp;F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316"/>
  <sheetViews>
    <sheetView zoomScale="90" zoomScaleNormal="90" workbookViewId="0" topLeftCell="A83">
      <selection activeCell="A66" sqref="A66:I107"/>
    </sheetView>
  </sheetViews>
  <sheetFormatPr defaultColWidth="9.140625" defaultRowHeight="12.75"/>
  <cols>
    <col min="1" max="1" width="14.421875" style="7" customWidth="1"/>
    <col min="2" max="2" width="12.00390625" style="7" customWidth="1"/>
    <col min="3" max="3" width="15.00390625" style="4" bestFit="1" customWidth="1"/>
    <col min="4" max="4" width="15.7109375" style="4" customWidth="1"/>
    <col min="5" max="5" width="13.28125" style="7" bestFit="1" customWidth="1"/>
    <col min="6" max="9" width="15.7109375" style="7" customWidth="1"/>
    <col min="10" max="16384" width="9.140625" style="7" customWidth="1"/>
  </cols>
  <sheetData>
    <row r="1" spans="1:9" ht="12.75">
      <c r="A1" s="29" t="str">
        <f>+'TOTAL FUNCFAC'!$A$1</f>
        <v>PACIFICORP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55" t="str">
        <f>+'TOTAL FUNCFAC'!$A$2</f>
        <v>12 Months Ended December 2007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9" t="s">
        <v>363</v>
      </c>
      <c r="B3" s="29"/>
      <c r="C3" s="29"/>
      <c r="D3" s="29"/>
      <c r="E3" s="29"/>
      <c r="F3" s="29"/>
      <c r="G3" s="29"/>
      <c r="H3" s="29"/>
      <c r="I3" s="29"/>
    </row>
    <row r="4" spans="2:3" ht="12.75">
      <c r="B4" s="54"/>
      <c r="C4" s="7"/>
    </row>
    <row r="5" spans="1:7" ht="12.75">
      <c r="A5" s="4" t="s">
        <v>149</v>
      </c>
      <c r="B5" s="4" t="s">
        <v>7</v>
      </c>
      <c r="E5" s="4"/>
      <c r="F5" s="4"/>
      <c r="G5" s="4"/>
    </row>
    <row r="6" spans="1:9" ht="12.75">
      <c r="A6" s="44" t="s">
        <v>150</v>
      </c>
      <c r="B6" s="44" t="s">
        <v>151</v>
      </c>
      <c r="C6" s="44" t="s">
        <v>152</v>
      </c>
      <c r="D6" s="45" t="s">
        <v>153</v>
      </c>
      <c r="E6" s="45" t="s">
        <v>136</v>
      </c>
      <c r="F6" s="45" t="s">
        <v>137</v>
      </c>
      <c r="G6" s="45" t="s">
        <v>191</v>
      </c>
      <c r="H6" s="45" t="s">
        <v>192</v>
      </c>
      <c r="I6" s="45" t="s">
        <v>193</v>
      </c>
    </row>
    <row r="7" spans="1:9" ht="12.75">
      <c r="A7" s="29" t="s">
        <v>366</v>
      </c>
      <c r="B7" s="29"/>
      <c r="C7" s="29"/>
      <c r="D7" s="29"/>
      <c r="E7" s="29"/>
      <c r="F7" s="29"/>
      <c r="G7" s="29"/>
      <c r="H7" s="217"/>
      <c r="I7" s="217"/>
    </row>
    <row r="8" spans="1:9" ht="12.75" customHeight="1">
      <c r="A8" s="256"/>
      <c r="B8" s="29"/>
      <c r="C8" s="29"/>
      <c r="D8" s="29"/>
      <c r="E8" s="29"/>
      <c r="F8" s="29"/>
      <c r="G8" s="29"/>
      <c r="H8" s="217"/>
      <c r="I8" s="217"/>
    </row>
    <row r="9" spans="1:9" ht="12.75">
      <c r="A9" s="1" t="s">
        <v>240</v>
      </c>
      <c r="B9" s="1" t="s">
        <v>163</v>
      </c>
      <c r="C9" s="1" t="s">
        <v>140</v>
      </c>
      <c r="D9" s="32">
        <v>41</v>
      </c>
      <c r="E9" s="16">
        <f>VLOOKUP($C9,$C$304:$I$315,3,FALSE)*$D9</f>
        <v>41</v>
      </c>
      <c r="F9" s="16">
        <f>VLOOKUP($C9,$C$304:$I$315,4,FALSE)*$D9</f>
        <v>0</v>
      </c>
      <c r="G9" s="16">
        <f>VLOOKUP($C9,$C$304:$I$315,5,FALSE)*$D9</f>
        <v>0</v>
      </c>
      <c r="H9" s="16">
        <f>VLOOKUP($C9,$C$304:$I$315,6,FALSE)*$D9</f>
        <v>0</v>
      </c>
      <c r="I9" s="16">
        <f>VLOOKUP($C9,$C$304:$I$315,7,FALSE)*$D9</f>
        <v>0</v>
      </c>
    </row>
    <row r="10" spans="1:9" ht="12.75">
      <c r="A10" s="1" t="s">
        <v>240</v>
      </c>
      <c r="B10" s="1" t="s">
        <v>163</v>
      </c>
      <c r="C10" s="1" t="s">
        <v>181</v>
      </c>
      <c r="D10" s="233">
        <v>46</v>
      </c>
      <c r="E10" s="16">
        <f>VLOOKUP($C10,$C$304:$I$315,3,FALSE)*$D10</f>
        <v>19.902527047151832</v>
      </c>
      <c r="F10" s="16">
        <f>VLOOKUP($C10,$C$304:$I$315,4,FALSE)*$D10</f>
        <v>2.716246418933223</v>
      </c>
      <c r="G10" s="16">
        <f>VLOOKUP($C10,$C$304:$I$315,5,FALSE)*$D10</f>
        <v>16.623368923167202</v>
      </c>
      <c r="H10" s="16">
        <f>VLOOKUP($C10,$C$304:$I$315,6,FALSE)*$D10</f>
        <v>6.757857610747742</v>
      </c>
      <c r="I10" s="16">
        <f>VLOOKUP($C10,$C$304:$I$315,7,FALSE)*$D10</f>
        <v>0</v>
      </c>
    </row>
    <row r="11" spans="1:9" ht="12.75">
      <c r="A11" s="1" t="s">
        <v>163</v>
      </c>
      <c r="B11" s="4"/>
      <c r="D11" s="17">
        <f aca="true" t="shared" si="0" ref="D11:I11">SUM(D9:D10)</f>
        <v>87</v>
      </c>
      <c r="E11" s="13">
        <f t="shared" si="0"/>
        <v>60.902527047151835</v>
      </c>
      <c r="F11" s="13">
        <f t="shared" si="0"/>
        <v>2.716246418933223</v>
      </c>
      <c r="G11" s="13">
        <f t="shared" si="0"/>
        <v>16.623368923167202</v>
      </c>
      <c r="H11" s="13">
        <f t="shared" si="0"/>
        <v>6.757857610747742</v>
      </c>
      <c r="I11" s="13">
        <f t="shared" si="0"/>
        <v>0</v>
      </c>
    </row>
    <row r="12" spans="1:9" ht="12.75">
      <c r="A12" s="1"/>
      <c r="B12" s="4"/>
      <c r="D12" s="11"/>
      <c r="E12" s="17"/>
      <c r="F12" s="17"/>
      <c r="G12" s="17"/>
      <c r="H12" s="17"/>
      <c r="I12" s="17"/>
    </row>
    <row r="13" spans="1:9" ht="12.75">
      <c r="A13" s="1" t="s">
        <v>240</v>
      </c>
      <c r="B13" s="1" t="s">
        <v>165</v>
      </c>
      <c r="C13" s="1" t="s">
        <v>181</v>
      </c>
      <c r="D13" s="234">
        <v>119</v>
      </c>
      <c r="E13" s="16">
        <f>VLOOKUP($C13,$C$304:$I$315,3,FALSE)*$D13</f>
        <v>51.48697214371887</v>
      </c>
      <c r="F13" s="16">
        <f>VLOOKUP($C13,$C$304:$I$315,4,FALSE)*$D13</f>
        <v>7.02681138810986</v>
      </c>
      <c r="G13" s="16">
        <f>VLOOKUP($C13,$C$304:$I$315,5,FALSE)*$D13</f>
        <v>43.00393264906298</v>
      </c>
      <c r="H13" s="16">
        <f>VLOOKUP($C13,$C$304:$I$315,6,FALSE)*$D13</f>
        <v>17.482283819108286</v>
      </c>
      <c r="I13" s="16">
        <f>VLOOKUP($C13,$C$304:$I$315,7,FALSE)*$D13</f>
        <v>0</v>
      </c>
    </row>
    <row r="14" spans="1:9" ht="12.75">
      <c r="A14" s="1" t="s">
        <v>165</v>
      </c>
      <c r="B14" s="4"/>
      <c r="D14" s="17">
        <f aca="true" t="shared" si="1" ref="D14:I14">SUM(D13:D13)</f>
        <v>119</v>
      </c>
      <c r="E14" s="13">
        <f t="shared" si="1"/>
        <v>51.48697214371887</v>
      </c>
      <c r="F14" s="13">
        <f t="shared" si="1"/>
        <v>7.02681138810986</v>
      </c>
      <c r="G14" s="13">
        <f t="shared" si="1"/>
        <v>43.00393264906298</v>
      </c>
      <c r="H14" s="13">
        <f t="shared" si="1"/>
        <v>17.482283819108286</v>
      </c>
      <c r="I14" s="13">
        <f t="shared" si="1"/>
        <v>0</v>
      </c>
    </row>
    <row r="15" spans="1:9" ht="12.75">
      <c r="A15" s="1"/>
      <c r="B15" s="4"/>
      <c r="D15" s="11"/>
      <c r="E15" s="16"/>
      <c r="F15" s="16"/>
      <c r="G15" s="16"/>
      <c r="H15" s="16"/>
      <c r="I15" s="16"/>
    </row>
    <row r="16" spans="1:9" ht="12.75">
      <c r="A16" s="1" t="s">
        <v>240</v>
      </c>
      <c r="B16" s="1" t="s">
        <v>9</v>
      </c>
      <c r="C16" s="1" t="s">
        <v>170</v>
      </c>
      <c r="D16" s="234">
        <v>1097</v>
      </c>
      <c r="E16" s="16">
        <f>VLOOKUP($C16,$C$304:$I$315,3,FALSE)*$D16</f>
        <v>511.2378758857693</v>
      </c>
      <c r="F16" s="16">
        <f>VLOOKUP($C16,$C$304:$I$315,4,FALSE)*$D16</f>
        <v>217.15918637433109</v>
      </c>
      <c r="G16" s="16">
        <f>VLOOKUP($C16,$C$304:$I$315,5,FALSE)*$D16</f>
        <v>368.6029377398996</v>
      </c>
      <c r="H16" s="16">
        <f>VLOOKUP($C16,$C$304:$I$315,6,FALSE)*$D16</f>
        <v>0</v>
      </c>
      <c r="I16" s="16">
        <f>VLOOKUP($C16,$C$304:$I$315,7,FALSE)*$D16</f>
        <v>0</v>
      </c>
    </row>
    <row r="17" spans="1:9" ht="12.75">
      <c r="A17" s="1" t="s">
        <v>9</v>
      </c>
      <c r="B17" s="4"/>
      <c r="D17" s="17">
        <f aca="true" t="shared" si="2" ref="D17:I17">SUM(D16:D16)</f>
        <v>1097</v>
      </c>
      <c r="E17" s="13">
        <f t="shared" si="2"/>
        <v>511.2378758857693</v>
      </c>
      <c r="F17" s="13">
        <f t="shared" si="2"/>
        <v>217.15918637433109</v>
      </c>
      <c r="G17" s="13">
        <f t="shared" si="2"/>
        <v>368.6029377398996</v>
      </c>
      <c r="H17" s="13">
        <f t="shared" si="2"/>
        <v>0</v>
      </c>
      <c r="I17" s="13">
        <f t="shared" si="2"/>
        <v>0</v>
      </c>
    </row>
    <row r="18" spans="1:9" ht="12.75">
      <c r="A18" s="1"/>
      <c r="B18" s="4"/>
      <c r="D18" s="11"/>
      <c r="E18" s="16"/>
      <c r="F18" s="16"/>
      <c r="G18" s="16"/>
      <c r="H18" s="16"/>
      <c r="I18" s="16"/>
    </row>
    <row r="19" spans="1:9" ht="12.75">
      <c r="A19" s="1" t="s">
        <v>240</v>
      </c>
      <c r="B19" s="1" t="s">
        <v>319</v>
      </c>
      <c r="C19" s="1" t="s">
        <v>181</v>
      </c>
      <c r="D19" s="12">
        <v>0</v>
      </c>
      <c r="E19" s="16">
        <f>VLOOKUP($C19,$C$304:$I$315,3,FALSE)*$D19</f>
        <v>0</v>
      </c>
      <c r="F19" s="16">
        <f>VLOOKUP($C19,$C$304:$I$315,4,FALSE)*$D19</f>
        <v>0</v>
      </c>
      <c r="G19" s="16">
        <f>VLOOKUP($C19,$C$304:$I$315,5,FALSE)*$D19</f>
        <v>0</v>
      </c>
      <c r="H19" s="16">
        <f>VLOOKUP($C19,$C$304:$I$315,6,FALSE)*$D19</f>
        <v>0</v>
      </c>
      <c r="I19" s="16">
        <f>VLOOKUP($C19,$C$304:$I$315,7,FALSE)*$D19</f>
        <v>0</v>
      </c>
    </row>
    <row r="20" spans="1:9" ht="12.75">
      <c r="A20" s="1" t="s">
        <v>240</v>
      </c>
      <c r="B20" s="1" t="s">
        <v>319</v>
      </c>
      <c r="C20" s="1" t="s">
        <v>170</v>
      </c>
      <c r="D20" s="234">
        <v>0</v>
      </c>
      <c r="E20" s="16">
        <f>VLOOKUP($C20,$C$304:$I$315,3,FALSE)*$D20</f>
        <v>0</v>
      </c>
      <c r="F20" s="16">
        <f>VLOOKUP($C20,$C$304:$I$315,4,FALSE)*$D20</f>
        <v>0</v>
      </c>
      <c r="G20" s="16">
        <f>VLOOKUP($C20,$C$304:$I$315,5,FALSE)*$D20</f>
        <v>0</v>
      </c>
      <c r="H20" s="16">
        <f>VLOOKUP($C20,$C$304:$I$315,6,FALSE)*$D20</f>
        <v>0</v>
      </c>
      <c r="I20" s="16">
        <f>VLOOKUP($C20,$C$304:$I$315,7,FALSE)*$D20</f>
        <v>0</v>
      </c>
    </row>
    <row r="21" spans="1:9" ht="12.75">
      <c r="A21" s="1" t="s">
        <v>240</v>
      </c>
      <c r="B21" s="1" t="s">
        <v>167</v>
      </c>
      <c r="C21" s="1" t="s">
        <v>170</v>
      </c>
      <c r="D21" s="12">
        <v>464</v>
      </c>
      <c r="E21" s="16">
        <f>VLOOKUP($C21,$C$304:$I$315,3,FALSE)*$D21</f>
        <v>216.2391744858678</v>
      </c>
      <c r="F21" s="16">
        <f>VLOOKUP($C21,$C$304:$I$315,4,FALSE)*$D21</f>
        <v>91.85219915924304</v>
      </c>
      <c r="G21" s="16">
        <f>VLOOKUP($C21,$C$304:$I$315,5,FALSE)*$D21</f>
        <v>155.90862635488915</v>
      </c>
      <c r="H21" s="16">
        <f>VLOOKUP($C21,$C$304:$I$315,6,FALSE)*$D21</f>
        <v>0</v>
      </c>
      <c r="I21" s="16">
        <f>VLOOKUP($C21,$C$304:$I$315,7,FALSE)*$D21</f>
        <v>0</v>
      </c>
    </row>
    <row r="22" spans="1:9" ht="12.75">
      <c r="A22" s="1" t="s">
        <v>240</v>
      </c>
      <c r="B22" s="1" t="s">
        <v>167</v>
      </c>
      <c r="C22" s="1" t="s">
        <v>181</v>
      </c>
      <c r="D22" s="233">
        <v>10704</v>
      </c>
      <c r="E22" s="16">
        <f>VLOOKUP($C22,$C$304:$I$315,3,FALSE)*$D22</f>
        <v>4631.231511145939</v>
      </c>
      <c r="F22" s="16">
        <f>VLOOKUP($C22,$C$304:$I$315,4,FALSE)*$D22</f>
        <v>632.0587319187222</v>
      </c>
      <c r="G22" s="16">
        <f>VLOOKUP($C22,$C$304:$I$315,5,FALSE)*$D22</f>
        <v>3868.185672903951</v>
      </c>
      <c r="H22" s="16">
        <f>VLOOKUP($C22,$C$304:$I$315,6,FALSE)*$D22</f>
        <v>1572.5240840313875</v>
      </c>
      <c r="I22" s="16">
        <f>VLOOKUP($C22,$C$304:$I$315,7,FALSE)*$D22</f>
        <v>0</v>
      </c>
    </row>
    <row r="23" spans="1:9" ht="12.75">
      <c r="A23" s="1" t="s">
        <v>167</v>
      </c>
      <c r="B23" s="4"/>
      <c r="D23" s="13">
        <f>SUM(D19:D22)</f>
        <v>11168</v>
      </c>
      <c r="E23" s="13">
        <f>SUM(E19:E22)</f>
        <v>4847.470685631807</v>
      </c>
      <c r="F23" s="13">
        <f>SUM(F19:F22)</f>
        <v>723.9109310779652</v>
      </c>
      <c r="G23" s="13">
        <f>SUM(G19:G22)</f>
        <v>4024.0942992588402</v>
      </c>
      <c r="H23" s="13">
        <f>SUM(H19:H22)</f>
        <v>1572.5240840313875</v>
      </c>
      <c r="I23" s="13">
        <f>SUM(I20:I22)</f>
        <v>0</v>
      </c>
    </row>
    <row r="24" spans="1:9" ht="12.75">
      <c r="A24" s="1"/>
      <c r="B24" s="4"/>
      <c r="D24" s="22"/>
      <c r="E24" s="22"/>
      <c r="F24" s="22"/>
      <c r="G24" s="22"/>
      <c r="H24" s="22"/>
      <c r="I24" s="22"/>
    </row>
    <row r="25" spans="1:9" ht="12.75">
      <c r="A25" s="1"/>
      <c r="B25" s="257" t="s">
        <v>10</v>
      </c>
      <c r="C25" s="235"/>
      <c r="D25" s="114">
        <f>SUM(E25:I25)</f>
        <v>1</v>
      </c>
      <c r="E25" s="115">
        <f>E23/$D23</f>
        <v>0.43405002557591393</v>
      </c>
      <c r="F25" s="115">
        <f>F23/$D23</f>
        <v>0.06482010486013298</v>
      </c>
      <c r="G25" s="115">
        <f>G23/$D23</f>
        <v>0.3603236299479621</v>
      </c>
      <c r="H25" s="115">
        <f>H23/$D23</f>
        <v>0.140806239615991</v>
      </c>
      <c r="I25" s="116">
        <f>I23/$D23</f>
        <v>0</v>
      </c>
    </row>
    <row r="26" spans="1:9" ht="12.75">
      <c r="A26" s="4"/>
      <c r="B26" s="4"/>
      <c r="D26" s="39"/>
      <c r="E26" s="39"/>
      <c r="F26" s="39"/>
      <c r="G26" s="39"/>
      <c r="H26" s="236"/>
      <c r="I26" s="236"/>
    </row>
    <row r="27" spans="1:9" ht="12.75">
      <c r="A27" s="52" t="s">
        <v>241</v>
      </c>
      <c r="B27" s="4"/>
      <c r="D27" s="30">
        <f aca="true" t="shared" si="3" ref="D27:I27">D11+D14+D17+D23</f>
        <v>12471</v>
      </c>
      <c r="E27" s="30">
        <f t="shared" si="3"/>
        <v>5471.0980607084475</v>
      </c>
      <c r="F27" s="30">
        <f t="shared" si="3"/>
        <v>950.8131752593393</v>
      </c>
      <c r="G27" s="30">
        <f t="shared" si="3"/>
        <v>4452.32453857097</v>
      </c>
      <c r="H27" s="30">
        <f t="shared" si="3"/>
        <v>1596.7642254612435</v>
      </c>
      <c r="I27" s="30">
        <f t="shared" si="3"/>
        <v>0</v>
      </c>
    </row>
    <row r="28" spans="1:9" ht="12.75">
      <c r="A28" s="4"/>
      <c r="B28" s="4"/>
      <c r="D28" s="16"/>
      <c r="E28" s="16"/>
      <c r="F28" s="16"/>
      <c r="G28" s="16"/>
      <c r="H28" s="16"/>
      <c r="I28" s="16"/>
    </row>
    <row r="29" spans="1:9" ht="12.75">
      <c r="A29" s="4"/>
      <c r="B29" s="257" t="s">
        <v>242</v>
      </c>
      <c r="C29" s="235"/>
      <c r="D29" s="114">
        <f>SUM(E29:I29)</f>
        <v>1</v>
      </c>
      <c r="E29" s="115">
        <f>E27/$D27</f>
        <v>0.4387056419459905</v>
      </c>
      <c r="F29" s="115">
        <f>F27/$D27</f>
        <v>0.07624193531066789</v>
      </c>
      <c r="G29" s="115">
        <f>G27/$D27</f>
        <v>0.3570142361134608</v>
      </c>
      <c r="H29" s="115">
        <f>H27/$D27</f>
        <v>0.1280381866298808</v>
      </c>
      <c r="I29" s="116">
        <f>I27/$D27</f>
        <v>0</v>
      </c>
    </row>
    <row r="30" spans="1:9" ht="12.75">
      <c r="A30" s="4"/>
      <c r="B30" s="52"/>
      <c r="D30" s="151"/>
      <c r="E30" s="35"/>
      <c r="F30" s="35"/>
      <c r="G30" s="35"/>
      <c r="H30" s="35"/>
      <c r="I30" s="35"/>
    </row>
    <row r="31" spans="1:9" ht="12.75">
      <c r="A31" s="4"/>
      <c r="B31" s="4"/>
      <c r="D31" s="31"/>
      <c r="E31" s="31"/>
      <c r="F31" s="31"/>
      <c r="G31" s="31"/>
      <c r="H31" s="221"/>
      <c r="I31" s="221"/>
    </row>
    <row r="32" spans="1:9" ht="12.75">
      <c r="A32" s="1" t="s">
        <v>243</v>
      </c>
      <c r="B32" s="1" t="s">
        <v>11</v>
      </c>
      <c r="C32" s="1" t="s">
        <v>142</v>
      </c>
      <c r="D32" s="234">
        <v>0</v>
      </c>
      <c r="E32" s="16">
        <f>VLOOKUP($C32,$C$304:$I$315,3,FALSE)*$D32</f>
        <v>0</v>
      </c>
      <c r="F32" s="16">
        <f>VLOOKUP($C32,$C$304:$I$315,4,FALSE)*$D32</f>
        <v>0</v>
      </c>
      <c r="G32" s="16">
        <f>VLOOKUP($C32,$C$304:$I$315,5,FALSE)*$D32</f>
        <v>0</v>
      </c>
      <c r="H32" s="16">
        <f>VLOOKUP($C32,$C$304:$I$315,6,FALSE)*$D32</f>
        <v>0</v>
      </c>
      <c r="I32" s="16">
        <f>VLOOKUP($C32,$C$304:$I$315,7,FALSE)*$D32</f>
        <v>0</v>
      </c>
    </row>
    <row r="33" spans="1:9" ht="12.75">
      <c r="A33" s="1" t="s">
        <v>11</v>
      </c>
      <c r="B33" s="4"/>
      <c r="D33" s="17">
        <f aca="true" t="shared" si="4" ref="D33:I33">SUM(D32:D32)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</row>
    <row r="34" spans="1:9" ht="12.75">
      <c r="A34" s="1"/>
      <c r="B34" s="4"/>
      <c r="D34" s="11"/>
      <c r="E34" s="11"/>
      <c r="F34" s="11"/>
      <c r="G34" s="11"/>
      <c r="H34" s="11"/>
      <c r="I34" s="11"/>
    </row>
    <row r="35" spans="1:9" ht="12.75">
      <c r="A35" s="1" t="s">
        <v>243</v>
      </c>
      <c r="B35" s="1" t="s">
        <v>244</v>
      </c>
      <c r="C35" s="1" t="s">
        <v>142</v>
      </c>
      <c r="D35" s="233">
        <v>65639</v>
      </c>
      <c r="E35" s="16">
        <f>VLOOKUP($C35,$C$304:$I$315,3,FALSE)*$D35</f>
        <v>0</v>
      </c>
      <c r="F35" s="16">
        <f>VLOOKUP($C35,$C$304:$I$315,4,FALSE)*$D35</f>
        <v>0</v>
      </c>
      <c r="G35" s="16">
        <f>VLOOKUP($C35,$C$304:$I$315,5,FALSE)*$D35</f>
        <v>65639</v>
      </c>
      <c r="H35" s="16">
        <f>VLOOKUP($C35,$C$304:$I$315,6,FALSE)*$D35</f>
        <v>0</v>
      </c>
      <c r="I35" s="16">
        <f>VLOOKUP($C35,$C$304:$I$315,7,FALSE)*$D35</f>
        <v>0</v>
      </c>
    </row>
    <row r="36" spans="1:9" ht="12.75">
      <c r="A36" s="1" t="s">
        <v>244</v>
      </c>
      <c r="B36" s="4"/>
      <c r="D36" s="13">
        <f aca="true" t="shared" si="5" ref="D36:I36">SUM(D35:D35)</f>
        <v>65639</v>
      </c>
      <c r="E36" s="13">
        <f t="shared" si="5"/>
        <v>0</v>
      </c>
      <c r="F36" s="13">
        <f t="shared" si="5"/>
        <v>0</v>
      </c>
      <c r="G36" s="13">
        <f t="shared" si="5"/>
        <v>65639</v>
      </c>
      <c r="H36" s="13">
        <f t="shared" si="5"/>
        <v>0</v>
      </c>
      <c r="I36" s="13">
        <f t="shared" si="5"/>
        <v>0</v>
      </c>
    </row>
    <row r="37" spans="1:9" ht="12.75">
      <c r="A37" s="1"/>
      <c r="B37" s="4"/>
      <c r="D37" s="17"/>
      <c r="E37" s="17"/>
      <c r="F37" s="17"/>
      <c r="G37" s="17"/>
      <c r="H37" s="17"/>
      <c r="I37" s="17"/>
    </row>
    <row r="38" spans="1:9" ht="12.75">
      <c r="A38" s="1" t="s">
        <v>243</v>
      </c>
      <c r="B38" s="1" t="s">
        <v>201</v>
      </c>
      <c r="C38" s="1" t="s">
        <v>141</v>
      </c>
      <c r="D38" s="237">
        <v>0</v>
      </c>
      <c r="E38" s="39">
        <f>VLOOKUP($C38,$C$304:$I$315,3,FALSE)*$D38</f>
        <v>0</v>
      </c>
      <c r="F38" s="39">
        <f>VLOOKUP($C38,$C$304:$I$315,4,FALSE)*$D38</f>
        <v>0</v>
      </c>
      <c r="G38" s="39">
        <f>VLOOKUP($C38,$C$304:$I$315,5,FALSE)*$D38</f>
        <v>0</v>
      </c>
      <c r="H38" s="39">
        <f>VLOOKUP($C38,$C$304:$I$315,6,FALSE)*$D38</f>
        <v>0</v>
      </c>
      <c r="I38" s="39">
        <f>VLOOKUP($C38,$C$304:$I$315,7,FALSE)*$D38</f>
        <v>0</v>
      </c>
    </row>
    <row r="39" spans="1:9" ht="12.75">
      <c r="A39" s="1" t="s">
        <v>201</v>
      </c>
      <c r="B39" s="4"/>
      <c r="D39" s="11">
        <f aca="true" t="shared" si="6" ref="D39:I39">SUM(D38:D38)</f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</row>
    <row r="40" spans="1:9" ht="12.75">
      <c r="A40" s="1"/>
      <c r="B40" s="4"/>
      <c r="D40" s="11"/>
      <c r="E40" s="11"/>
      <c r="F40" s="11"/>
      <c r="G40" s="11"/>
      <c r="H40" s="11"/>
      <c r="I40" s="11"/>
    </row>
    <row r="41" spans="1:9" ht="12.75">
      <c r="A41" s="1"/>
      <c r="B41" s="4"/>
      <c r="D41" s="11"/>
      <c r="E41" s="11"/>
      <c r="F41" s="11"/>
      <c r="G41" s="11"/>
      <c r="H41" s="11"/>
      <c r="I41" s="11"/>
    </row>
    <row r="42" spans="1:9" ht="12.75">
      <c r="A42" s="1" t="s">
        <v>243</v>
      </c>
      <c r="B42" s="1" t="s">
        <v>12</v>
      </c>
      <c r="C42" s="1" t="s">
        <v>194</v>
      </c>
      <c r="D42" s="233">
        <v>1401</v>
      </c>
      <c r="E42" s="16">
        <f>VLOOKUP($C42,$C$304:$I$315,3,FALSE)*$D42</f>
        <v>646.7372330098008</v>
      </c>
      <c r="F42" s="16">
        <f>VLOOKUP($C42,$C$304:$I$315,4,FALSE)*$D42</f>
        <v>270.64027153761896</v>
      </c>
      <c r="G42" s="16">
        <f>VLOOKUP($C42,$C$304:$I$315,5,FALSE)*$D42</f>
        <v>472.3616282913328</v>
      </c>
      <c r="H42" s="16">
        <f>VLOOKUP($C42,$C$304:$I$315,6,FALSE)*$D42</f>
        <v>11.260867161247395</v>
      </c>
      <c r="I42" s="16">
        <f>VLOOKUP($C42,$C$304:$I$315,7,FALSE)*$D42</f>
        <v>0</v>
      </c>
    </row>
    <row r="43" spans="1:9" ht="12.75">
      <c r="A43" s="1" t="s">
        <v>12</v>
      </c>
      <c r="B43" s="4"/>
      <c r="D43" s="13">
        <f aca="true" t="shared" si="7" ref="D43:I43">SUM(D42:D42)</f>
        <v>1401</v>
      </c>
      <c r="E43" s="13">
        <f t="shared" si="7"/>
        <v>646.7372330098008</v>
      </c>
      <c r="F43" s="13">
        <f t="shared" si="7"/>
        <v>270.64027153761896</v>
      </c>
      <c r="G43" s="13">
        <f t="shared" si="7"/>
        <v>472.3616282913328</v>
      </c>
      <c r="H43" s="13">
        <f t="shared" si="7"/>
        <v>11.260867161247395</v>
      </c>
      <c r="I43" s="13">
        <f t="shared" si="7"/>
        <v>0</v>
      </c>
    </row>
    <row r="44" spans="1:9" ht="12.75">
      <c r="A44" s="1"/>
      <c r="B44" s="4"/>
      <c r="D44" s="22"/>
      <c r="E44" s="22"/>
      <c r="F44" s="22"/>
      <c r="G44" s="22"/>
      <c r="H44" s="22"/>
      <c r="I44" s="22"/>
    </row>
    <row r="45" spans="1:9" ht="12.75">
      <c r="A45" s="1"/>
      <c r="B45" s="257" t="s">
        <v>18</v>
      </c>
      <c r="C45" s="235"/>
      <c r="D45" s="114">
        <f>SUM(E45:I45)</f>
        <v>1</v>
      </c>
      <c r="E45" s="115">
        <f>E43/$D43</f>
        <v>0.46162543398272715</v>
      </c>
      <c r="F45" s="115">
        <f>F43/$D43</f>
        <v>0.19317649645797214</v>
      </c>
      <c r="G45" s="115">
        <f>G43/$D43</f>
        <v>0.33716033425505554</v>
      </c>
      <c r="H45" s="115">
        <f>H43/$D43</f>
        <v>0.008037735304245107</v>
      </c>
      <c r="I45" s="116">
        <f>I43/$D43</f>
        <v>0</v>
      </c>
    </row>
    <row r="46" spans="1:9" ht="12.75">
      <c r="A46" s="1"/>
      <c r="B46" s="4"/>
      <c r="D46" s="151"/>
      <c r="E46" s="35"/>
      <c r="F46" s="35"/>
      <c r="G46" s="35"/>
      <c r="H46" s="35"/>
      <c r="I46" s="35"/>
    </row>
    <row r="47" spans="1:9" ht="12.75">
      <c r="A47" s="1" t="s">
        <v>243</v>
      </c>
      <c r="B47" s="1" t="s">
        <v>13</v>
      </c>
      <c r="C47" s="1" t="s">
        <v>194</v>
      </c>
      <c r="D47" s="233">
        <v>495661</v>
      </c>
      <c r="E47" s="16">
        <f>VLOOKUP($C47,$C$304:$I$315,3,FALSE)*$D47</f>
        <v>228809.72423331256</v>
      </c>
      <c r="F47" s="16">
        <f>VLOOKUP($C47,$C$304:$I$315,4,FALSE)*$D47</f>
        <v>95750.05541085493</v>
      </c>
      <c r="G47" s="16">
        <f>VLOOKUP($C47,$C$304:$I$315,5,FALSE)*$D47</f>
        <v>167117.2284371951</v>
      </c>
      <c r="H47" s="16">
        <f>VLOOKUP($C47,$C$304:$I$315,6,FALSE)*$D47</f>
        <v>3983.991918637434</v>
      </c>
      <c r="I47" s="16">
        <f>VLOOKUP($C47,$C$304:$I$315,7,FALSE)*$D47</f>
        <v>0</v>
      </c>
    </row>
    <row r="48" spans="1:9" ht="12.75">
      <c r="A48" s="1" t="s">
        <v>13</v>
      </c>
      <c r="B48" s="4"/>
      <c r="D48" s="13">
        <f aca="true" t="shared" si="8" ref="D48:I48">SUM(D47:D47)</f>
        <v>495661</v>
      </c>
      <c r="E48" s="13">
        <f t="shared" si="8"/>
        <v>228809.72423331256</v>
      </c>
      <c r="F48" s="13">
        <f t="shared" si="8"/>
        <v>95750.05541085493</v>
      </c>
      <c r="G48" s="13">
        <f t="shared" si="8"/>
        <v>167117.2284371951</v>
      </c>
      <c r="H48" s="13">
        <f t="shared" si="8"/>
        <v>3983.991918637434</v>
      </c>
      <c r="I48" s="13">
        <f t="shared" si="8"/>
        <v>0</v>
      </c>
    </row>
    <row r="49" spans="1:9" ht="12.75">
      <c r="A49" s="1"/>
      <c r="B49" s="4"/>
      <c r="D49" s="13"/>
      <c r="E49" s="13"/>
      <c r="F49" s="13"/>
      <c r="G49" s="13"/>
      <c r="H49" s="13"/>
      <c r="I49" s="13"/>
    </row>
    <row r="50" spans="1:9" ht="12.75">
      <c r="A50" s="1" t="s">
        <v>243</v>
      </c>
      <c r="B50" s="1" t="s">
        <v>163</v>
      </c>
      <c r="C50" s="1" t="s">
        <v>140</v>
      </c>
      <c r="D50" s="32">
        <v>18819</v>
      </c>
      <c r="E50" s="16">
        <f aca="true" t="shared" si="9" ref="E50:E62">VLOOKUP($C50,$C$304:$I$315,3,FALSE)*$D50</f>
        <v>18819</v>
      </c>
      <c r="F50" s="16">
        <f aca="true" t="shared" si="10" ref="F50:F62">VLOOKUP($C50,$C$304:$I$315,4,FALSE)*$D50</f>
        <v>0</v>
      </c>
      <c r="G50" s="16">
        <f aca="true" t="shared" si="11" ref="G50:G62">VLOOKUP($C50,$C$304:$I$315,5,FALSE)*$D50</f>
        <v>0</v>
      </c>
      <c r="H50" s="16">
        <f aca="true" t="shared" si="12" ref="H50:H62">VLOOKUP($C50,$C$304:$I$315,6,FALSE)*$D50</f>
        <v>0</v>
      </c>
      <c r="I50" s="16">
        <f aca="true" t="shared" si="13" ref="I50:I62">VLOOKUP($C50,$C$304:$I$315,7,FALSE)*$D50</f>
        <v>0</v>
      </c>
    </row>
    <row r="51" spans="1:9" ht="12.75" hidden="1">
      <c r="A51" s="1" t="s">
        <v>243</v>
      </c>
      <c r="B51" s="1" t="s">
        <v>163</v>
      </c>
      <c r="C51" s="1" t="s">
        <v>140</v>
      </c>
      <c r="D51" s="11">
        <v>0</v>
      </c>
      <c r="E51" s="16">
        <f t="shared" si="9"/>
        <v>0</v>
      </c>
      <c r="F51" s="16">
        <f t="shared" si="10"/>
        <v>0</v>
      </c>
      <c r="G51" s="16">
        <f t="shared" si="11"/>
        <v>0</v>
      </c>
      <c r="H51" s="16">
        <f t="shared" si="12"/>
        <v>0</v>
      </c>
      <c r="I51" s="16">
        <f t="shared" si="13"/>
        <v>0</v>
      </c>
    </row>
    <row r="52" spans="1:9" ht="12.75" hidden="1">
      <c r="A52" s="1" t="s">
        <v>243</v>
      </c>
      <c r="B52" s="1" t="s">
        <v>163</v>
      </c>
      <c r="C52" s="1" t="s">
        <v>140</v>
      </c>
      <c r="D52" s="11">
        <v>0</v>
      </c>
      <c r="E52" s="16">
        <f t="shared" si="9"/>
        <v>0</v>
      </c>
      <c r="F52" s="16">
        <f t="shared" si="10"/>
        <v>0</v>
      </c>
      <c r="G52" s="16">
        <f t="shared" si="11"/>
        <v>0</v>
      </c>
      <c r="H52" s="16">
        <f t="shared" si="12"/>
        <v>0</v>
      </c>
      <c r="I52" s="16">
        <f t="shared" si="13"/>
        <v>0</v>
      </c>
    </row>
    <row r="53" spans="1:9" ht="12.75" hidden="1">
      <c r="A53" s="1" t="s">
        <v>243</v>
      </c>
      <c r="B53" s="1" t="s">
        <v>163</v>
      </c>
      <c r="C53" s="1" t="s">
        <v>140</v>
      </c>
      <c r="D53" s="11">
        <v>0</v>
      </c>
      <c r="E53" s="16">
        <f t="shared" si="9"/>
        <v>0</v>
      </c>
      <c r="F53" s="16">
        <f t="shared" si="10"/>
        <v>0</v>
      </c>
      <c r="G53" s="16">
        <f t="shared" si="11"/>
        <v>0</v>
      </c>
      <c r="H53" s="16">
        <f t="shared" si="12"/>
        <v>0</v>
      </c>
      <c r="I53" s="16">
        <f t="shared" si="13"/>
        <v>0</v>
      </c>
    </row>
    <row r="54" spans="1:9" ht="12.75" hidden="1">
      <c r="A54" s="1" t="s">
        <v>243</v>
      </c>
      <c r="B54" s="1" t="s">
        <v>163</v>
      </c>
      <c r="C54" s="1" t="s">
        <v>140</v>
      </c>
      <c r="D54" s="11">
        <v>0</v>
      </c>
      <c r="E54" s="16">
        <f t="shared" si="9"/>
        <v>0</v>
      </c>
      <c r="F54" s="16">
        <f t="shared" si="10"/>
        <v>0</v>
      </c>
      <c r="G54" s="16">
        <f t="shared" si="11"/>
        <v>0</v>
      </c>
      <c r="H54" s="16">
        <f t="shared" si="12"/>
        <v>0</v>
      </c>
      <c r="I54" s="16">
        <f t="shared" si="13"/>
        <v>0</v>
      </c>
    </row>
    <row r="55" spans="1:9" ht="12.75" hidden="1">
      <c r="A55" s="1" t="s">
        <v>243</v>
      </c>
      <c r="B55" s="1" t="s">
        <v>163</v>
      </c>
      <c r="C55" s="1" t="s">
        <v>140</v>
      </c>
      <c r="D55" s="11">
        <v>0</v>
      </c>
      <c r="E55" s="16">
        <f t="shared" si="9"/>
        <v>0</v>
      </c>
      <c r="F55" s="16">
        <f t="shared" si="10"/>
        <v>0</v>
      </c>
      <c r="G55" s="16">
        <f t="shared" si="11"/>
        <v>0</v>
      </c>
      <c r="H55" s="16">
        <f t="shared" si="12"/>
        <v>0</v>
      </c>
      <c r="I55" s="16">
        <f t="shared" si="13"/>
        <v>0</v>
      </c>
    </row>
    <row r="56" spans="1:9" ht="12.75" hidden="1">
      <c r="A56" s="1" t="s">
        <v>243</v>
      </c>
      <c r="B56" s="1" t="s">
        <v>163</v>
      </c>
      <c r="C56" s="1" t="s">
        <v>140</v>
      </c>
      <c r="D56" s="11">
        <v>0</v>
      </c>
      <c r="E56" s="16">
        <f t="shared" si="9"/>
        <v>0</v>
      </c>
      <c r="F56" s="16">
        <f t="shared" si="10"/>
        <v>0</v>
      </c>
      <c r="G56" s="16">
        <f t="shared" si="11"/>
        <v>0</v>
      </c>
      <c r="H56" s="16">
        <f t="shared" si="12"/>
        <v>0</v>
      </c>
      <c r="I56" s="16">
        <f t="shared" si="13"/>
        <v>0</v>
      </c>
    </row>
    <row r="57" spans="1:9" ht="12.75" hidden="1">
      <c r="A57" s="1" t="s">
        <v>243</v>
      </c>
      <c r="B57" s="1" t="s">
        <v>163</v>
      </c>
      <c r="C57" s="1" t="s">
        <v>140</v>
      </c>
      <c r="D57" s="11">
        <v>0</v>
      </c>
      <c r="E57" s="16">
        <f t="shared" si="9"/>
        <v>0</v>
      </c>
      <c r="F57" s="16">
        <f t="shared" si="10"/>
        <v>0</v>
      </c>
      <c r="G57" s="16">
        <f t="shared" si="11"/>
        <v>0</v>
      </c>
      <c r="H57" s="16">
        <f t="shared" si="12"/>
        <v>0</v>
      </c>
      <c r="I57" s="16">
        <f t="shared" si="13"/>
        <v>0</v>
      </c>
    </row>
    <row r="58" spans="1:9" ht="12.75" hidden="1">
      <c r="A58" s="1" t="s">
        <v>243</v>
      </c>
      <c r="B58" s="1" t="s">
        <v>163</v>
      </c>
      <c r="C58" s="1" t="s">
        <v>140</v>
      </c>
      <c r="D58" s="11">
        <v>0</v>
      </c>
      <c r="E58" s="16">
        <f t="shared" si="9"/>
        <v>0</v>
      </c>
      <c r="F58" s="16">
        <f t="shared" si="10"/>
        <v>0</v>
      </c>
      <c r="G58" s="16">
        <f t="shared" si="11"/>
        <v>0</v>
      </c>
      <c r="H58" s="16">
        <f t="shared" si="12"/>
        <v>0</v>
      </c>
      <c r="I58" s="16">
        <f t="shared" si="13"/>
        <v>0</v>
      </c>
    </row>
    <row r="59" spans="1:9" ht="12.75" hidden="1">
      <c r="A59" s="1" t="s">
        <v>243</v>
      </c>
      <c r="B59" s="1" t="s">
        <v>163</v>
      </c>
      <c r="C59" s="1" t="s">
        <v>140</v>
      </c>
      <c r="D59" s="11">
        <v>0</v>
      </c>
      <c r="E59" s="16">
        <f t="shared" si="9"/>
        <v>0</v>
      </c>
      <c r="F59" s="16">
        <f t="shared" si="10"/>
        <v>0</v>
      </c>
      <c r="G59" s="16">
        <f t="shared" si="11"/>
        <v>0</v>
      </c>
      <c r="H59" s="16">
        <f t="shared" si="12"/>
        <v>0</v>
      </c>
      <c r="I59" s="16">
        <f t="shared" si="13"/>
        <v>0</v>
      </c>
    </row>
    <row r="60" spans="1:9" ht="12.75" hidden="1">
      <c r="A60" s="1" t="s">
        <v>243</v>
      </c>
      <c r="B60" s="1" t="s">
        <v>163</v>
      </c>
      <c r="C60" s="1" t="s">
        <v>140</v>
      </c>
      <c r="D60" s="11">
        <v>0</v>
      </c>
      <c r="E60" s="16">
        <f t="shared" si="9"/>
        <v>0</v>
      </c>
      <c r="F60" s="16">
        <f t="shared" si="10"/>
        <v>0</v>
      </c>
      <c r="G60" s="16">
        <f t="shared" si="11"/>
        <v>0</v>
      </c>
      <c r="H60" s="16">
        <f t="shared" si="12"/>
        <v>0</v>
      </c>
      <c r="I60" s="16">
        <f t="shared" si="13"/>
        <v>0</v>
      </c>
    </row>
    <row r="61" spans="1:9" ht="12.75">
      <c r="A61" s="1" t="s">
        <v>243</v>
      </c>
      <c r="B61" s="1" t="s">
        <v>163</v>
      </c>
      <c r="C61" s="1" t="s">
        <v>181</v>
      </c>
      <c r="D61" s="11">
        <v>761</v>
      </c>
      <c r="E61" s="16">
        <f t="shared" si="9"/>
        <v>329.2570235409249</v>
      </c>
      <c r="F61" s="16">
        <f t="shared" si="10"/>
        <v>44.936163582786584</v>
      </c>
      <c r="G61" s="16">
        <f t="shared" si="11"/>
        <v>275.0083424028313</v>
      </c>
      <c r="H61" s="16">
        <f t="shared" si="12"/>
        <v>111.7984704734572</v>
      </c>
      <c r="I61" s="16">
        <f t="shared" si="13"/>
        <v>0</v>
      </c>
    </row>
    <row r="62" spans="1:9" ht="12.75">
      <c r="A62" s="1" t="s">
        <v>243</v>
      </c>
      <c r="B62" s="1" t="s">
        <v>163</v>
      </c>
      <c r="C62" s="1" t="s">
        <v>170</v>
      </c>
      <c r="D62" s="233">
        <v>0</v>
      </c>
      <c r="E62" s="16">
        <f t="shared" si="9"/>
        <v>0</v>
      </c>
      <c r="F62" s="16">
        <f t="shared" si="10"/>
        <v>0</v>
      </c>
      <c r="G62" s="16">
        <f t="shared" si="11"/>
        <v>0</v>
      </c>
      <c r="H62" s="16">
        <f t="shared" si="12"/>
        <v>0</v>
      </c>
      <c r="I62" s="16">
        <f t="shared" si="13"/>
        <v>0</v>
      </c>
    </row>
    <row r="63" spans="1:9" ht="12.75">
      <c r="A63" s="1" t="s">
        <v>163</v>
      </c>
      <c r="B63" s="4"/>
      <c r="D63" s="13">
        <f aca="true" t="shared" si="14" ref="D63:I63">SUM(D50:D62)</f>
        <v>19580</v>
      </c>
      <c r="E63" s="13">
        <f t="shared" si="14"/>
        <v>19148.257023540926</v>
      </c>
      <c r="F63" s="13">
        <f t="shared" si="14"/>
        <v>44.936163582786584</v>
      </c>
      <c r="G63" s="13">
        <f t="shared" si="14"/>
        <v>275.0083424028313</v>
      </c>
      <c r="H63" s="13">
        <f t="shared" si="14"/>
        <v>111.7984704734572</v>
      </c>
      <c r="I63" s="13">
        <f t="shared" si="14"/>
        <v>0</v>
      </c>
    </row>
    <row r="64" spans="1:9" ht="12.75">
      <c r="A64" s="1"/>
      <c r="B64" s="4"/>
      <c r="D64" s="22"/>
      <c r="E64" s="22"/>
      <c r="F64" s="22"/>
      <c r="G64" s="22"/>
      <c r="H64" s="22"/>
      <c r="I64" s="22"/>
    </row>
    <row r="65" spans="1:9" ht="12.75">
      <c r="A65" s="1"/>
      <c r="B65" s="257" t="s">
        <v>19</v>
      </c>
      <c r="C65" s="235"/>
      <c r="D65" s="114">
        <f>SUM(E65:I65)</f>
        <v>1</v>
      </c>
      <c r="E65" s="115">
        <f>E63/$D63</f>
        <v>0.9779497969122025</v>
      </c>
      <c r="F65" s="115">
        <f>F63/$D63</f>
        <v>0.002295003247333329</v>
      </c>
      <c r="G65" s="115">
        <f>G63/$D63</f>
        <v>0.014045369887785052</v>
      </c>
      <c r="H65" s="115">
        <f>H63/$D63</f>
        <v>0.005709829952679122</v>
      </c>
      <c r="I65" s="116">
        <f>I63/$D63</f>
        <v>0</v>
      </c>
    </row>
    <row r="66" spans="1:9" ht="12.75">
      <c r="A66" s="1"/>
      <c r="B66" s="4"/>
      <c r="D66" s="8"/>
      <c r="E66" s="8"/>
      <c r="F66" s="8"/>
      <c r="G66" s="8"/>
      <c r="H66" s="8"/>
      <c r="I66" s="8"/>
    </row>
    <row r="67" spans="1:9" ht="12.75">
      <c r="A67" s="1" t="s">
        <v>243</v>
      </c>
      <c r="B67" s="1" t="s">
        <v>165</v>
      </c>
      <c r="C67" s="1" t="s">
        <v>140</v>
      </c>
      <c r="D67" s="238">
        <v>17296</v>
      </c>
      <c r="E67" s="31">
        <f aca="true" t="shared" si="15" ref="E67:E72">VLOOKUP($C67,$C$304:$I$315,3,FALSE)*$D67</f>
        <v>17296</v>
      </c>
      <c r="F67" s="31">
        <f aca="true" t="shared" si="16" ref="F67:F72">VLOOKUP($C67,$C$304:$I$315,4,FALSE)*$D67</f>
        <v>0</v>
      </c>
      <c r="G67" s="31">
        <f aca="true" t="shared" si="17" ref="G67:G72">VLOOKUP($C67,$C$304:$I$315,5,FALSE)*$D67</f>
        <v>0</v>
      </c>
      <c r="H67" s="221">
        <f aca="true" t="shared" si="18" ref="H67:H72">VLOOKUP($C67,$C$304:$I$315,6,FALSE)*$D67</f>
        <v>0</v>
      </c>
      <c r="I67" s="221">
        <f aca="true" t="shared" si="19" ref="I67:I72">VLOOKUP($C67,$C$304:$I$315,7,FALSE)*$D67</f>
        <v>0</v>
      </c>
    </row>
    <row r="68" spans="1:9" ht="12.75" hidden="1">
      <c r="A68" s="1" t="s">
        <v>243</v>
      </c>
      <c r="B68" s="1" t="s">
        <v>165</v>
      </c>
      <c r="C68" s="1" t="s">
        <v>140</v>
      </c>
      <c r="D68" s="9">
        <v>0</v>
      </c>
      <c r="E68" s="31">
        <f t="shared" si="15"/>
        <v>0</v>
      </c>
      <c r="F68" s="31">
        <f t="shared" si="16"/>
        <v>0</v>
      </c>
      <c r="G68" s="31">
        <f t="shared" si="17"/>
        <v>0</v>
      </c>
      <c r="H68" s="221">
        <f t="shared" si="18"/>
        <v>0</v>
      </c>
      <c r="I68" s="221">
        <f t="shared" si="19"/>
        <v>0</v>
      </c>
    </row>
    <row r="69" spans="1:9" ht="12.75" hidden="1">
      <c r="A69" s="1" t="s">
        <v>243</v>
      </c>
      <c r="B69" s="1" t="s">
        <v>165</v>
      </c>
      <c r="C69" s="1" t="s">
        <v>140</v>
      </c>
      <c r="D69" s="9">
        <v>0</v>
      </c>
      <c r="E69" s="31">
        <f t="shared" si="15"/>
        <v>0</v>
      </c>
      <c r="F69" s="31">
        <f t="shared" si="16"/>
        <v>0</v>
      </c>
      <c r="G69" s="31">
        <f t="shared" si="17"/>
        <v>0</v>
      </c>
      <c r="H69" s="221">
        <f t="shared" si="18"/>
        <v>0</v>
      </c>
      <c r="I69" s="221">
        <f t="shared" si="19"/>
        <v>0</v>
      </c>
    </row>
    <row r="70" spans="1:9" ht="12.75" hidden="1">
      <c r="A70" s="1" t="s">
        <v>243</v>
      </c>
      <c r="B70" s="1" t="s">
        <v>165</v>
      </c>
      <c r="C70" s="1" t="s">
        <v>140</v>
      </c>
      <c r="D70" s="9">
        <v>0</v>
      </c>
      <c r="E70" s="31">
        <f t="shared" si="15"/>
        <v>0</v>
      </c>
      <c r="F70" s="31">
        <f t="shared" si="16"/>
        <v>0</v>
      </c>
      <c r="G70" s="31">
        <f t="shared" si="17"/>
        <v>0</v>
      </c>
      <c r="H70" s="221">
        <f t="shared" si="18"/>
        <v>0</v>
      </c>
      <c r="I70" s="221">
        <f t="shared" si="19"/>
        <v>0</v>
      </c>
    </row>
    <row r="71" spans="1:9" ht="12.75">
      <c r="A71" s="1" t="s">
        <v>243</v>
      </c>
      <c r="B71" s="1" t="s">
        <v>165</v>
      </c>
      <c r="C71" s="1" t="s">
        <v>141</v>
      </c>
      <c r="D71" s="238">
        <v>11524</v>
      </c>
      <c r="E71" s="16">
        <f t="shared" si="15"/>
        <v>0</v>
      </c>
      <c r="F71" s="16">
        <f t="shared" si="16"/>
        <v>11524</v>
      </c>
      <c r="G71" s="16">
        <f t="shared" si="17"/>
        <v>0</v>
      </c>
      <c r="H71" s="16">
        <f t="shared" si="18"/>
        <v>0</v>
      </c>
      <c r="I71" s="16">
        <f t="shared" si="19"/>
        <v>0</v>
      </c>
    </row>
    <row r="72" spans="1:9" ht="12.75">
      <c r="A72" s="1" t="s">
        <v>243</v>
      </c>
      <c r="B72" s="1" t="s">
        <v>165</v>
      </c>
      <c r="C72" s="1" t="s">
        <v>194</v>
      </c>
      <c r="D72" s="12">
        <v>0</v>
      </c>
      <c r="E72" s="16">
        <f t="shared" si="15"/>
        <v>0</v>
      </c>
      <c r="F72" s="16">
        <f t="shared" si="16"/>
        <v>0</v>
      </c>
      <c r="G72" s="16">
        <f t="shared" si="17"/>
        <v>0</v>
      </c>
      <c r="H72" s="23">
        <f t="shared" si="18"/>
        <v>0</v>
      </c>
      <c r="I72" s="23">
        <f t="shared" si="19"/>
        <v>0</v>
      </c>
    </row>
    <row r="73" spans="1:9" ht="12.75">
      <c r="A73" s="1" t="s">
        <v>165</v>
      </c>
      <c r="B73" s="4"/>
      <c r="D73" s="13">
        <f aca="true" t="shared" si="20" ref="D73:I73">SUM(D67:D72)</f>
        <v>28820</v>
      </c>
      <c r="E73" s="13">
        <f t="shared" si="20"/>
        <v>17296</v>
      </c>
      <c r="F73" s="13">
        <f t="shared" si="20"/>
        <v>11524</v>
      </c>
      <c r="G73" s="13">
        <f t="shared" si="20"/>
        <v>0</v>
      </c>
      <c r="H73" s="13">
        <f t="shared" si="20"/>
        <v>0</v>
      </c>
      <c r="I73" s="13">
        <f t="shared" si="20"/>
        <v>0</v>
      </c>
    </row>
    <row r="74" spans="1:9" ht="12.75">
      <c r="A74" s="1"/>
      <c r="B74" s="4"/>
      <c r="D74" s="13"/>
      <c r="E74" s="13"/>
      <c r="F74" s="13"/>
      <c r="G74" s="13"/>
      <c r="H74" s="13"/>
      <c r="I74" s="13"/>
    </row>
    <row r="75" spans="1:9" ht="12.75">
      <c r="A75" s="1" t="s">
        <v>243</v>
      </c>
      <c r="B75" s="1" t="s">
        <v>162</v>
      </c>
      <c r="C75" s="1" t="s">
        <v>146</v>
      </c>
      <c r="D75" s="233">
        <v>0</v>
      </c>
      <c r="E75" s="16">
        <f>VLOOKUP($C75,$C$304:$I$315,3,FALSE)*$D75</f>
        <v>0</v>
      </c>
      <c r="F75" s="16">
        <f>VLOOKUP($C75,$C$304:$I$315,4,FALSE)*$D75</f>
        <v>0</v>
      </c>
      <c r="G75" s="16">
        <f>VLOOKUP($C75,$C$304:$I$315,5,FALSE)*$D75</f>
        <v>0</v>
      </c>
      <c r="H75" s="16">
        <f>VLOOKUP($C75,$C$304:$I$315,6,FALSE)*$D75</f>
        <v>0</v>
      </c>
      <c r="I75" s="16">
        <f>VLOOKUP($C75,$C$304:$I$315,7,FALSE)*$D75</f>
        <v>0</v>
      </c>
    </row>
    <row r="76" spans="1:9" ht="12.75">
      <c r="A76" s="1" t="s">
        <v>162</v>
      </c>
      <c r="B76" s="4"/>
      <c r="D76" s="13">
        <f aca="true" t="shared" si="21" ref="D76:I76">SUM(D75:D75)</f>
        <v>0</v>
      </c>
      <c r="E76" s="21">
        <f t="shared" si="21"/>
        <v>0</v>
      </c>
      <c r="F76" s="13">
        <f t="shared" si="21"/>
        <v>0</v>
      </c>
      <c r="G76" s="13">
        <f t="shared" si="21"/>
        <v>0</v>
      </c>
      <c r="H76" s="13">
        <f t="shared" si="21"/>
        <v>0</v>
      </c>
      <c r="I76" s="13">
        <f t="shared" si="21"/>
        <v>0</v>
      </c>
    </row>
    <row r="77" spans="1:9" ht="12.75">
      <c r="A77" s="1"/>
      <c r="B77" s="4"/>
      <c r="D77" s="13"/>
      <c r="E77" s="16"/>
      <c r="F77" s="13"/>
      <c r="G77" s="13"/>
      <c r="H77" s="13"/>
      <c r="I77" s="13"/>
    </row>
    <row r="78" spans="1:9" ht="12.75">
      <c r="A78" s="1" t="s">
        <v>243</v>
      </c>
      <c r="B78" s="1" t="s">
        <v>177</v>
      </c>
      <c r="C78" s="1" t="s">
        <v>140</v>
      </c>
      <c r="D78" s="233">
        <v>939</v>
      </c>
      <c r="E78" s="16">
        <f>VLOOKUP($C78,$C$304:$I$315,3,FALSE)*$D78</f>
        <v>939</v>
      </c>
      <c r="F78" s="16">
        <f>VLOOKUP($C78,$C$304:$I$315,4,FALSE)*$D78</f>
        <v>0</v>
      </c>
      <c r="G78" s="16">
        <f>VLOOKUP($C78,$C$304:$I$315,5,FALSE)*$D78</f>
        <v>0</v>
      </c>
      <c r="H78" s="16">
        <f>VLOOKUP($C78,$C$304:$I$315,6,FALSE)*$D78</f>
        <v>0</v>
      </c>
      <c r="I78" s="16">
        <f>VLOOKUP($C78,$C$304:$I$315,7,FALSE)*$D78</f>
        <v>0</v>
      </c>
    </row>
    <row r="79" spans="1:9" ht="12.75">
      <c r="A79" s="1" t="s">
        <v>177</v>
      </c>
      <c r="B79" s="4"/>
      <c r="D79" s="13">
        <f aca="true" t="shared" si="22" ref="D79:I79">SUM(D78:D78)</f>
        <v>939</v>
      </c>
      <c r="E79" s="21">
        <f t="shared" si="22"/>
        <v>939</v>
      </c>
      <c r="F79" s="13">
        <f t="shared" si="22"/>
        <v>0</v>
      </c>
      <c r="G79" s="13">
        <f t="shared" si="22"/>
        <v>0</v>
      </c>
      <c r="H79" s="13">
        <f t="shared" si="22"/>
        <v>0</v>
      </c>
      <c r="I79" s="13">
        <f t="shared" si="22"/>
        <v>0</v>
      </c>
    </row>
    <row r="80" spans="1:9" ht="12.75">
      <c r="A80" s="1"/>
      <c r="B80" s="4"/>
      <c r="D80" s="13"/>
      <c r="E80" s="16"/>
      <c r="F80" s="13"/>
      <c r="G80" s="13"/>
      <c r="H80" s="13"/>
      <c r="I80" s="13"/>
    </row>
    <row r="81" spans="1:9" ht="12.75">
      <c r="A81" s="1" t="s">
        <v>243</v>
      </c>
      <c r="B81" s="1" t="s">
        <v>9</v>
      </c>
      <c r="C81" s="1" t="s">
        <v>170</v>
      </c>
      <c r="D81" s="32">
        <v>56120</v>
      </c>
      <c r="E81" s="16">
        <f>VLOOKUP($C81,$C$304:$I$315,3,FALSE)*$D81</f>
        <v>26153.755327902803</v>
      </c>
      <c r="F81" s="16">
        <f>VLOOKUP($C81,$C$304:$I$315,4,FALSE)*$D81</f>
        <v>11109.365122449826</v>
      </c>
      <c r="G81" s="16">
        <f>VLOOKUP($C81,$C$304:$I$315,5,FALSE)*$D81</f>
        <v>18856.87954964737</v>
      </c>
      <c r="H81" s="16">
        <f>VLOOKUP($C81,$C$304:$I$315,6,FALSE)*$D81</f>
        <v>0</v>
      </c>
      <c r="I81" s="16">
        <f>VLOOKUP($C81,$C$304:$I$315,7,FALSE)*$D81</f>
        <v>0</v>
      </c>
    </row>
    <row r="82" spans="1:9" ht="12.75">
      <c r="A82" s="1" t="s">
        <v>243</v>
      </c>
      <c r="B82" s="1" t="s">
        <v>9</v>
      </c>
      <c r="C82" s="1" t="s">
        <v>194</v>
      </c>
      <c r="D82" s="234">
        <v>4652</v>
      </c>
      <c r="E82" s="16">
        <f>VLOOKUP($C82,$C$304:$I$315,3,FALSE)*$D82</f>
        <v>2147.481518887647</v>
      </c>
      <c r="F82" s="16">
        <f>VLOOKUP($C82,$C$304:$I$315,4,FALSE)*$D82</f>
        <v>898.6570615224864</v>
      </c>
      <c r="G82" s="16">
        <f>VLOOKUP($C82,$C$304:$I$315,5,FALSE)*$D82</f>
        <v>1568.4698749545184</v>
      </c>
      <c r="H82" s="16">
        <f>VLOOKUP($C82,$C$304:$I$315,6,FALSE)*$D82</f>
        <v>37.39154463534824</v>
      </c>
      <c r="I82" s="16">
        <f>VLOOKUP($C82,$C$304:$I$315,7,FALSE)*$D82</f>
        <v>0</v>
      </c>
    </row>
    <row r="83" spans="1:9" ht="12.75">
      <c r="A83" s="1" t="s">
        <v>243</v>
      </c>
      <c r="B83" s="1" t="s">
        <v>9</v>
      </c>
      <c r="C83" s="1" t="s">
        <v>194</v>
      </c>
      <c r="D83" s="12">
        <v>0</v>
      </c>
      <c r="E83" s="16">
        <f>VLOOKUP($C83,$C$304:$I$315,3,FALSE)*$D83</f>
        <v>0</v>
      </c>
      <c r="F83" s="16">
        <f>VLOOKUP($C83,$C$304:$I$315,4,FALSE)*$D83</f>
        <v>0</v>
      </c>
      <c r="G83" s="16">
        <f>VLOOKUP($C83,$C$304:$I$315,5,FALSE)*$D83</f>
        <v>0</v>
      </c>
      <c r="H83" s="16">
        <f>VLOOKUP($C83,$C$304:$I$315,6,FALSE)*$D83</f>
        <v>0</v>
      </c>
      <c r="I83" s="16">
        <f>VLOOKUP($C83,$C$304:$I$315,7,FALSE)*$D83</f>
        <v>0</v>
      </c>
    </row>
    <row r="84" spans="1:9" ht="12.75">
      <c r="A84" s="1" t="s">
        <v>9</v>
      </c>
      <c r="B84" s="4"/>
      <c r="D84" s="13">
        <f aca="true" t="shared" si="23" ref="D84:I84">SUM(D81:D83)</f>
        <v>60772</v>
      </c>
      <c r="E84" s="13">
        <f t="shared" si="23"/>
        <v>28301.23684679045</v>
      </c>
      <c r="F84" s="13">
        <f t="shared" si="23"/>
        <v>12008.022183972313</v>
      </c>
      <c r="G84" s="13">
        <f t="shared" si="23"/>
        <v>20425.349424601885</v>
      </c>
      <c r="H84" s="13">
        <f t="shared" si="23"/>
        <v>37.39154463534824</v>
      </c>
      <c r="I84" s="13">
        <f t="shared" si="23"/>
        <v>0</v>
      </c>
    </row>
    <row r="85" spans="1:9" ht="12.75">
      <c r="A85" s="1"/>
      <c r="B85" s="4"/>
      <c r="D85" s="22"/>
      <c r="E85" s="22"/>
      <c r="F85" s="22"/>
      <c r="G85" s="22"/>
      <c r="H85" s="22"/>
      <c r="I85" s="22"/>
    </row>
    <row r="86" spans="1:9" ht="12.75">
      <c r="A86" s="1"/>
      <c r="B86" s="257" t="s">
        <v>20</v>
      </c>
      <c r="C86" s="235"/>
      <c r="D86" s="114">
        <f>SUM(E86:I86)</f>
        <v>1</v>
      </c>
      <c r="E86" s="114">
        <f>E84/$D84</f>
        <v>0.46569533414714753</v>
      </c>
      <c r="F86" s="114">
        <f>F84/$D84</f>
        <v>0.1975913608894279</v>
      </c>
      <c r="G86" s="114">
        <f>G84/$D84</f>
        <v>0.3360980291022492</v>
      </c>
      <c r="H86" s="114">
        <f>H84/$D84</f>
        <v>0.0006152758611753478</v>
      </c>
      <c r="I86" s="258">
        <f>I84/$D84</f>
        <v>0</v>
      </c>
    </row>
    <row r="87" spans="1:9" ht="12.75">
      <c r="A87" s="1"/>
      <c r="B87" s="52"/>
      <c r="D87" s="31"/>
      <c r="E87" s="31"/>
      <c r="F87" s="31"/>
      <c r="G87" s="31"/>
      <c r="H87" s="31"/>
      <c r="I87" s="31"/>
    </row>
    <row r="88" spans="1:9" ht="12.75">
      <c r="A88" s="1" t="s">
        <v>243</v>
      </c>
      <c r="B88" s="1" t="s">
        <v>9</v>
      </c>
      <c r="C88" s="1" t="s">
        <v>9</v>
      </c>
      <c r="D88" s="239">
        <v>0</v>
      </c>
      <c r="E88" s="31"/>
      <c r="F88" s="31"/>
      <c r="G88" s="31"/>
      <c r="H88" s="221"/>
      <c r="I88" s="221"/>
    </row>
    <row r="89" spans="1:9" ht="12.75">
      <c r="A89" s="1" t="s">
        <v>243</v>
      </c>
      <c r="B89" s="1" t="s">
        <v>14</v>
      </c>
      <c r="C89" s="1" t="s">
        <v>142</v>
      </c>
      <c r="D89" s="12">
        <v>29371</v>
      </c>
      <c r="E89" s="16">
        <f>VLOOKUP($C89,$C$304:$I$315,3,FALSE)*$D89</f>
        <v>0</v>
      </c>
      <c r="F89" s="16">
        <f>VLOOKUP($C89,$C$304:$I$315,4,FALSE)*$D89</f>
        <v>0</v>
      </c>
      <c r="G89" s="16">
        <f>VLOOKUP($C89,$C$304:$I$315,5,FALSE)*$D89</f>
        <v>29371</v>
      </c>
      <c r="H89" s="23">
        <f>VLOOKUP($C89,$C$304:$I$315,6,FALSE)*$D89</f>
        <v>0</v>
      </c>
      <c r="I89" s="23">
        <f>VLOOKUP($C89,$C$304:$I$315,7,FALSE)*$D89</f>
        <v>0</v>
      </c>
    </row>
    <row r="90" spans="1:9" ht="12.75">
      <c r="A90" s="1" t="s">
        <v>14</v>
      </c>
      <c r="B90" s="4"/>
      <c r="D90" s="13">
        <f aca="true" t="shared" si="24" ref="D90:I90">SUM(D89:D89)</f>
        <v>29371</v>
      </c>
      <c r="E90" s="13">
        <f t="shared" si="24"/>
        <v>0</v>
      </c>
      <c r="F90" s="13">
        <f t="shared" si="24"/>
        <v>0</v>
      </c>
      <c r="G90" s="13">
        <f t="shared" si="24"/>
        <v>29371</v>
      </c>
      <c r="H90" s="13">
        <f t="shared" si="24"/>
        <v>0</v>
      </c>
      <c r="I90" s="13">
        <f t="shared" si="24"/>
        <v>0</v>
      </c>
    </row>
    <row r="91" spans="1:9" ht="12.75">
      <c r="A91" s="1"/>
      <c r="B91" s="4"/>
      <c r="D91" s="13"/>
      <c r="E91" s="13"/>
      <c r="F91" s="13"/>
      <c r="G91" s="13"/>
      <c r="H91" s="13"/>
      <c r="I91" s="13"/>
    </row>
    <row r="92" spans="1:9" ht="12.75">
      <c r="A92" s="1" t="s">
        <v>243</v>
      </c>
      <c r="B92" s="1" t="s">
        <v>319</v>
      </c>
      <c r="C92" s="1" t="s">
        <v>146</v>
      </c>
      <c r="D92" s="32">
        <v>9202</v>
      </c>
      <c r="E92" s="16">
        <f>VLOOKUP($C92,$C$304:$I$315,3,FALSE)*$D92</f>
        <v>0</v>
      </c>
      <c r="F92" s="16">
        <f>VLOOKUP($C92,$C$304:$I$315,4,FALSE)*$D92</f>
        <v>0</v>
      </c>
      <c r="G92" s="16">
        <f>VLOOKUP($C92,$C$304:$I$315,5,FALSE)*$D92</f>
        <v>0</v>
      </c>
      <c r="H92" s="16">
        <f>VLOOKUP($C92,$C$304:$I$315,6,FALSE)*$D92</f>
        <v>0</v>
      </c>
      <c r="I92" s="16">
        <f>VLOOKUP($C92,$C$304:$I$315,7,FALSE)*$D92</f>
        <v>9202</v>
      </c>
    </row>
    <row r="93" spans="1:9" ht="12.75">
      <c r="A93" s="1" t="s">
        <v>243</v>
      </c>
      <c r="B93" s="1" t="s">
        <v>319</v>
      </c>
      <c r="C93" s="1" t="s">
        <v>142</v>
      </c>
      <c r="D93" s="234">
        <v>14</v>
      </c>
      <c r="E93" s="16">
        <f>VLOOKUP($C93,$C$304:$I$315,3,FALSE)*$D93</f>
        <v>0</v>
      </c>
      <c r="F93" s="16">
        <f>VLOOKUP($C93,$C$304:$I$315,4,FALSE)*$D93</f>
        <v>0</v>
      </c>
      <c r="G93" s="16">
        <f>VLOOKUP($C93,$C$304:$I$315,5,FALSE)*$D93</f>
        <v>14</v>
      </c>
      <c r="H93" s="16">
        <f>VLOOKUP($C93,$C$304:$I$315,6,FALSE)*$D93</f>
        <v>0</v>
      </c>
      <c r="I93" s="16">
        <f>VLOOKUP($C93,$C$304:$I$315,7,FALSE)*$D93</f>
        <v>0</v>
      </c>
    </row>
    <row r="94" spans="1:9" ht="12.75">
      <c r="A94" s="1"/>
      <c r="B94" s="1" t="s">
        <v>319</v>
      </c>
      <c r="C94" s="1" t="s">
        <v>140</v>
      </c>
      <c r="D94" s="234">
        <v>256</v>
      </c>
      <c r="E94" s="16">
        <f>VLOOKUP($C94,$C$304:$I$315,3,FALSE)*$D94</f>
        <v>256</v>
      </c>
      <c r="F94" s="16">
        <f>VLOOKUP($C94,$C$304:$I$315,4,FALSE)*$D94</f>
        <v>0</v>
      </c>
      <c r="G94" s="16">
        <f>VLOOKUP($C94,$C$304:$I$315,5,FALSE)*$D94</f>
        <v>0</v>
      </c>
      <c r="H94" s="16">
        <f>VLOOKUP($C94,$C$304:$I$315,6,FALSE)*$D94</f>
        <v>0</v>
      </c>
      <c r="I94" s="16">
        <f>VLOOKUP($C94,$C$304:$I$315,7,FALSE)*$D94</f>
        <v>0</v>
      </c>
    </row>
    <row r="95" spans="1:9" ht="12.75">
      <c r="A95" s="1"/>
      <c r="B95" s="1" t="s">
        <v>319</v>
      </c>
      <c r="C95" s="1" t="s">
        <v>170</v>
      </c>
      <c r="D95" s="234">
        <v>2092</v>
      </c>
      <c r="E95" s="16">
        <f>VLOOKUP($C95,$C$304:$I$315,3,FALSE)*$D95</f>
        <v>974.9404160009384</v>
      </c>
      <c r="F95" s="16">
        <f>VLOOKUP($C95,$C$304:$I$315,4,FALSE)*$D95</f>
        <v>414.12672551969064</v>
      </c>
      <c r="G95" s="16">
        <f>VLOOKUP($C95,$C$304:$I$315,5,FALSE)*$D95</f>
        <v>702.9328584793709</v>
      </c>
      <c r="H95" s="16">
        <f>VLOOKUP($C95,$C$304:$I$315,6,FALSE)*$D95</f>
        <v>0</v>
      </c>
      <c r="I95" s="16">
        <f>VLOOKUP($C95,$C$304:$I$315,7,FALSE)*$D95</f>
        <v>0</v>
      </c>
    </row>
    <row r="96" spans="1:9" ht="12.75">
      <c r="A96" s="1" t="s">
        <v>243</v>
      </c>
      <c r="B96" s="1" t="s">
        <v>319</v>
      </c>
      <c r="C96" s="1" t="s">
        <v>194</v>
      </c>
      <c r="D96" s="12">
        <v>0</v>
      </c>
      <c r="E96" s="16">
        <f>VLOOKUP($C96,$C$304:$I$315,3,FALSE)*$D96</f>
        <v>0</v>
      </c>
      <c r="F96" s="16">
        <f>VLOOKUP($C96,$C$304:$I$315,4,FALSE)*$D96</f>
        <v>0</v>
      </c>
      <c r="G96" s="16">
        <f>VLOOKUP($C96,$C$304:$I$315,5,FALSE)*$D96</f>
        <v>0</v>
      </c>
      <c r="H96" s="16">
        <f>VLOOKUP($C96,$C$304:$I$315,6,FALSE)*$D96</f>
        <v>0</v>
      </c>
      <c r="I96" s="16">
        <f>VLOOKUP($C96,$C$304:$I$315,7,FALSE)*$D96</f>
        <v>0</v>
      </c>
    </row>
    <row r="97" spans="1:9" ht="12.75">
      <c r="A97" s="1" t="s">
        <v>319</v>
      </c>
      <c r="B97" s="4"/>
      <c r="D97" s="13">
        <f aca="true" t="shared" si="25" ref="D97:I97">SUM(D92:D96)</f>
        <v>11564</v>
      </c>
      <c r="E97" s="13">
        <f t="shared" si="25"/>
        <v>1230.9404160009385</v>
      </c>
      <c r="F97" s="13">
        <f t="shared" si="25"/>
        <v>414.12672551969064</v>
      </c>
      <c r="G97" s="13">
        <f t="shared" si="25"/>
        <v>716.9328584793709</v>
      </c>
      <c r="H97" s="13">
        <f t="shared" si="25"/>
        <v>0</v>
      </c>
      <c r="I97" s="13">
        <f t="shared" si="25"/>
        <v>9202</v>
      </c>
    </row>
    <row r="98" spans="1:9" ht="12.75">
      <c r="A98" s="1"/>
      <c r="B98" s="4"/>
      <c r="D98" s="13"/>
      <c r="E98" s="13"/>
      <c r="F98" s="13"/>
      <c r="G98" s="13"/>
      <c r="H98" s="13"/>
      <c r="I98" s="13"/>
    </row>
    <row r="99" spans="1:9" ht="12.75">
      <c r="A99" s="1" t="s">
        <v>243</v>
      </c>
      <c r="B99" s="1" t="s">
        <v>167</v>
      </c>
      <c r="C99" s="1" t="s">
        <v>181</v>
      </c>
      <c r="D99" s="32">
        <v>5536</v>
      </c>
      <c r="E99" s="16">
        <f aca="true" t="shared" si="26" ref="E99:E104">VLOOKUP($C99,$C$304:$I$315,3,FALSE)*$D99</f>
        <v>2395.225863761577</v>
      </c>
      <c r="F99" s="16">
        <f aca="true" t="shared" si="27" ref="F99:F104">VLOOKUP($C99,$C$304:$I$315,4,FALSE)*$D99</f>
        <v>326.894351635094</v>
      </c>
      <c r="G99" s="16">
        <f aca="true" t="shared" si="28" ref="G99:G104">VLOOKUP($C99,$C$304:$I$315,5,FALSE)*$D99</f>
        <v>2000.5863121446441</v>
      </c>
      <c r="H99" s="16">
        <f aca="true" t="shared" si="29" ref="H99:H104">VLOOKUP($C99,$C$304:$I$315,6,FALSE)*$D99</f>
        <v>813.2934724586847</v>
      </c>
      <c r="I99" s="16">
        <f aca="true" t="shared" si="30" ref="I99:I104">VLOOKUP($C99,$C$304:$I$315,7,FALSE)*$D99</f>
        <v>0</v>
      </c>
    </row>
    <row r="100" spans="1:9" ht="12.75">
      <c r="A100" s="1" t="s">
        <v>243</v>
      </c>
      <c r="B100" s="1" t="s">
        <v>167</v>
      </c>
      <c r="C100" s="1" t="s">
        <v>146</v>
      </c>
      <c r="D100" s="11">
        <v>730</v>
      </c>
      <c r="E100" s="16">
        <f t="shared" si="26"/>
        <v>0</v>
      </c>
      <c r="F100" s="16">
        <f t="shared" si="27"/>
        <v>0</v>
      </c>
      <c r="G100" s="16">
        <f t="shared" si="28"/>
        <v>0</v>
      </c>
      <c r="H100" s="16">
        <f t="shared" si="29"/>
        <v>0</v>
      </c>
      <c r="I100" s="16">
        <f t="shared" si="30"/>
        <v>730</v>
      </c>
    </row>
    <row r="101" spans="1:9" ht="12.75">
      <c r="A101" s="1" t="s">
        <v>243</v>
      </c>
      <c r="B101" s="1" t="s">
        <v>167</v>
      </c>
      <c r="C101" s="1" t="s">
        <v>142</v>
      </c>
      <c r="D101" s="11">
        <v>28</v>
      </c>
      <c r="E101" s="16">
        <f t="shared" si="26"/>
        <v>0</v>
      </c>
      <c r="F101" s="16">
        <f t="shared" si="27"/>
        <v>0</v>
      </c>
      <c r="G101" s="16">
        <f t="shared" si="28"/>
        <v>28</v>
      </c>
      <c r="H101" s="16">
        <f t="shared" si="29"/>
        <v>0</v>
      </c>
      <c r="I101" s="16">
        <f t="shared" si="30"/>
        <v>0</v>
      </c>
    </row>
    <row r="102" spans="1:9" ht="12.75">
      <c r="A102" s="1" t="s">
        <v>243</v>
      </c>
      <c r="B102" s="1" t="s">
        <v>167</v>
      </c>
      <c r="C102" s="1" t="s">
        <v>178</v>
      </c>
      <c r="D102" s="11">
        <v>4852</v>
      </c>
      <c r="E102" s="16">
        <f t="shared" si="26"/>
        <v>1455.6</v>
      </c>
      <c r="F102" s="16">
        <f t="shared" si="27"/>
        <v>485.20000000000005</v>
      </c>
      <c r="G102" s="16">
        <f t="shared" si="28"/>
        <v>2911.2</v>
      </c>
      <c r="H102" s="16">
        <f t="shared" si="29"/>
        <v>0</v>
      </c>
      <c r="I102" s="16">
        <f t="shared" si="30"/>
        <v>0</v>
      </c>
    </row>
    <row r="103" spans="1:9" ht="12.75">
      <c r="A103" s="1" t="s">
        <v>243</v>
      </c>
      <c r="B103" s="1" t="s">
        <v>167</v>
      </c>
      <c r="C103" s="1" t="s">
        <v>194</v>
      </c>
      <c r="D103" s="12">
        <v>0</v>
      </c>
      <c r="E103" s="16">
        <f t="shared" si="26"/>
        <v>0</v>
      </c>
      <c r="F103" s="16">
        <f t="shared" si="27"/>
        <v>0</v>
      </c>
      <c r="G103" s="16">
        <f t="shared" si="28"/>
        <v>0</v>
      </c>
      <c r="H103" s="16">
        <f t="shared" si="29"/>
        <v>0</v>
      </c>
      <c r="I103" s="16">
        <f t="shared" si="30"/>
        <v>0</v>
      </c>
    </row>
    <row r="104" spans="1:9" ht="12.75">
      <c r="A104" s="1" t="s">
        <v>243</v>
      </c>
      <c r="B104" s="1" t="s">
        <v>167</v>
      </c>
      <c r="C104" s="1" t="s">
        <v>170</v>
      </c>
      <c r="D104" s="12">
        <v>4533</v>
      </c>
      <c r="E104" s="16">
        <f t="shared" si="26"/>
        <v>2112.526245569911</v>
      </c>
      <c r="F104" s="16">
        <f t="shared" si="27"/>
        <v>897.3405577345877</v>
      </c>
      <c r="G104" s="16">
        <f t="shared" si="28"/>
        <v>1523.1331966955013</v>
      </c>
      <c r="H104" s="16">
        <f t="shared" si="29"/>
        <v>0</v>
      </c>
      <c r="I104" s="16">
        <f t="shared" si="30"/>
        <v>0</v>
      </c>
    </row>
    <row r="105" spans="1:9" ht="12.75">
      <c r="A105" s="1" t="s">
        <v>167</v>
      </c>
      <c r="B105" s="4"/>
      <c r="D105" s="13">
        <f aca="true" t="shared" si="31" ref="D105:I105">SUM(D99:D104)</f>
        <v>15679</v>
      </c>
      <c r="E105" s="13">
        <f t="shared" si="31"/>
        <v>5963.3521093314885</v>
      </c>
      <c r="F105" s="13">
        <f t="shared" si="31"/>
        <v>1709.4349093696817</v>
      </c>
      <c r="G105" s="13">
        <f t="shared" si="31"/>
        <v>6462.919508840146</v>
      </c>
      <c r="H105" s="13">
        <f t="shared" si="31"/>
        <v>813.2934724586847</v>
      </c>
      <c r="I105" s="13">
        <f t="shared" si="31"/>
        <v>730</v>
      </c>
    </row>
    <row r="106" spans="1:9" ht="12.75">
      <c r="A106" s="1"/>
      <c r="B106" s="4"/>
      <c r="D106" s="22"/>
      <c r="E106" s="22"/>
      <c r="F106" s="22"/>
      <c r="G106" s="22"/>
      <c r="H106" s="22"/>
      <c r="I106" s="22"/>
    </row>
    <row r="107" spans="1:9" ht="12.75">
      <c r="A107" s="1"/>
      <c r="B107" s="257" t="s">
        <v>47</v>
      </c>
      <c r="C107" s="235"/>
      <c r="D107" s="114">
        <f>SUM(E107:I107)</f>
        <v>1</v>
      </c>
      <c r="E107" s="115">
        <f>E105/$D105</f>
        <v>0.38034007968183486</v>
      </c>
      <c r="F107" s="115">
        <f>F105/$D105</f>
        <v>0.10902703676061494</v>
      </c>
      <c r="G107" s="115">
        <f>G105/$D105</f>
        <v>0.41220227749474747</v>
      </c>
      <c r="H107" s="115">
        <f>H105/$D105</f>
        <v>0.05187151428399035</v>
      </c>
      <c r="I107" s="116">
        <f>I105/$D105</f>
        <v>0.04655909177881242</v>
      </c>
    </row>
    <row r="108" spans="1:9" ht="12.75">
      <c r="A108" s="1"/>
      <c r="B108" s="4"/>
      <c r="D108" s="8"/>
      <c r="E108" s="8"/>
      <c r="F108" s="8"/>
      <c r="G108" s="8"/>
      <c r="H108" s="8"/>
      <c r="I108" s="8"/>
    </row>
    <row r="109" spans="1:9" ht="12.75">
      <c r="A109" s="1" t="s">
        <v>243</v>
      </c>
      <c r="B109" s="1" t="s">
        <v>369</v>
      </c>
      <c r="C109" s="1" t="s">
        <v>140</v>
      </c>
      <c r="D109" s="240">
        <v>1533</v>
      </c>
      <c r="E109" s="16">
        <f>VLOOKUP($C109,$C$304:$I$315,3,FALSE)*$D109</f>
        <v>1533</v>
      </c>
      <c r="F109" s="16">
        <f>VLOOKUP($C109,$C$304:$I$315,4,FALSE)*$D109</f>
        <v>0</v>
      </c>
      <c r="G109" s="16">
        <f>VLOOKUP($C109,$C$304:$I$315,5,FALSE)*$D109</f>
        <v>0</v>
      </c>
      <c r="H109" s="23">
        <f>VLOOKUP($C109,$C$304:$I$315,6,FALSE)*$D109</f>
        <v>0</v>
      </c>
      <c r="I109" s="23">
        <f>VLOOKUP($C109,$C$304:$I$315,7,FALSE)*$D109</f>
        <v>0</v>
      </c>
    </row>
    <row r="110" spans="1:9" ht="12.75">
      <c r="A110" s="1" t="s">
        <v>8</v>
      </c>
      <c r="B110" s="4"/>
      <c r="D110" s="13">
        <f aca="true" t="shared" si="32" ref="D110:I110">SUM(D109:D109)</f>
        <v>1533</v>
      </c>
      <c r="E110" s="13">
        <f t="shared" si="32"/>
        <v>1533</v>
      </c>
      <c r="F110" s="13">
        <f t="shared" si="32"/>
        <v>0</v>
      </c>
      <c r="G110" s="13">
        <f t="shared" si="32"/>
        <v>0</v>
      </c>
      <c r="H110" s="13">
        <f t="shared" si="32"/>
        <v>0</v>
      </c>
      <c r="I110" s="13">
        <f t="shared" si="32"/>
        <v>0</v>
      </c>
    </row>
    <row r="111" spans="1:9" ht="12.75">
      <c r="A111" s="1"/>
      <c r="B111" s="4"/>
      <c r="D111" s="22"/>
      <c r="E111" s="22"/>
      <c r="F111" s="22"/>
      <c r="G111" s="22"/>
      <c r="H111" s="22"/>
      <c r="I111" s="22"/>
    </row>
    <row r="112" spans="1:9" ht="12.75" hidden="1">
      <c r="A112" s="1" t="s">
        <v>243</v>
      </c>
      <c r="B112" s="1" t="s">
        <v>155</v>
      </c>
      <c r="C112" s="1" t="s">
        <v>142</v>
      </c>
      <c r="D112" s="241">
        <v>0</v>
      </c>
      <c r="E112" s="31">
        <f>VLOOKUP($C112,$C$304:$I$315,3,FALSE)*$D112</f>
        <v>0</v>
      </c>
      <c r="F112" s="31">
        <f>VLOOKUP($C112,$C$304:$I$315,4,FALSE)*$D112</f>
        <v>0</v>
      </c>
      <c r="G112" s="31">
        <f>VLOOKUP($C112,$C$304:$I$315,5,FALSE)*$D112</f>
        <v>0</v>
      </c>
      <c r="H112" s="31">
        <f>VLOOKUP($C112,$C$304:$I$315,6,FALSE)*$D112</f>
        <v>0</v>
      </c>
      <c r="I112" s="31">
        <f>VLOOKUP($C112,$C$304:$I$315,6,FALSE)*$D112</f>
        <v>0</v>
      </c>
    </row>
    <row r="113" spans="1:9" ht="12.75" hidden="1">
      <c r="A113" s="1" t="s">
        <v>243</v>
      </c>
      <c r="B113" s="1" t="s">
        <v>155</v>
      </c>
      <c r="C113" s="1" t="s">
        <v>181</v>
      </c>
      <c r="D113" s="239">
        <v>0</v>
      </c>
      <c r="E113" s="31">
        <f>VLOOKUP($C113,$C$304:$I$315,3,FALSE)*$D113</f>
        <v>0</v>
      </c>
      <c r="F113" s="31">
        <f>VLOOKUP($C113,$C$304:$I$315,4,FALSE)*$D113</f>
        <v>0</v>
      </c>
      <c r="G113" s="31">
        <f>VLOOKUP($C113,$C$304:$I$315,5,FALSE)*$D113</f>
        <v>0</v>
      </c>
      <c r="H113" s="221">
        <f>VLOOKUP($C113,$C$304:$I$315,6,FALSE)*$D113</f>
        <v>0</v>
      </c>
      <c r="I113" s="221">
        <f>VLOOKUP($C113,$C$304:$I$315,7,FALSE)*$D113</f>
        <v>0</v>
      </c>
    </row>
    <row r="114" spans="1:9" ht="12.75" hidden="1">
      <c r="A114" s="1" t="s">
        <v>155</v>
      </c>
      <c r="B114" s="4"/>
      <c r="C114" s="37"/>
      <c r="D114" s="22">
        <f aca="true" t="shared" si="33" ref="D114:I114">SUM(D112:D113)</f>
        <v>0</v>
      </c>
      <c r="E114" s="22">
        <f t="shared" si="33"/>
        <v>0</v>
      </c>
      <c r="F114" s="22">
        <f t="shared" si="33"/>
        <v>0</v>
      </c>
      <c r="G114" s="22">
        <f t="shared" si="33"/>
        <v>0</v>
      </c>
      <c r="H114" s="22">
        <f t="shared" si="33"/>
        <v>0</v>
      </c>
      <c r="I114" s="22">
        <f t="shared" si="33"/>
        <v>0</v>
      </c>
    </row>
    <row r="115" spans="1:9" ht="12.75" hidden="1">
      <c r="A115" s="1" t="s">
        <v>243</v>
      </c>
      <c r="B115" s="1" t="s">
        <v>15</v>
      </c>
      <c r="C115" s="1" t="s">
        <v>140</v>
      </c>
      <c r="D115" s="10">
        <v>0</v>
      </c>
      <c r="E115" s="31">
        <f>VLOOKUP($C115,$C$304:$I$315,3,FALSE)*$D115</f>
        <v>0</v>
      </c>
      <c r="F115" s="31">
        <f>VLOOKUP($C115,$C$304:$I$315,4,FALSE)*$D115</f>
        <v>0</v>
      </c>
      <c r="G115" s="31">
        <f>VLOOKUP($C115,$C$304:$I$315,5,FALSE)*$D115</f>
        <v>0</v>
      </c>
      <c r="H115" s="221">
        <f>VLOOKUP($C115,$C$304:$I$315,6,FALSE)*$D115</f>
        <v>0</v>
      </c>
      <c r="I115" s="221">
        <f>VLOOKUP($C115,$C$304:$I$315,6,FALSE)*$D115</f>
        <v>0</v>
      </c>
    </row>
    <row r="116" spans="1:9" ht="12.75" hidden="1">
      <c r="A116" s="1" t="s">
        <v>243</v>
      </c>
      <c r="B116" s="1" t="s">
        <v>15</v>
      </c>
      <c r="C116" s="1" t="s">
        <v>170</v>
      </c>
      <c r="D116" s="239">
        <v>0</v>
      </c>
      <c r="E116" s="31">
        <f>VLOOKUP($C116,$C$304:$I$315,3,FALSE)*$D116</f>
        <v>0</v>
      </c>
      <c r="F116" s="31">
        <f>VLOOKUP($C116,$C$304:$I$315,4,FALSE)*$D116</f>
        <v>0</v>
      </c>
      <c r="G116" s="31">
        <f>VLOOKUP($C116,$C$304:$I$315,5,FALSE)*$D116</f>
        <v>0</v>
      </c>
      <c r="H116" s="221">
        <f>VLOOKUP($C116,$C$304:$I$315,6,FALSE)*$D116</f>
        <v>0</v>
      </c>
      <c r="I116" s="221">
        <f>VLOOKUP($C116,$C$304:$I$315,6,FALSE)*$D116</f>
        <v>0</v>
      </c>
    </row>
    <row r="117" spans="1:9" ht="12.75" hidden="1">
      <c r="A117" s="1" t="s">
        <v>243</v>
      </c>
      <c r="B117" s="1" t="s">
        <v>15</v>
      </c>
      <c r="C117" s="1" t="s">
        <v>181</v>
      </c>
      <c r="D117" s="239">
        <v>0</v>
      </c>
      <c r="E117" s="31">
        <f>VLOOKUP($C117,$C$304:$I$315,3,FALSE)*$D117</f>
        <v>0</v>
      </c>
      <c r="F117" s="31">
        <f>VLOOKUP($C117,$C$304:$I$315,4,FALSE)*$D117</f>
        <v>0</v>
      </c>
      <c r="G117" s="31">
        <f>VLOOKUP($C117,$C$304:$I$315,5,FALSE)*$D117</f>
        <v>0</v>
      </c>
      <c r="H117" s="221">
        <f>VLOOKUP($C117,$C$304:$I$315,6,FALSE)*$D117</f>
        <v>0</v>
      </c>
      <c r="I117" s="221">
        <f>VLOOKUP($C117,$C$304:$I$315,7,FALSE)*$D117</f>
        <v>0</v>
      </c>
    </row>
    <row r="118" spans="1:9" ht="12.75" hidden="1">
      <c r="A118" s="1" t="s">
        <v>15</v>
      </c>
      <c r="B118" s="4"/>
      <c r="C118" s="37"/>
      <c r="D118" s="22">
        <f aca="true" t="shared" si="34" ref="D118:I118">SUM(D115:D117)</f>
        <v>0</v>
      </c>
      <c r="E118" s="22">
        <f t="shared" si="34"/>
        <v>0</v>
      </c>
      <c r="F118" s="22">
        <f t="shared" si="34"/>
        <v>0</v>
      </c>
      <c r="G118" s="22">
        <f t="shared" si="34"/>
        <v>0</v>
      </c>
      <c r="H118" s="22">
        <f t="shared" si="34"/>
        <v>0</v>
      </c>
      <c r="I118" s="22">
        <f t="shared" si="34"/>
        <v>0</v>
      </c>
    </row>
    <row r="119" spans="1:9" ht="12.75" hidden="1">
      <c r="A119" s="1" t="s">
        <v>243</v>
      </c>
      <c r="B119" s="1" t="s">
        <v>156</v>
      </c>
      <c r="C119" s="1" t="s">
        <v>140</v>
      </c>
      <c r="D119" s="239">
        <v>0</v>
      </c>
      <c r="E119" s="31">
        <f>VLOOKUP($C119,$C$304:$I$315,3,FALSE)*$D119</f>
        <v>0</v>
      </c>
      <c r="F119" s="31">
        <f>VLOOKUP($C119,$C$304:$I$315,4,FALSE)*$D119</f>
        <v>0</v>
      </c>
      <c r="G119" s="31">
        <f>VLOOKUP($C119,$C$304:$I$315,5,FALSE)*$D119</f>
        <v>0</v>
      </c>
      <c r="H119" s="221">
        <f>VLOOKUP($C119,$C$304:$I$315,6,FALSE)*$D119</f>
        <v>0</v>
      </c>
      <c r="I119" s="221">
        <f>VLOOKUP($C119,$C$304:$I$315,7,FALSE)*$D119</f>
        <v>0</v>
      </c>
    </row>
    <row r="120" spans="1:9" ht="12.75" hidden="1">
      <c r="A120" s="1" t="s">
        <v>243</v>
      </c>
      <c r="B120" s="1" t="s">
        <v>156</v>
      </c>
      <c r="C120" s="1" t="s">
        <v>142</v>
      </c>
      <c r="D120" s="239">
        <v>0</v>
      </c>
      <c r="E120" s="31">
        <f>VLOOKUP($C120,$C$304:$I$315,3,FALSE)*$D120</f>
        <v>0</v>
      </c>
      <c r="F120" s="31">
        <f>VLOOKUP($C120,$C$304:$I$315,4,FALSE)*$D120</f>
        <v>0</v>
      </c>
      <c r="G120" s="31">
        <f>VLOOKUP($C120,$C$304:$I$315,5,FALSE)*$D120</f>
        <v>0</v>
      </c>
      <c r="H120" s="221">
        <f>VLOOKUP($C120,$C$304:$I$315,6,FALSE)*$D120</f>
        <v>0</v>
      </c>
      <c r="I120" s="221">
        <f>VLOOKUP($C120,$C$304:$I$315,7,FALSE)*$D120</f>
        <v>0</v>
      </c>
    </row>
    <row r="121" spans="1:9" ht="12.75" hidden="1">
      <c r="A121" s="1" t="s">
        <v>156</v>
      </c>
      <c r="B121" s="4"/>
      <c r="C121" s="37"/>
      <c r="D121" s="22">
        <f aca="true" t="shared" si="35" ref="D121:I121">SUM(D119:D120)</f>
        <v>0</v>
      </c>
      <c r="E121" s="22">
        <f t="shared" si="35"/>
        <v>0</v>
      </c>
      <c r="F121" s="22">
        <f t="shared" si="35"/>
        <v>0</v>
      </c>
      <c r="G121" s="22">
        <f t="shared" si="35"/>
        <v>0</v>
      </c>
      <c r="H121" s="22">
        <f t="shared" si="35"/>
        <v>0</v>
      </c>
      <c r="I121" s="22">
        <f t="shared" si="35"/>
        <v>0</v>
      </c>
    </row>
    <row r="122" spans="1:9" ht="12.75" hidden="1">
      <c r="A122" s="1" t="s">
        <v>243</v>
      </c>
      <c r="B122" s="1" t="s">
        <v>157</v>
      </c>
      <c r="C122" s="1" t="s">
        <v>140</v>
      </c>
      <c r="D122" s="239">
        <v>0</v>
      </c>
      <c r="E122" s="31">
        <f>VLOOKUP($C122,$C$304:$I$315,3,FALSE)*$D122</f>
        <v>0</v>
      </c>
      <c r="F122" s="31">
        <f>VLOOKUP($C122,$C$304:$I$315,4,FALSE)*$D122</f>
        <v>0</v>
      </c>
      <c r="G122" s="31">
        <f>VLOOKUP($C122,$C$304:$I$315,5,FALSE)*$D122</f>
        <v>0</v>
      </c>
      <c r="H122" s="221">
        <f>VLOOKUP($C122,$C$304:$I$315,6,FALSE)*$D122</f>
        <v>0</v>
      </c>
      <c r="I122" s="221">
        <f>VLOOKUP($C122,$C$304:$I$315,7,FALSE)*$D122</f>
        <v>0</v>
      </c>
    </row>
    <row r="123" spans="1:9" ht="12.75" hidden="1">
      <c r="A123" s="1" t="s">
        <v>243</v>
      </c>
      <c r="B123" s="1" t="s">
        <v>157</v>
      </c>
      <c r="C123" s="1" t="s">
        <v>181</v>
      </c>
      <c r="D123" s="239">
        <v>0</v>
      </c>
      <c r="E123" s="31">
        <f>VLOOKUP($C123,$C$304:$I$315,3,FALSE)*D123</f>
        <v>0</v>
      </c>
      <c r="F123" s="31">
        <f>VLOOKUP($C123,$C$304:$I$315,4,FALSE)*D123</f>
        <v>0</v>
      </c>
      <c r="G123" s="31">
        <f>VLOOKUP($C123,$C$304:$I$315,5,FALSE)*D123</f>
        <v>0</v>
      </c>
      <c r="H123" s="31">
        <f>VLOOKUP($C123,$C$304:$I$315,6,FALSE)*D123</f>
        <v>0</v>
      </c>
      <c r="I123" s="31">
        <f>VLOOKUP($C123,$C$304:$I$315,7,FALSE)*D123</f>
        <v>0</v>
      </c>
    </row>
    <row r="124" spans="1:9" ht="12.75" hidden="1">
      <c r="A124" s="1" t="s">
        <v>243</v>
      </c>
      <c r="B124" s="1" t="s">
        <v>157</v>
      </c>
      <c r="C124" s="1" t="s">
        <v>146</v>
      </c>
      <c r="D124" s="239">
        <v>0</v>
      </c>
      <c r="E124" s="31">
        <f>VLOOKUP($C124,$C$304:$I$315,3,FALSE)*$D124</f>
        <v>0</v>
      </c>
      <c r="F124" s="31">
        <f>VLOOKUP($C124,$C$304:$I$315,4,FALSE)*D124</f>
        <v>0</v>
      </c>
      <c r="G124" s="31">
        <f>VLOOKUP($C124,$C$304:$I$315,5,FALSE)*D124</f>
        <v>0</v>
      </c>
      <c r="H124" s="31">
        <f>VLOOKUP($C124,$C$304:$I$315,6,FALSE)*D124</f>
        <v>0</v>
      </c>
      <c r="I124" s="31">
        <f>VLOOKUP($C124,$C$304:$I$315,7,FALSE)*D124</f>
        <v>0</v>
      </c>
    </row>
    <row r="125" spans="1:9" ht="12.75" hidden="1">
      <c r="A125" s="1" t="s">
        <v>243</v>
      </c>
      <c r="B125" s="1" t="s">
        <v>157</v>
      </c>
      <c r="C125" s="1" t="s">
        <v>194</v>
      </c>
      <c r="D125" s="239">
        <v>0</v>
      </c>
      <c r="E125" s="31">
        <f>VLOOKUP($C125,$C$304:$I$315,3,FALSE)*D125</f>
        <v>0</v>
      </c>
      <c r="F125" s="31">
        <f>VLOOKUP($C125,$C$304:$I$315,4,FALSE)*D125</f>
        <v>0</v>
      </c>
      <c r="G125" s="31">
        <f>VLOOKUP($C125,$C$304:$I$315,5,FALSE)*D125</f>
        <v>0</v>
      </c>
      <c r="H125" s="31">
        <f>VLOOKUP($C125,$C$304:$I$315,6,FALSE)*D125</f>
        <v>0</v>
      </c>
      <c r="I125" s="31">
        <f>VLOOKUP($C125,$C$304:$I$315,7,FALSE)*D125</f>
        <v>0</v>
      </c>
    </row>
    <row r="126" spans="1:9" ht="12.75" hidden="1">
      <c r="A126" s="1" t="s">
        <v>243</v>
      </c>
      <c r="B126" s="1" t="s">
        <v>157</v>
      </c>
      <c r="C126" s="1" t="s">
        <v>170</v>
      </c>
      <c r="D126" s="239">
        <v>0</v>
      </c>
      <c r="E126" s="31">
        <f>VLOOKUP($C126,$C$304:$I$315,3,FALSE)*$D126</f>
        <v>0</v>
      </c>
      <c r="F126" s="31">
        <f>VLOOKUP($C126,$C$304:$I$315,4,FALSE)*$D126</f>
        <v>0</v>
      </c>
      <c r="G126" s="31">
        <f>VLOOKUP($C126,$C$304:$I$315,5,FALSE)*$D126</f>
        <v>0</v>
      </c>
      <c r="H126" s="31">
        <f>VLOOKUP($C126,$C$304:$I$315,6,FALSE)*$D126</f>
        <v>0</v>
      </c>
      <c r="I126" s="31">
        <f>VLOOKUP($C126,$C$304:$I$315,7,FALSE)*$D126</f>
        <v>0</v>
      </c>
    </row>
    <row r="127" spans="1:9" ht="12.75" hidden="1">
      <c r="A127" s="1" t="s">
        <v>157</v>
      </c>
      <c r="B127" s="4"/>
      <c r="C127" s="37"/>
      <c r="D127" s="22">
        <f aca="true" t="shared" si="36" ref="D127:I127">SUM(D122:D126)</f>
        <v>0</v>
      </c>
      <c r="E127" s="22">
        <f t="shared" si="36"/>
        <v>0</v>
      </c>
      <c r="F127" s="22">
        <f t="shared" si="36"/>
        <v>0</v>
      </c>
      <c r="G127" s="22">
        <f t="shared" si="36"/>
        <v>0</v>
      </c>
      <c r="H127" s="22">
        <f t="shared" si="36"/>
        <v>0</v>
      </c>
      <c r="I127" s="22">
        <f t="shared" si="36"/>
        <v>0</v>
      </c>
    </row>
    <row r="128" spans="1:9" ht="12.75">
      <c r="A128" s="1" t="s">
        <v>243</v>
      </c>
      <c r="B128" s="1" t="s">
        <v>214</v>
      </c>
      <c r="C128" s="1" t="s">
        <v>146</v>
      </c>
      <c r="D128" s="238">
        <v>0</v>
      </c>
      <c r="E128" s="16">
        <f aca="true" t="shared" si="37" ref="E128:E134">VLOOKUP($C128,$C$304:$I$315,3,FALSE)*$D128</f>
        <v>0</v>
      </c>
      <c r="F128" s="16">
        <f aca="true" t="shared" si="38" ref="F128:F134">VLOOKUP($C128,$C$304:$I$315,4,FALSE)*$D128</f>
        <v>0</v>
      </c>
      <c r="G128" s="16">
        <f aca="true" t="shared" si="39" ref="G128:G134">VLOOKUP($C128,$C$304:$I$315,5,FALSE)*$D128</f>
        <v>0</v>
      </c>
      <c r="H128" s="23">
        <f aca="true" t="shared" si="40" ref="H128:H134">VLOOKUP($C128,$C$304:$I$315,6,FALSE)*$D128</f>
        <v>0</v>
      </c>
      <c r="I128" s="23">
        <f aca="true" t="shared" si="41" ref="I128:I134">VLOOKUP($C128,$C$304:$I$315,7,FALSE)*$D128</f>
        <v>0</v>
      </c>
    </row>
    <row r="129" spans="1:9" ht="12.75">
      <c r="A129" s="1" t="s">
        <v>243</v>
      </c>
      <c r="B129" s="1" t="s">
        <v>214</v>
      </c>
      <c r="C129" s="1" t="s">
        <v>142</v>
      </c>
      <c r="D129" s="242">
        <v>610</v>
      </c>
      <c r="E129" s="16">
        <f t="shared" si="37"/>
        <v>0</v>
      </c>
      <c r="F129" s="16">
        <f t="shared" si="38"/>
        <v>0</v>
      </c>
      <c r="G129" s="16">
        <f t="shared" si="39"/>
        <v>610</v>
      </c>
      <c r="H129" s="23">
        <f t="shared" si="40"/>
        <v>0</v>
      </c>
      <c r="I129" s="23">
        <f t="shared" si="41"/>
        <v>0</v>
      </c>
    </row>
    <row r="130" spans="1:9" ht="12.75">
      <c r="A130" s="1" t="s">
        <v>243</v>
      </c>
      <c r="B130" s="1" t="s">
        <v>214</v>
      </c>
      <c r="C130" s="1" t="s">
        <v>178</v>
      </c>
      <c r="D130" s="242">
        <v>100</v>
      </c>
      <c r="E130" s="16">
        <f t="shared" si="37"/>
        <v>30</v>
      </c>
      <c r="F130" s="16">
        <f t="shared" si="38"/>
        <v>10</v>
      </c>
      <c r="G130" s="16">
        <f t="shared" si="39"/>
        <v>60</v>
      </c>
      <c r="H130" s="23">
        <f t="shared" si="40"/>
        <v>0</v>
      </c>
      <c r="I130" s="23">
        <f t="shared" si="41"/>
        <v>0</v>
      </c>
    </row>
    <row r="131" spans="1:9" ht="12.75">
      <c r="A131" s="1" t="s">
        <v>243</v>
      </c>
      <c r="B131" s="1" t="s">
        <v>214</v>
      </c>
      <c r="C131" s="1" t="s">
        <v>181</v>
      </c>
      <c r="D131" s="242">
        <v>12061</v>
      </c>
      <c r="E131" s="16">
        <f t="shared" si="37"/>
        <v>5218.356059036919</v>
      </c>
      <c r="F131" s="16">
        <f t="shared" si="38"/>
        <v>712.1880012772523</v>
      </c>
      <c r="G131" s="16">
        <f t="shared" si="39"/>
        <v>4358.575056137383</v>
      </c>
      <c r="H131" s="23">
        <f t="shared" si="40"/>
        <v>1771.8808835484458</v>
      </c>
      <c r="I131" s="23">
        <f t="shared" si="41"/>
        <v>0</v>
      </c>
    </row>
    <row r="132" spans="1:9" ht="12.75">
      <c r="A132" s="1" t="s">
        <v>243</v>
      </c>
      <c r="B132" s="1" t="s">
        <v>214</v>
      </c>
      <c r="C132" s="1" t="s">
        <v>141</v>
      </c>
      <c r="D132" s="242">
        <v>74</v>
      </c>
      <c r="E132" s="16">
        <f t="shared" si="37"/>
        <v>0</v>
      </c>
      <c r="F132" s="16">
        <f t="shared" si="38"/>
        <v>74</v>
      </c>
      <c r="G132" s="16">
        <f t="shared" si="39"/>
        <v>0</v>
      </c>
      <c r="H132" s="23">
        <f t="shared" si="40"/>
        <v>0</v>
      </c>
      <c r="I132" s="23">
        <f t="shared" si="41"/>
        <v>0</v>
      </c>
    </row>
    <row r="133" spans="1:9" ht="12.75">
      <c r="A133" s="1" t="s">
        <v>243</v>
      </c>
      <c r="B133" s="1" t="s">
        <v>214</v>
      </c>
      <c r="C133" s="1" t="s">
        <v>140</v>
      </c>
      <c r="D133" s="242">
        <v>3361</v>
      </c>
      <c r="E133" s="16">
        <f t="shared" si="37"/>
        <v>3361</v>
      </c>
      <c r="F133" s="16">
        <f t="shared" si="38"/>
        <v>0</v>
      </c>
      <c r="G133" s="16">
        <f t="shared" si="39"/>
        <v>0</v>
      </c>
      <c r="H133" s="23">
        <f t="shared" si="40"/>
        <v>0</v>
      </c>
      <c r="I133" s="23">
        <f t="shared" si="41"/>
        <v>0</v>
      </c>
    </row>
    <row r="134" spans="1:9" ht="12.75">
      <c r="A134" s="1" t="s">
        <v>243</v>
      </c>
      <c r="B134" s="1" t="s">
        <v>214</v>
      </c>
      <c r="C134" s="1" t="s">
        <v>170</v>
      </c>
      <c r="D134" s="243">
        <v>1501</v>
      </c>
      <c r="E134" s="16">
        <f t="shared" si="37"/>
        <v>699.515088153637</v>
      </c>
      <c r="F134" s="16">
        <f t="shared" si="38"/>
        <v>297.1339459871203</v>
      </c>
      <c r="G134" s="16">
        <f t="shared" si="39"/>
        <v>504.35096585924276</v>
      </c>
      <c r="H134" s="23">
        <f t="shared" si="40"/>
        <v>0</v>
      </c>
      <c r="I134" s="23">
        <f t="shared" si="41"/>
        <v>0</v>
      </c>
    </row>
    <row r="135" spans="1:9" ht="12.75">
      <c r="A135" s="1" t="s">
        <v>158</v>
      </c>
      <c r="B135" s="4"/>
      <c r="C135" s="37"/>
      <c r="D135" s="21">
        <f aca="true" t="shared" si="42" ref="D135:I135">SUM(D128:D134)</f>
        <v>17707</v>
      </c>
      <c r="E135" s="21">
        <f t="shared" si="42"/>
        <v>9308.871147190557</v>
      </c>
      <c r="F135" s="21">
        <f t="shared" si="42"/>
        <v>1093.3219472643725</v>
      </c>
      <c r="G135" s="21">
        <f t="shared" si="42"/>
        <v>5532.926021996626</v>
      </c>
      <c r="H135" s="21">
        <f t="shared" si="42"/>
        <v>1771.8808835484458</v>
      </c>
      <c r="I135" s="21">
        <f t="shared" si="42"/>
        <v>0</v>
      </c>
    </row>
    <row r="136" spans="1:9" ht="12.75" hidden="1">
      <c r="A136" s="1" t="s">
        <v>243</v>
      </c>
      <c r="B136" s="1" t="s">
        <v>159</v>
      </c>
      <c r="C136" s="1" t="s">
        <v>140</v>
      </c>
      <c r="D136" s="234">
        <v>0</v>
      </c>
      <c r="E136" s="16">
        <f>VLOOKUP($C136,$C$304:$I$315,3,FALSE)*$D136</f>
        <v>0</v>
      </c>
      <c r="F136" s="16">
        <f>VLOOKUP($C136,$C$304:$I$315,4,FALSE)*$D136</f>
        <v>0</v>
      </c>
      <c r="G136" s="16">
        <f>VLOOKUP($C136,$C$304:$I$315,5,FALSE)*$D136</f>
        <v>0</v>
      </c>
      <c r="H136" s="16">
        <f>VLOOKUP($C136,$C$304:$I$315,6,FALSE)*$D136</f>
        <v>0</v>
      </c>
      <c r="I136" s="16">
        <f>VLOOKUP($C136,$C$304:$I$315,7,FALSE)*$D136</f>
        <v>0</v>
      </c>
    </row>
    <row r="137" spans="1:9" ht="12.75" hidden="1">
      <c r="A137" s="1" t="s">
        <v>243</v>
      </c>
      <c r="B137" s="1" t="s">
        <v>159</v>
      </c>
      <c r="C137" s="1" t="s">
        <v>146</v>
      </c>
      <c r="D137" s="234">
        <v>0</v>
      </c>
      <c r="E137" s="16">
        <f>VLOOKUP($C137,$C$304:$I$315,3,FALSE)*$D137</f>
        <v>0</v>
      </c>
      <c r="F137" s="16">
        <f>VLOOKUP($C137,$C$304:$I$315,4,FALSE)*$D137</f>
        <v>0</v>
      </c>
      <c r="G137" s="16">
        <f>VLOOKUP($C137,$C$304:$I$315,5,FALSE)*$D137</f>
        <v>0</v>
      </c>
      <c r="H137" s="16">
        <f>VLOOKUP($C137,$C$304:$I$315,6,FALSE)*$D137</f>
        <v>0</v>
      </c>
      <c r="I137" s="16">
        <f>VLOOKUP($C137,$C$304:$I$315,7,FALSE)*$D137</f>
        <v>0</v>
      </c>
    </row>
    <row r="138" spans="1:9" ht="12.75" hidden="1">
      <c r="A138" s="1" t="s">
        <v>243</v>
      </c>
      <c r="B138" s="1" t="s">
        <v>159</v>
      </c>
      <c r="C138" s="1" t="s">
        <v>170</v>
      </c>
      <c r="D138" s="234">
        <v>0</v>
      </c>
      <c r="E138" s="16">
        <f>VLOOKUP($C138,$C$304:$I$315,3,FALSE)*$D138</f>
        <v>0</v>
      </c>
      <c r="F138" s="16">
        <f>VLOOKUP($C138,$C$304:$I$315,4,FALSE)*$D138</f>
        <v>0</v>
      </c>
      <c r="G138" s="16">
        <f>VLOOKUP($C138,$C$304:$I$315,5,FALSE)*$D138</f>
        <v>0</v>
      </c>
      <c r="H138" s="16">
        <f>VLOOKUP($C138,$C$304:$I$315,6,FALSE)*$D138</f>
        <v>0</v>
      </c>
      <c r="I138" s="16">
        <f>VLOOKUP($C138,$C$304:$I$315,7,FALSE)*$D138</f>
        <v>0</v>
      </c>
    </row>
    <row r="139" spans="1:9" ht="12.75" hidden="1">
      <c r="A139" s="1" t="s">
        <v>159</v>
      </c>
      <c r="B139" s="4"/>
      <c r="C139" s="37"/>
      <c r="D139" s="13">
        <f aca="true" t="shared" si="43" ref="D139:I139">SUM(D136:D138)</f>
        <v>0</v>
      </c>
      <c r="E139" s="13">
        <f t="shared" si="43"/>
        <v>0</v>
      </c>
      <c r="F139" s="13">
        <f t="shared" si="43"/>
        <v>0</v>
      </c>
      <c r="G139" s="13">
        <f t="shared" si="43"/>
        <v>0</v>
      </c>
      <c r="H139" s="13">
        <f t="shared" si="43"/>
        <v>0</v>
      </c>
      <c r="I139" s="13">
        <f t="shared" si="43"/>
        <v>0</v>
      </c>
    </row>
    <row r="140" spans="1:9" ht="12.75" hidden="1">
      <c r="A140" s="1" t="s">
        <v>243</v>
      </c>
      <c r="B140" s="1" t="s">
        <v>160</v>
      </c>
      <c r="C140" s="1" t="s">
        <v>140</v>
      </c>
      <c r="D140" s="234">
        <v>0</v>
      </c>
      <c r="E140" s="16">
        <f>VLOOKUP($C140,$C$304:$I$315,3,FALSE)*$D140</f>
        <v>0</v>
      </c>
      <c r="F140" s="16">
        <f>VLOOKUP($C140,$C$304:$I$315,4,FALSE)*$D140</f>
        <v>0</v>
      </c>
      <c r="G140" s="16">
        <f>VLOOKUP($C140,$C$304:$I$315,5,FALSE)*$D140</f>
        <v>0</v>
      </c>
      <c r="H140" s="16">
        <f>VLOOKUP($C140,$C$304:$I$315,6,FALSE)*$D140</f>
        <v>0</v>
      </c>
      <c r="I140" s="16">
        <f>VLOOKUP($C140,$C$304:$I$315,7,FALSE)*$D140</f>
        <v>0</v>
      </c>
    </row>
    <row r="141" spans="1:9" ht="12.75" hidden="1">
      <c r="A141" s="1" t="s">
        <v>243</v>
      </c>
      <c r="B141" s="1" t="s">
        <v>160</v>
      </c>
      <c r="C141" s="1" t="s">
        <v>181</v>
      </c>
      <c r="D141" s="234">
        <v>0</v>
      </c>
      <c r="E141" s="16">
        <f>VLOOKUP($C141,$C$304:$I$315,3,FALSE)*$D141</f>
        <v>0</v>
      </c>
      <c r="F141" s="16">
        <f>VLOOKUP($C141,$C$304:$I$315,4,FALSE)*$D141</f>
        <v>0</v>
      </c>
      <c r="G141" s="16">
        <f>VLOOKUP($C141,$C$304:$I$315,5,FALSE)*$D141</f>
        <v>0</v>
      </c>
      <c r="H141" s="16">
        <f>VLOOKUP($C141,$C$304:$I$315,6,FALSE)*$D141</f>
        <v>0</v>
      </c>
      <c r="I141" s="16">
        <f>VLOOKUP($C141,$C$304:$I$315,7,FALSE)*$D141</f>
        <v>0</v>
      </c>
    </row>
    <row r="142" spans="1:9" ht="12.75" hidden="1">
      <c r="A142" s="1" t="s">
        <v>160</v>
      </c>
      <c r="B142" s="4"/>
      <c r="C142" s="37"/>
      <c r="D142" s="13">
        <f aca="true" t="shared" si="44" ref="D142:I142">SUM(D140:D141)</f>
        <v>0</v>
      </c>
      <c r="E142" s="13">
        <f t="shared" si="44"/>
        <v>0</v>
      </c>
      <c r="F142" s="13">
        <f t="shared" si="44"/>
        <v>0</v>
      </c>
      <c r="G142" s="13">
        <f t="shared" si="44"/>
        <v>0</v>
      </c>
      <c r="H142" s="13">
        <f t="shared" si="44"/>
        <v>0</v>
      </c>
      <c r="I142" s="13">
        <f t="shared" si="44"/>
        <v>0</v>
      </c>
    </row>
    <row r="143" spans="1:9" ht="12.75" hidden="1">
      <c r="A143" s="1" t="s">
        <v>243</v>
      </c>
      <c r="B143" s="1" t="s">
        <v>182</v>
      </c>
      <c r="C143" s="1" t="s">
        <v>140</v>
      </c>
      <c r="D143" s="234">
        <v>0</v>
      </c>
      <c r="E143" s="16">
        <f>VLOOKUP($C143,$C$304:$I$315,3,FALSE)*$D143</f>
        <v>0</v>
      </c>
      <c r="F143" s="16">
        <f>VLOOKUP($C143,$C$304:$I$315,4,FALSE)*$D143</f>
        <v>0</v>
      </c>
      <c r="G143" s="16">
        <f>VLOOKUP($C143,$C$304:$I$315,5,FALSE)*$D143</f>
        <v>0</v>
      </c>
      <c r="H143" s="16">
        <f>VLOOKUP($C143,$C$304:$I$315,6,FALSE)*$D143</f>
        <v>0</v>
      </c>
      <c r="I143" s="16">
        <f>VLOOKUP($C143,$C$304:$I$315,7,FALSE)*$D143</f>
        <v>0</v>
      </c>
    </row>
    <row r="144" spans="1:9" ht="12.75" hidden="1">
      <c r="A144" s="1" t="s">
        <v>243</v>
      </c>
      <c r="B144" s="1" t="s">
        <v>182</v>
      </c>
      <c r="C144" s="1" t="s">
        <v>181</v>
      </c>
      <c r="D144" s="234">
        <v>0</v>
      </c>
      <c r="E144" s="16">
        <f>VLOOKUP($C144,$C$304:$I$315,3,FALSE)*$D144</f>
        <v>0</v>
      </c>
      <c r="F144" s="16">
        <f>VLOOKUP($C144,$C$304:$I$315,4,FALSE)*$D144</f>
        <v>0</v>
      </c>
      <c r="G144" s="16">
        <f>VLOOKUP($C144,$C$304:$I$315,5,FALSE)*$D144</f>
        <v>0</v>
      </c>
      <c r="H144" s="16">
        <f>VLOOKUP($C144,$C$304:$I$315,6,FALSE)*$D144</f>
        <v>0</v>
      </c>
      <c r="I144" s="16">
        <f>VLOOKUP($C144,$C$304:$I$315,7,FALSE)*$D144</f>
        <v>0</v>
      </c>
    </row>
    <row r="145" spans="1:9" ht="12.75" hidden="1">
      <c r="A145" s="1" t="s">
        <v>160</v>
      </c>
      <c r="B145" s="4"/>
      <c r="C145" s="37"/>
      <c r="D145" s="13">
        <f aca="true" t="shared" si="45" ref="D145:I145">SUM(D143:D144)</f>
        <v>0</v>
      </c>
      <c r="E145" s="13">
        <f t="shared" si="45"/>
        <v>0</v>
      </c>
      <c r="F145" s="13">
        <f t="shared" si="45"/>
        <v>0</v>
      </c>
      <c r="G145" s="13">
        <f t="shared" si="45"/>
        <v>0</v>
      </c>
      <c r="H145" s="13">
        <f t="shared" si="45"/>
        <v>0</v>
      </c>
      <c r="I145" s="13">
        <f t="shared" si="45"/>
        <v>0</v>
      </c>
    </row>
    <row r="146" spans="1:9" ht="12.75">
      <c r="A146" s="4"/>
      <c r="B146" s="4"/>
      <c r="D146" s="16"/>
      <c r="E146" s="16"/>
      <c r="F146" s="16"/>
      <c r="G146" s="16"/>
      <c r="H146" s="16"/>
      <c r="I146" s="16"/>
    </row>
    <row r="147" spans="1:9" ht="12.75">
      <c r="A147" s="4" t="s">
        <v>17</v>
      </c>
      <c r="B147" s="4"/>
      <c r="D147" s="16">
        <f aca="true" t="shared" si="46" ref="D147:I147">D114+D118+D121+D127+D135+D139+D142+D145</f>
        <v>17707</v>
      </c>
      <c r="E147" s="16">
        <f t="shared" si="46"/>
        <v>9308.871147190557</v>
      </c>
      <c r="F147" s="16">
        <f t="shared" si="46"/>
        <v>1093.3219472643725</v>
      </c>
      <c r="G147" s="16">
        <f t="shared" si="46"/>
        <v>5532.926021996626</v>
      </c>
      <c r="H147" s="16">
        <f t="shared" si="46"/>
        <v>1771.8808835484458</v>
      </c>
      <c r="I147" s="16">
        <f t="shared" si="46"/>
        <v>0</v>
      </c>
    </row>
    <row r="148" spans="1:9" ht="12.75">
      <c r="A148" s="4"/>
      <c r="B148" s="4"/>
      <c r="D148" s="31"/>
      <c r="E148" s="31"/>
      <c r="F148" s="31"/>
      <c r="G148" s="31"/>
      <c r="H148" s="31"/>
      <c r="I148" s="31"/>
    </row>
    <row r="149" spans="1:9" ht="12.75">
      <c r="A149" s="4"/>
      <c r="B149" s="257" t="s">
        <v>21</v>
      </c>
      <c r="C149" s="235"/>
      <c r="D149" s="114">
        <f>SUM(E149:I149)</f>
        <v>1.0000000000000002</v>
      </c>
      <c r="E149" s="115">
        <f>E147/$D147</f>
        <v>0.5257170128870253</v>
      </c>
      <c r="F149" s="115">
        <f>F147/$D147</f>
        <v>0.061745182541614756</v>
      </c>
      <c r="G149" s="115">
        <f>G147/$D147</f>
        <v>0.3124711143613614</v>
      </c>
      <c r="H149" s="115">
        <f>H147/$D147</f>
        <v>0.10006669020999863</v>
      </c>
      <c r="I149" s="116">
        <f>I147/$D147</f>
        <v>0</v>
      </c>
    </row>
    <row r="150" spans="1:9" ht="12.75">
      <c r="A150" s="4"/>
      <c r="B150" s="4"/>
      <c r="D150" s="39"/>
      <c r="E150" s="39"/>
      <c r="F150" s="39"/>
      <c r="G150" s="39"/>
      <c r="H150" s="39"/>
      <c r="I150" s="39"/>
    </row>
    <row r="151" spans="1:9" ht="12.75">
      <c r="A151" s="52" t="s">
        <v>245</v>
      </c>
      <c r="B151" s="4"/>
      <c r="D151" s="30">
        <f aca="true" t="shared" si="47" ref="D151:I151">D33+D36+D39+D43+D48+D63+D73+D76+D79+D84+D90+D97+D105+D110+D147</f>
        <v>748666</v>
      </c>
      <c r="E151" s="30">
        <f t="shared" si="47"/>
        <v>313177.1190091768</v>
      </c>
      <c r="F151" s="30">
        <f t="shared" si="47"/>
        <v>122814.53761210137</v>
      </c>
      <c r="G151" s="30">
        <f t="shared" si="47"/>
        <v>296012.7262218073</v>
      </c>
      <c r="H151" s="30">
        <f t="shared" si="47"/>
        <v>6729.617156914618</v>
      </c>
      <c r="I151" s="30">
        <f t="shared" si="47"/>
        <v>9932</v>
      </c>
    </row>
    <row r="152" spans="1:9" ht="12.75">
      <c r="A152" s="4"/>
      <c r="B152" s="4"/>
      <c r="D152" s="16"/>
      <c r="E152" s="16"/>
      <c r="F152" s="16"/>
      <c r="G152" s="16"/>
      <c r="H152" s="23"/>
      <c r="I152" s="23"/>
    </row>
    <row r="153" spans="1:9" ht="12.75">
      <c r="A153" s="4"/>
      <c r="B153" s="52" t="s">
        <v>246</v>
      </c>
      <c r="D153" s="151">
        <f>SUM(E153:I153)</f>
        <v>1.0000000000000002</v>
      </c>
      <c r="E153" s="35">
        <f>E151/$D151</f>
        <v>0.4183135323484395</v>
      </c>
      <c r="F153" s="35">
        <f>F151/$D151</f>
        <v>0.16404449729532444</v>
      </c>
      <c r="G153" s="35">
        <f>G151/$D151</f>
        <v>0.39538689645557207</v>
      </c>
      <c r="H153" s="35">
        <f>H151/$D151</f>
        <v>0.008988810974339182</v>
      </c>
      <c r="I153" s="35">
        <f>I151/$D151</f>
        <v>0.013266262926324957</v>
      </c>
    </row>
    <row r="154" spans="1:9" ht="12.75">
      <c r="A154" s="4"/>
      <c r="B154" s="52"/>
      <c r="D154" s="151"/>
      <c r="E154" s="35"/>
      <c r="F154" s="35"/>
      <c r="G154" s="35"/>
      <c r="H154" s="35"/>
      <c r="I154" s="35"/>
    </row>
    <row r="155" spans="1:9" ht="12.75">
      <c r="A155" s="4"/>
      <c r="B155" s="4"/>
      <c r="D155" s="16"/>
      <c r="E155" s="16"/>
      <c r="F155" s="16"/>
      <c r="G155" s="16"/>
      <c r="H155" s="23"/>
      <c r="I155" s="23"/>
    </row>
    <row r="156" spans="1:9" ht="12.75">
      <c r="A156" s="4" t="s">
        <v>247</v>
      </c>
      <c r="B156" s="4" t="s">
        <v>184</v>
      </c>
      <c r="C156" s="4" t="s">
        <v>140</v>
      </c>
      <c r="D156" s="238">
        <v>0</v>
      </c>
      <c r="E156" s="16">
        <f>VLOOKUP($C156,$C$304:$I$315,3,FALSE)*$D156</f>
        <v>0</v>
      </c>
      <c r="F156" s="16">
        <f>VLOOKUP($C156,$C$304:$I$315,4,FALSE)*$D156</f>
        <v>0</v>
      </c>
      <c r="G156" s="16">
        <f>VLOOKUP($C156,$C$304:$I$315,5,FALSE)*$D156</f>
        <v>0</v>
      </c>
      <c r="H156" s="23">
        <f>VLOOKUP($C156,$C$304:$I$315,6,FALSE)*$D156</f>
        <v>0</v>
      </c>
      <c r="I156" s="23">
        <f>VLOOKUP($C156,$C$304:$I$315,7,FALSE)*$D156</f>
        <v>0</v>
      </c>
    </row>
    <row r="157" spans="1:9" ht="12.75">
      <c r="A157" s="4" t="s">
        <v>247</v>
      </c>
      <c r="B157" s="4" t="s">
        <v>8</v>
      </c>
      <c r="C157" s="4" t="s">
        <v>140</v>
      </c>
      <c r="D157" s="244">
        <v>0</v>
      </c>
      <c r="E157" s="39">
        <f>VLOOKUP($C157,$C$304:$I$315,3,FALSE)*$D157</f>
        <v>0</v>
      </c>
      <c r="F157" s="39">
        <f>VLOOKUP($C157,$C$304:$I$315,4,FALSE)*$D157</f>
        <v>0</v>
      </c>
      <c r="G157" s="39">
        <f>VLOOKUP($C157,$C$304:$I$315,5,FALSE)*$D157</f>
        <v>0</v>
      </c>
      <c r="H157" s="236">
        <f>VLOOKUP($C157,$C$304:$I$315,6,FALSE)*$D157</f>
        <v>0</v>
      </c>
      <c r="I157" s="236">
        <f>VLOOKUP($C157,$C$304:$I$315,7,FALSE)*$D157</f>
        <v>0</v>
      </c>
    </row>
    <row r="158" spans="1:9" ht="12.75">
      <c r="A158" s="52" t="s">
        <v>320</v>
      </c>
      <c r="B158" s="4"/>
      <c r="D158" s="16">
        <f aca="true" t="shared" si="48" ref="D158:I158">SUM(D156:D157)</f>
        <v>0</v>
      </c>
      <c r="E158" s="16">
        <f t="shared" si="48"/>
        <v>0</v>
      </c>
      <c r="F158" s="16">
        <f t="shared" si="48"/>
        <v>0</v>
      </c>
      <c r="G158" s="16">
        <f t="shared" si="48"/>
        <v>0</v>
      </c>
      <c r="H158" s="16">
        <f t="shared" si="48"/>
        <v>0</v>
      </c>
      <c r="I158" s="16">
        <f t="shared" si="48"/>
        <v>0</v>
      </c>
    </row>
    <row r="159" spans="1:9" ht="12.75">
      <c r="A159" s="4"/>
      <c r="B159" s="4"/>
      <c r="D159" s="16"/>
      <c r="E159" s="16"/>
      <c r="F159" s="16"/>
      <c r="G159" s="16"/>
      <c r="H159" s="23"/>
      <c r="I159" s="23"/>
    </row>
    <row r="160" spans="1:9" ht="12.75">
      <c r="A160" s="4"/>
      <c r="B160" s="257" t="s">
        <v>81</v>
      </c>
      <c r="C160" s="235"/>
      <c r="D160" s="115">
        <f>SUM(E160:F160)</f>
        <v>0</v>
      </c>
      <c r="E160" s="115">
        <f>IF(D158=0,0,E158/$D158)</f>
        <v>0</v>
      </c>
      <c r="F160" s="115">
        <f>IF(E158=0,0,F158/$D158)</f>
        <v>0</v>
      </c>
      <c r="G160" s="115">
        <f>IF(F158=0,0,G158/$D158)</f>
        <v>0</v>
      </c>
      <c r="H160" s="115">
        <f>IF(G158=0,0,H158/$D158)</f>
        <v>0</v>
      </c>
      <c r="I160" s="116">
        <f>IF(H158=0,0,I158/$D158)</f>
        <v>0</v>
      </c>
    </row>
    <row r="161" spans="1:9" ht="12.75">
      <c r="A161" s="4"/>
      <c r="B161" s="4"/>
      <c r="D161" s="16"/>
      <c r="E161" s="16"/>
      <c r="F161" s="16"/>
      <c r="G161" s="16"/>
      <c r="H161" s="23"/>
      <c r="I161" s="23"/>
    </row>
    <row r="162" spans="1:9" ht="12.75">
      <c r="A162" s="4"/>
      <c r="B162" s="4"/>
      <c r="D162" s="16"/>
      <c r="E162" s="16"/>
      <c r="F162" s="16"/>
      <c r="G162" s="16"/>
      <c r="H162" s="23"/>
      <c r="I162" s="23"/>
    </row>
    <row r="163" spans="1:42" ht="13.5" thickBot="1">
      <c r="A163" s="4" t="s">
        <v>248</v>
      </c>
      <c r="B163" s="4"/>
      <c r="D163" s="245">
        <f aca="true" t="shared" si="49" ref="D163:I163">D27+D151+D158</f>
        <v>761137</v>
      </c>
      <c r="E163" s="245">
        <f t="shared" si="49"/>
        <v>318648.2170698852</v>
      </c>
      <c r="F163" s="245">
        <f t="shared" si="49"/>
        <v>123765.3507873607</v>
      </c>
      <c r="G163" s="245">
        <f t="shared" si="49"/>
        <v>300465.05076037825</v>
      </c>
      <c r="H163" s="245">
        <f t="shared" si="49"/>
        <v>8326.381382375861</v>
      </c>
      <c r="I163" s="245">
        <f t="shared" si="49"/>
        <v>9932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9" ht="13.5" thickTop="1">
      <c r="A164" s="4"/>
      <c r="B164" s="4"/>
      <c r="D164" s="32"/>
      <c r="E164" s="32"/>
      <c r="F164" s="32"/>
      <c r="G164" s="32"/>
      <c r="H164" s="238"/>
      <c r="I164" s="238"/>
    </row>
    <row r="165" spans="1:9" ht="12.75">
      <c r="A165" s="4"/>
      <c r="B165" s="257" t="s">
        <v>249</v>
      </c>
      <c r="C165" s="235"/>
      <c r="D165" s="114">
        <f>SUM(E165:I165)</f>
        <v>1</v>
      </c>
      <c r="E165" s="115">
        <f>E163/$D163</f>
        <v>0.4186476509089497</v>
      </c>
      <c r="F165" s="115">
        <f>F163/$D163</f>
        <v>0.16260587881992428</v>
      </c>
      <c r="G165" s="115">
        <f>G163/$D163</f>
        <v>0.39475817199844215</v>
      </c>
      <c r="H165" s="115">
        <f>H163/$D163</f>
        <v>0.01093939906005865</v>
      </c>
      <c r="I165" s="116">
        <f>I163/$D163</f>
        <v>0.013048899212625323</v>
      </c>
    </row>
    <row r="166" spans="1:9" ht="12.75">
      <c r="A166" s="4"/>
      <c r="B166" s="4"/>
      <c r="D166" s="16"/>
      <c r="E166" s="16"/>
      <c r="F166" s="16"/>
      <c r="G166" s="16"/>
      <c r="H166" s="23"/>
      <c r="I166" s="23"/>
    </row>
    <row r="167" spans="1:9" s="4" customFormat="1" ht="12.75">
      <c r="A167" s="29" t="s">
        <v>365</v>
      </c>
      <c r="B167" s="29"/>
      <c r="C167" s="29"/>
      <c r="D167" s="29"/>
      <c r="E167" s="246"/>
      <c r="F167" s="246"/>
      <c r="G167" s="246"/>
      <c r="H167" s="246"/>
      <c r="I167" s="246"/>
    </row>
    <row r="168" spans="1:9" ht="12.75">
      <c r="A168" s="4"/>
      <c r="B168" s="4"/>
      <c r="E168" s="16"/>
      <c r="F168" s="16"/>
      <c r="G168" s="16"/>
      <c r="H168" s="23"/>
      <c r="I168" s="23"/>
    </row>
    <row r="169" spans="1:9" ht="12.75">
      <c r="A169" s="1" t="s">
        <v>250</v>
      </c>
      <c r="B169" s="1" t="s">
        <v>163</v>
      </c>
      <c r="C169" s="1" t="s">
        <v>181</v>
      </c>
      <c r="D169" s="32">
        <v>623</v>
      </c>
      <c r="E169" s="16">
        <f>VLOOKUP($C169,$C$304:$I$315,3,FALSE)*$D169</f>
        <v>269.5494423994694</v>
      </c>
      <c r="F169" s="16">
        <f>VLOOKUP($C169,$C$304:$I$315,4,FALSE)*$D169</f>
        <v>36.78742432598691</v>
      </c>
      <c r="G169" s="16">
        <f>VLOOKUP($C169,$C$304:$I$315,5,FALSE)*$D169</f>
        <v>225.1382356333297</v>
      </c>
      <c r="H169" s="16">
        <f>VLOOKUP($C169,$C$304:$I$315,6,FALSE)*$D169</f>
        <v>91.52489764121398</v>
      </c>
      <c r="I169" s="16">
        <f>VLOOKUP($C169,$C$304:$I$315,7,FALSE)*$D169</f>
        <v>0</v>
      </c>
    </row>
    <row r="170" spans="1:9" ht="12.75">
      <c r="A170" s="1" t="s">
        <v>250</v>
      </c>
      <c r="B170" s="1" t="s">
        <v>163</v>
      </c>
      <c r="C170" s="1" t="s">
        <v>140</v>
      </c>
      <c r="D170" s="12">
        <v>3772</v>
      </c>
      <c r="E170" s="16">
        <f>VLOOKUP($C170,$C$304:$I$315,3,FALSE)*$D170</f>
        <v>3772</v>
      </c>
      <c r="F170" s="16">
        <f>VLOOKUP($C170,$C$304:$I$315,4,FALSE)*$D170</f>
        <v>0</v>
      </c>
      <c r="G170" s="16">
        <f>VLOOKUP($C170,$C$304:$I$315,5,FALSE)*$D170</f>
        <v>0</v>
      </c>
      <c r="H170" s="16">
        <f>VLOOKUP($C170,$C$304:$I$315,6,FALSE)*$D170</f>
        <v>0</v>
      </c>
      <c r="I170" s="16">
        <f>VLOOKUP($C170,$C$304:$I$315,7,FALSE)*$D170</f>
        <v>0</v>
      </c>
    </row>
    <row r="171" spans="1:9" ht="12.75">
      <c r="A171" s="1" t="s">
        <v>250</v>
      </c>
      <c r="B171" s="1" t="s">
        <v>163</v>
      </c>
      <c r="C171" s="1" t="s">
        <v>140</v>
      </c>
      <c r="D171" s="12">
        <v>0</v>
      </c>
      <c r="E171" s="16">
        <f>VLOOKUP($C171,$C$304:$I$315,3,FALSE)*$D171</f>
        <v>0</v>
      </c>
      <c r="F171" s="16">
        <f>VLOOKUP($C171,$C$304:$I$315,4,FALSE)*$D171</f>
        <v>0</v>
      </c>
      <c r="G171" s="16">
        <f>VLOOKUP($C171,$C$304:$I$315,5,FALSE)*$D171</f>
        <v>0</v>
      </c>
      <c r="H171" s="16">
        <f>VLOOKUP($C171,$C$304:$I$315,6,FALSE)*$D171</f>
        <v>0</v>
      </c>
      <c r="I171" s="16">
        <f>VLOOKUP($C171,$C$304:$I$315,7,FALSE)*$D171</f>
        <v>0</v>
      </c>
    </row>
    <row r="172" spans="1:9" ht="12.75">
      <c r="A172" s="1" t="s">
        <v>163</v>
      </c>
      <c r="B172" s="4"/>
      <c r="D172" s="13">
        <f aca="true" t="shared" si="50" ref="D172:I172">SUM(D169:D171)</f>
        <v>4395</v>
      </c>
      <c r="E172" s="21">
        <f t="shared" si="50"/>
        <v>4041.5494423994696</v>
      </c>
      <c r="F172" s="21">
        <f t="shared" si="50"/>
        <v>36.78742432598691</v>
      </c>
      <c r="G172" s="21">
        <f t="shared" si="50"/>
        <v>225.1382356333297</v>
      </c>
      <c r="H172" s="21">
        <f t="shared" si="50"/>
        <v>91.52489764121398</v>
      </c>
      <c r="I172" s="21">
        <f t="shared" si="50"/>
        <v>0</v>
      </c>
    </row>
    <row r="173" spans="1:9" ht="12.75">
      <c r="A173" s="1"/>
      <c r="B173" s="4"/>
      <c r="D173" s="13"/>
      <c r="E173" s="16"/>
      <c r="F173" s="16"/>
      <c r="G173" s="16"/>
      <c r="H173" s="16"/>
      <c r="I173" s="16"/>
    </row>
    <row r="174" spans="1:9" ht="12.75">
      <c r="A174" s="1" t="s">
        <v>250</v>
      </c>
      <c r="B174" s="1" t="s">
        <v>165</v>
      </c>
      <c r="C174" s="1" t="s">
        <v>140</v>
      </c>
      <c r="D174" s="233">
        <v>10900</v>
      </c>
      <c r="E174" s="16">
        <f>VLOOKUP($C174,$C$304:$I$315,3,FALSE)*$D174</f>
        <v>10900</v>
      </c>
      <c r="F174" s="16">
        <f>VLOOKUP($C174,$C$304:$I$315,4,FALSE)*$D174</f>
        <v>0</v>
      </c>
      <c r="G174" s="16">
        <f>VLOOKUP($C174,$C$304:$I$315,5,FALSE)*$D174</f>
        <v>0</v>
      </c>
      <c r="H174" s="16">
        <f>VLOOKUP($C174,$C$304:$I$315,6,FALSE)*$D174</f>
        <v>0</v>
      </c>
      <c r="I174" s="16">
        <f>VLOOKUP($C174,$C$304:$I$315,7,FALSE)*$D174</f>
        <v>0</v>
      </c>
    </row>
    <row r="175" spans="1:9" ht="12.75">
      <c r="A175" s="1" t="s">
        <v>165</v>
      </c>
      <c r="B175" s="4"/>
      <c r="D175" s="13">
        <f aca="true" t="shared" si="51" ref="D175:I175">SUM(D174:D174)</f>
        <v>10900</v>
      </c>
      <c r="E175" s="21">
        <f t="shared" si="51"/>
        <v>10900</v>
      </c>
      <c r="F175" s="21">
        <f t="shared" si="51"/>
        <v>0</v>
      </c>
      <c r="G175" s="21">
        <f t="shared" si="51"/>
        <v>0</v>
      </c>
      <c r="H175" s="21">
        <f t="shared" si="51"/>
        <v>0</v>
      </c>
      <c r="I175" s="21">
        <f t="shared" si="51"/>
        <v>0</v>
      </c>
    </row>
    <row r="176" spans="1:9" ht="12.75">
      <c r="A176" s="1"/>
      <c r="B176" s="4"/>
      <c r="D176" s="13"/>
      <c r="E176" s="16"/>
      <c r="F176" s="16"/>
      <c r="G176" s="16"/>
      <c r="H176" s="16"/>
      <c r="I176" s="16"/>
    </row>
    <row r="177" spans="1:9" ht="12.75">
      <c r="A177" s="1" t="s">
        <v>250</v>
      </c>
      <c r="B177" s="1" t="s">
        <v>9</v>
      </c>
      <c r="C177" s="1" t="s">
        <v>170</v>
      </c>
      <c r="D177" s="233">
        <v>381</v>
      </c>
      <c r="E177" s="16">
        <f>VLOOKUP($C177,$C$304:$I$315,3,FALSE)*$D177</f>
        <v>177.55846008430092</v>
      </c>
      <c r="F177" s="16">
        <f>VLOOKUP($C177,$C$304:$I$315,4,FALSE)*$D177</f>
        <v>75.4217411199819</v>
      </c>
      <c r="G177" s="16">
        <f>VLOOKUP($C177,$C$304:$I$315,5,FALSE)*$D177</f>
        <v>128.01979879571718</v>
      </c>
      <c r="H177" s="16">
        <f>VLOOKUP($C177,$C$304:$I$315,6,FALSE)*$D177</f>
        <v>0</v>
      </c>
      <c r="I177" s="16">
        <f>VLOOKUP($C177,$C$304:$I$315,7,FALSE)*$D177</f>
        <v>0</v>
      </c>
    </row>
    <row r="178" spans="1:9" ht="12.75">
      <c r="A178" s="1" t="s">
        <v>9</v>
      </c>
      <c r="B178" s="4"/>
      <c r="D178" s="13">
        <f aca="true" t="shared" si="52" ref="D178:I178">SUM(D177:D177)</f>
        <v>381</v>
      </c>
      <c r="E178" s="13">
        <f t="shared" si="52"/>
        <v>177.55846008430092</v>
      </c>
      <c r="F178" s="13">
        <f t="shared" si="52"/>
        <v>75.4217411199819</v>
      </c>
      <c r="G178" s="13">
        <f t="shared" si="52"/>
        <v>128.01979879571718</v>
      </c>
      <c r="H178" s="13">
        <f t="shared" si="52"/>
        <v>0</v>
      </c>
      <c r="I178" s="13">
        <f t="shared" si="52"/>
        <v>0</v>
      </c>
    </row>
    <row r="179" spans="1:9" ht="12.75">
      <c r="A179" s="1"/>
      <c r="B179" s="4"/>
      <c r="D179" s="22"/>
      <c r="E179" s="22"/>
      <c r="F179" s="22"/>
      <c r="G179" s="22"/>
      <c r="H179" s="22"/>
      <c r="I179" s="22"/>
    </row>
    <row r="180" spans="1:9" ht="12.75">
      <c r="A180" s="1" t="s">
        <v>250</v>
      </c>
      <c r="B180" s="1" t="s">
        <v>167</v>
      </c>
      <c r="C180" s="1" t="s">
        <v>181</v>
      </c>
      <c r="D180" s="32">
        <v>25050</v>
      </c>
      <c r="E180" s="16">
        <f>VLOOKUP($C180,$C$304:$I$315,3,FALSE)*$D180</f>
        <v>10838.223968068552</v>
      </c>
      <c r="F180" s="16">
        <f>VLOOKUP($C180,$C$304:$I$315,4,FALSE)*$D180</f>
        <v>1479.1733216147227</v>
      </c>
      <c r="G180" s="16">
        <f>VLOOKUP($C180,$C$304:$I$315,5,FALSE)*$D180</f>
        <v>9052.508511420401</v>
      </c>
      <c r="H180" s="16">
        <f>VLOOKUP($C180,$C$304:$I$315,6,FALSE)*$D180</f>
        <v>3680.0941988963245</v>
      </c>
      <c r="I180" s="16">
        <f>VLOOKUP($C180,$C$304:$I$315,7,FALSE)*$D180</f>
        <v>0</v>
      </c>
    </row>
    <row r="181" spans="1:9" ht="12.75">
      <c r="A181" s="1" t="s">
        <v>250</v>
      </c>
      <c r="B181" s="1" t="s">
        <v>167</v>
      </c>
      <c r="C181" s="1" t="s">
        <v>170</v>
      </c>
      <c r="D181" s="11">
        <v>1</v>
      </c>
      <c r="E181" s="16">
        <f>VLOOKUP($C181,$C$304:$I$315,3,FALSE)*$D181</f>
        <v>0.46603270363333577</v>
      </c>
      <c r="F181" s="16">
        <f>VLOOKUP($C181,$C$304:$I$315,4,FALSE)*$D181</f>
        <v>0.1979573257742307</v>
      </c>
      <c r="G181" s="16">
        <f>VLOOKUP($C181,$C$304:$I$315,5,FALSE)*$D181</f>
        <v>0.33600997059243354</v>
      </c>
      <c r="H181" s="16">
        <f>VLOOKUP($C181,$C$304:$I$315,6,FALSE)*$D181</f>
        <v>0</v>
      </c>
      <c r="I181" s="16">
        <f>VLOOKUP($C181,$C$304:$I$315,7,FALSE)*$D181</f>
        <v>0</v>
      </c>
    </row>
    <row r="182" spans="1:9" ht="12.75">
      <c r="A182" s="1" t="s">
        <v>250</v>
      </c>
      <c r="B182" s="1" t="s">
        <v>167</v>
      </c>
      <c r="C182" s="1" t="s">
        <v>181</v>
      </c>
      <c r="D182" s="12">
        <v>0</v>
      </c>
      <c r="E182" s="16">
        <f>VLOOKUP($C182,$C$304:$I$315,3,FALSE)*$D182</f>
        <v>0</v>
      </c>
      <c r="F182" s="16">
        <f>VLOOKUP($C182,$C$304:$I$315,4,FALSE)*$D182</f>
        <v>0</v>
      </c>
      <c r="G182" s="16">
        <f>VLOOKUP($C182,$C$304:$I$315,5,FALSE)*$D182</f>
        <v>0</v>
      </c>
      <c r="H182" s="16">
        <f>VLOOKUP($C182,$C$304:$I$315,6,FALSE)*$D182</f>
        <v>0</v>
      </c>
      <c r="I182" s="16">
        <f>VLOOKUP($C182,$C$304:$I$315,7,FALSE)*$D182</f>
        <v>0</v>
      </c>
    </row>
    <row r="183" spans="1:9" ht="12.75">
      <c r="A183" s="1" t="s">
        <v>167</v>
      </c>
      <c r="B183" s="4"/>
      <c r="D183" s="13">
        <f aca="true" t="shared" si="53" ref="D183:I183">SUM(D180:D182)</f>
        <v>25051</v>
      </c>
      <c r="E183" s="13">
        <f t="shared" si="53"/>
        <v>10838.690000772185</v>
      </c>
      <c r="F183" s="13">
        <f t="shared" si="53"/>
        <v>1479.371278940497</v>
      </c>
      <c r="G183" s="13">
        <f t="shared" si="53"/>
        <v>9052.844521390994</v>
      </c>
      <c r="H183" s="13">
        <f t="shared" si="53"/>
        <v>3680.0941988963245</v>
      </c>
      <c r="I183" s="13">
        <f t="shared" si="53"/>
        <v>0</v>
      </c>
    </row>
    <row r="184" spans="1:9" ht="12.75">
      <c r="A184" s="1"/>
      <c r="B184" s="4"/>
      <c r="D184" s="22"/>
      <c r="E184" s="22"/>
      <c r="F184" s="22"/>
      <c r="G184" s="22"/>
      <c r="H184" s="22"/>
      <c r="I184" s="22"/>
    </row>
    <row r="185" spans="1:9" ht="12.75">
      <c r="A185" s="4"/>
      <c r="B185" s="257" t="s">
        <v>22</v>
      </c>
      <c r="C185" s="235"/>
      <c r="D185" s="114">
        <f>SUM(E185:I185)</f>
        <v>1</v>
      </c>
      <c r="E185" s="115">
        <f>E183/$D183</f>
        <v>0.4326649635053365</v>
      </c>
      <c r="F185" s="115">
        <f>F183/$D183</f>
        <v>0.059054380221967066</v>
      </c>
      <c r="G185" s="115">
        <f>G183/$D183</f>
        <v>0.361376572647439</v>
      </c>
      <c r="H185" s="115">
        <f>H183/$D183</f>
        <v>0.14690408362525745</v>
      </c>
      <c r="I185" s="116">
        <f>I183/$D183</f>
        <v>0</v>
      </c>
    </row>
    <row r="186" spans="1:9" ht="12.75">
      <c r="A186" s="4"/>
      <c r="B186" s="4"/>
      <c r="D186" s="39"/>
      <c r="E186" s="39"/>
      <c r="F186" s="39"/>
      <c r="G186" s="39"/>
      <c r="H186" s="236"/>
      <c r="I186" s="236"/>
    </row>
    <row r="187" spans="1:9" ht="12.75">
      <c r="A187" s="52" t="s">
        <v>251</v>
      </c>
      <c r="B187" s="4"/>
      <c r="D187" s="30">
        <f aca="true" t="shared" si="54" ref="D187:I187">D172+D175+D178+D183</f>
        <v>40727</v>
      </c>
      <c r="E187" s="30">
        <f t="shared" si="54"/>
        <v>25957.797903255956</v>
      </c>
      <c r="F187" s="30">
        <f t="shared" si="54"/>
        <v>1591.5804443864658</v>
      </c>
      <c r="G187" s="30">
        <f t="shared" si="54"/>
        <v>9406.002555820041</v>
      </c>
      <c r="H187" s="30">
        <f t="shared" si="54"/>
        <v>3771.6190965375386</v>
      </c>
      <c r="I187" s="30">
        <f t="shared" si="54"/>
        <v>0</v>
      </c>
    </row>
    <row r="188" spans="1:9" ht="12.75">
      <c r="A188" s="4"/>
      <c r="B188" s="4"/>
      <c r="D188" s="16"/>
      <c r="E188" s="16"/>
      <c r="F188" s="16"/>
      <c r="G188" s="16"/>
      <c r="H188" s="23"/>
      <c r="I188" s="23"/>
    </row>
    <row r="189" spans="1:9" ht="12.75">
      <c r="A189" s="4"/>
      <c r="B189" s="257" t="s">
        <v>252</v>
      </c>
      <c r="C189" s="235"/>
      <c r="D189" s="114">
        <f>SUM(E189:I189)</f>
        <v>1</v>
      </c>
      <c r="E189" s="115">
        <f>E187/$D187</f>
        <v>0.6373609129878448</v>
      </c>
      <c r="F189" s="115">
        <f>F187/$D187</f>
        <v>0.039079245816938786</v>
      </c>
      <c r="G189" s="115">
        <f>G187/$D187</f>
        <v>0.23095250216858695</v>
      </c>
      <c r="H189" s="115">
        <f>H187/$D187</f>
        <v>0.09260733902662947</v>
      </c>
      <c r="I189" s="116">
        <f>I187/$D187</f>
        <v>0</v>
      </c>
    </row>
    <row r="190" spans="1:9" ht="12.75">
      <c r="A190" s="4"/>
      <c r="B190" s="4"/>
      <c r="D190" s="16"/>
      <c r="E190" s="16"/>
      <c r="F190" s="16"/>
      <c r="G190" s="16"/>
      <c r="H190" s="23"/>
      <c r="I190" s="23"/>
    </row>
    <row r="191" spans="1:9" ht="12.75">
      <c r="A191" s="1" t="s">
        <v>253</v>
      </c>
      <c r="B191" s="1" t="s">
        <v>11</v>
      </c>
      <c r="C191" s="1" t="s">
        <v>142</v>
      </c>
      <c r="D191" s="240">
        <v>4973</v>
      </c>
      <c r="E191" s="16">
        <f>VLOOKUP($C191,$C$304:$I$315,3,FALSE)*$D191</f>
        <v>0</v>
      </c>
      <c r="F191" s="16">
        <f>VLOOKUP($C191,$C$304:$I$315,4,FALSE)*$D191</f>
        <v>0</v>
      </c>
      <c r="G191" s="16">
        <f>VLOOKUP($C191,$C$304:$I$315,5,FALSE)*$D191</f>
        <v>4973</v>
      </c>
      <c r="H191" s="23">
        <f>VLOOKUP($C191,$C$304:$I$315,6,FALSE)*$D191</f>
        <v>0</v>
      </c>
      <c r="I191" s="23">
        <f>VLOOKUP($C191,$C$304:$I$315,7,FALSE)*$D191</f>
        <v>0</v>
      </c>
    </row>
    <row r="192" spans="1:9" ht="12.75">
      <c r="A192" s="1" t="s">
        <v>11</v>
      </c>
      <c r="B192" s="4"/>
      <c r="D192" s="13">
        <f aca="true" t="shared" si="55" ref="D192:I192">SUM(D191:D191)</f>
        <v>4973</v>
      </c>
      <c r="E192" s="13">
        <f t="shared" si="55"/>
        <v>0</v>
      </c>
      <c r="F192" s="13">
        <f t="shared" si="55"/>
        <v>0</v>
      </c>
      <c r="G192" s="13">
        <f t="shared" si="55"/>
        <v>4973</v>
      </c>
      <c r="H192" s="13">
        <f t="shared" si="55"/>
        <v>0</v>
      </c>
      <c r="I192" s="13">
        <f t="shared" si="55"/>
        <v>0</v>
      </c>
    </row>
    <row r="193" spans="1:9" ht="12.75">
      <c r="A193" s="4"/>
      <c r="B193" s="4"/>
      <c r="D193" s="31"/>
      <c r="E193" s="31"/>
      <c r="F193" s="31"/>
      <c r="G193" s="31"/>
      <c r="H193" s="31"/>
      <c r="I193" s="31"/>
    </row>
    <row r="194" spans="1:9" ht="12.75">
      <c r="A194" s="1" t="s">
        <v>253</v>
      </c>
      <c r="B194" s="1" t="s">
        <v>184</v>
      </c>
      <c r="C194" s="1" t="s">
        <v>140</v>
      </c>
      <c r="D194" s="247">
        <v>6</v>
      </c>
      <c r="E194" s="31">
        <f>VLOOKUP($C194,$C$304:$I$315,3,FALSE)*$D194</f>
        <v>6</v>
      </c>
      <c r="F194" s="31">
        <f>VLOOKUP($C194,$C$304:$I$315,4,FALSE)*$D194</f>
        <v>0</v>
      </c>
      <c r="G194" s="31">
        <f>VLOOKUP($C194,$C$304:$I$315,5,FALSE)*$D194</f>
        <v>0</v>
      </c>
      <c r="H194" s="31">
        <f>VLOOKUP($C194,$C$304:$I$315,6,FALSE)*$D194</f>
        <v>0</v>
      </c>
      <c r="I194" s="31">
        <f>VLOOKUP($C194,$C$304:$I$315,7,FALSE)*$D194</f>
        <v>0</v>
      </c>
    </row>
    <row r="195" spans="1:9" ht="12.75">
      <c r="A195" s="1" t="s">
        <v>184</v>
      </c>
      <c r="B195" s="4"/>
      <c r="D195" s="9">
        <f aca="true" t="shared" si="56" ref="D195:I195">SUM(D194:D194)</f>
        <v>6</v>
      </c>
      <c r="E195" s="22">
        <f t="shared" si="56"/>
        <v>6</v>
      </c>
      <c r="F195" s="22">
        <f t="shared" si="56"/>
        <v>0</v>
      </c>
      <c r="G195" s="22">
        <f t="shared" si="56"/>
        <v>0</v>
      </c>
      <c r="H195" s="22">
        <f t="shared" si="56"/>
        <v>0</v>
      </c>
      <c r="I195" s="22">
        <f t="shared" si="56"/>
        <v>0</v>
      </c>
    </row>
    <row r="196" spans="1:9" ht="12.75">
      <c r="A196" s="1"/>
      <c r="B196" s="4"/>
      <c r="D196" s="9"/>
      <c r="E196" s="31"/>
      <c r="F196" s="31"/>
      <c r="G196" s="31"/>
      <c r="H196" s="31"/>
      <c r="I196" s="31"/>
    </row>
    <row r="197" spans="1:9" ht="12.75">
      <c r="A197" s="1" t="s">
        <v>253</v>
      </c>
      <c r="B197" s="1" t="s">
        <v>12</v>
      </c>
      <c r="C197" s="1" t="s">
        <v>194</v>
      </c>
      <c r="D197" s="32">
        <v>0</v>
      </c>
      <c r="E197" s="16">
        <f>VLOOKUP($C197,$C$304:$I$315,3,FALSE)*$D197</f>
        <v>0</v>
      </c>
      <c r="F197" s="16">
        <f>VLOOKUP($C197,$C$304:$I$315,4,FALSE)*$D197</f>
        <v>0</v>
      </c>
      <c r="G197" s="16">
        <f>VLOOKUP($C197,$C$304:$I$315,5,FALSE)*$D197</f>
        <v>0</v>
      </c>
      <c r="H197" s="16">
        <f>VLOOKUP($C197,$C$304:$I$315,6,FALSE)*$D197</f>
        <v>0</v>
      </c>
      <c r="I197" s="16">
        <f>VLOOKUP($C197,$C$304:$I$315,7,FALSE)*$D197</f>
        <v>0</v>
      </c>
    </row>
    <row r="198" spans="1:9" ht="12.75">
      <c r="A198" s="1" t="s">
        <v>253</v>
      </c>
      <c r="B198" s="1" t="s">
        <v>12</v>
      </c>
      <c r="C198" s="1" t="s">
        <v>194</v>
      </c>
      <c r="D198" s="11">
        <v>0</v>
      </c>
      <c r="E198" s="16">
        <f>VLOOKUP($C198,$C$304:$I$315,3,FALSE)*$D198</f>
        <v>0</v>
      </c>
      <c r="F198" s="16">
        <f>VLOOKUP($C198,$C$304:$I$315,4,FALSE)*$D198</f>
        <v>0</v>
      </c>
      <c r="G198" s="16">
        <f>VLOOKUP($C198,$C$304:$I$315,5,FALSE)*$D198</f>
        <v>0</v>
      </c>
      <c r="H198" s="16">
        <f>VLOOKUP($C198,$C$304:$I$315,6,FALSE)*$D198</f>
        <v>0</v>
      </c>
      <c r="I198" s="16">
        <f>VLOOKUP($C198,$C$304:$I$315,7,FALSE)*$D198</f>
        <v>0</v>
      </c>
    </row>
    <row r="199" spans="1:9" ht="12.75">
      <c r="A199" s="1" t="s">
        <v>253</v>
      </c>
      <c r="B199" s="1" t="s">
        <v>12</v>
      </c>
      <c r="C199" s="1" t="s">
        <v>170</v>
      </c>
      <c r="D199" s="233">
        <v>66941</v>
      </c>
      <c r="E199" s="16">
        <f>VLOOKUP($C199,$C$304:$I$315,3,FALSE)*$D199</f>
        <v>31196.69521391913</v>
      </c>
      <c r="F199" s="16">
        <f>VLOOKUP($C199,$C$304:$I$315,4,FALSE)*$D199</f>
        <v>13251.461344652776</v>
      </c>
      <c r="G199" s="16">
        <f>VLOOKUP($C199,$C$304:$I$315,5,FALSE)*$D199</f>
        <v>22492.843441428093</v>
      </c>
      <c r="H199" s="16">
        <f>VLOOKUP($C199,$C$304:$I$315,6,FALSE)*$D199</f>
        <v>0</v>
      </c>
      <c r="I199" s="16">
        <f>VLOOKUP($C199,$C$304:$I$315,7,FALSE)*$D199</f>
        <v>0</v>
      </c>
    </row>
    <row r="200" spans="1:9" ht="12.75">
      <c r="A200" s="1" t="s">
        <v>12</v>
      </c>
      <c r="B200" s="4"/>
      <c r="D200" s="13">
        <f aca="true" t="shared" si="57" ref="D200:I200">SUM(D197:D199)</f>
        <v>66941</v>
      </c>
      <c r="E200" s="13">
        <f t="shared" si="57"/>
        <v>31196.69521391913</v>
      </c>
      <c r="F200" s="13">
        <f t="shared" si="57"/>
        <v>13251.461344652776</v>
      </c>
      <c r="G200" s="13">
        <f t="shared" si="57"/>
        <v>22492.843441428093</v>
      </c>
      <c r="H200" s="13">
        <f t="shared" si="57"/>
        <v>0</v>
      </c>
      <c r="I200" s="13">
        <f t="shared" si="57"/>
        <v>0</v>
      </c>
    </row>
    <row r="201" spans="1:9" ht="12.75">
      <c r="A201" s="1"/>
      <c r="B201" s="4"/>
      <c r="D201" s="22"/>
      <c r="E201" s="22"/>
      <c r="F201" s="22"/>
      <c r="G201" s="22"/>
      <c r="H201" s="22"/>
      <c r="I201" s="22"/>
    </row>
    <row r="202" spans="1:9" ht="12.75">
      <c r="A202" s="1"/>
      <c r="B202" s="257" t="s">
        <v>23</v>
      </c>
      <c r="C202" s="235"/>
      <c r="D202" s="114">
        <f>SUM(E202:I202)</f>
        <v>1</v>
      </c>
      <c r="E202" s="115">
        <f>E200/$D200</f>
        <v>0.46603270363333577</v>
      </c>
      <c r="F202" s="115">
        <f>F200/$D200</f>
        <v>0.1979573257742307</v>
      </c>
      <c r="G202" s="115">
        <f>G200/$D200</f>
        <v>0.33600997059243354</v>
      </c>
      <c r="H202" s="115">
        <f>H200/$D200</f>
        <v>0</v>
      </c>
      <c r="I202" s="116">
        <f>I200/$D200</f>
        <v>0</v>
      </c>
    </row>
    <row r="203" spans="1:9" ht="12.75">
      <c r="A203" s="1"/>
      <c r="B203" s="4"/>
      <c r="D203" s="8"/>
      <c r="E203" s="8"/>
      <c r="F203" s="8"/>
      <c r="G203" s="8"/>
      <c r="H203" s="8"/>
      <c r="I203" s="8"/>
    </row>
    <row r="204" spans="1:9" ht="12.75">
      <c r="A204" s="1" t="s">
        <v>253</v>
      </c>
      <c r="B204" s="1" t="s">
        <v>163</v>
      </c>
      <c r="C204" s="1" t="s">
        <v>140</v>
      </c>
      <c r="D204" s="238">
        <v>22947</v>
      </c>
      <c r="E204" s="16">
        <f aca="true" t="shared" si="58" ref="E204:E211">VLOOKUP($C204,$C$304:$I$315,3,FALSE)*$D204</f>
        <v>22947</v>
      </c>
      <c r="F204" s="16">
        <f aca="true" t="shared" si="59" ref="F204:F211">VLOOKUP($C204,$C$304:$I$315,4,FALSE)*$D204</f>
        <v>0</v>
      </c>
      <c r="G204" s="16">
        <f aca="true" t="shared" si="60" ref="G204:G211">VLOOKUP($C204,$C$304:$I$315,5,FALSE)*$D204</f>
        <v>0</v>
      </c>
      <c r="H204" s="23">
        <f aca="true" t="shared" si="61" ref="H204:H211">VLOOKUP($C204,$C$304:$I$315,6,FALSE)*$D204</f>
        <v>0</v>
      </c>
      <c r="I204" s="23">
        <f aca="true" t="shared" si="62" ref="I204:I211">VLOOKUP($C204,$C$304:$I$315,7,FALSE)*$D204</f>
        <v>0</v>
      </c>
    </row>
    <row r="205" spans="1:9" ht="12.75" hidden="1">
      <c r="A205" s="1" t="s">
        <v>253</v>
      </c>
      <c r="B205" s="1" t="s">
        <v>163</v>
      </c>
      <c r="C205" s="1" t="s">
        <v>140</v>
      </c>
      <c r="D205" s="12">
        <v>0</v>
      </c>
      <c r="E205" s="16">
        <f t="shared" si="58"/>
        <v>0</v>
      </c>
      <c r="F205" s="16">
        <f t="shared" si="59"/>
        <v>0</v>
      </c>
      <c r="G205" s="16">
        <f t="shared" si="60"/>
        <v>0</v>
      </c>
      <c r="H205" s="23">
        <f t="shared" si="61"/>
        <v>0</v>
      </c>
      <c r="I205" s="23">
        <f t="shared" si="62"/>
        <v>0</v>
      </c>
    </row>
    <row r="206" spans="1:9" ht="12.75" hidden="1">
      <c r="A206" s="1" t="s">
        <v>253</v>
      </c>
      <c r="B206" s="1" t="s">
        <v>163</v>
      </c>
      <c r="C206" s="1" t="s">
        <v>140</v>
      </c>
      <c r="D206" s="12">
        <v>0</v>
      </c>
      <c r="E206" s="16">
        <f t="shared" si="58"/>
        <v>0</v>
      </c>
      <c r="F206" s="16">
        <f t="shared" si="59"/>
        <v>0</v>
      </c>
      <c r="G206" s="16">
        <f t="shared" si="60"/>
        <v>0</v>
      </c>
      <c r="H206" s="23">
        <f t="shared" si="61"/>
        <v>0</v>
      </c>
      <c r="I206" s="23">
        <f t="shared" si="62"/>
        <v>0</v>
      </c>
    </row>
    <row r="207" spans="1:9" ht="12.75" hidden="1">
      <c r="A207" s="1" t="s">
        <v>253</v>
      </c>
      <c r="B207" s="1" t="s">
        <v>163</v>
      </c>
      <c r="C207" s="1" t="s">
        <v>140</v>
      </c>
      <c r="D207" s="12">
        <v>0</v>
      </c>
      <c r="E207" s="16">
        <f t="shared" si="58"/>
        <v>0</v>
      </c>
      <c r="F207" s="16">
        <f t="shared" si="59"/>
        <v>0</v>
      </c>
      <c r="G207" s="16">
        <f t="shared" si="60"/>
        <v>0</v>
      </c>
      <c r="H207" s="23">
        <f t="shared" si="61"/>
        <v>0</v>
      </c>
      <c r="I207" s="23">
        <f t="shared" si="62"/>
        <v>0</v>
      </c>
    </row>
    <row r="208" spans="1:9" ht="12.75" hidden="1">
      <c r="A208" s="1" t="s">
        <v>253</v>
      </c>
      <c r="B208" s="1" t="s">
        <v>163</v>
      </c>
      <c r="C208" s="1" t="s">
        <v>140</v>
      </c>
      <c r="D208" s="12">
        <v>0</v>
      </c>
      <c r="E208" s="16">
        <f t="shared" si="58"/>
        <v>0</v>
      </c>
      <c r="F208" s="16">
        <f t="shared" si="59"/>
        <v>0</v>
      </c>
      <c r="G208" s="16">
        <f t="shared" si="60"/>
        <v>0</v>
      </c>
      <c r="H208" s="23">
        <f t="shared" si="61"/>
        <v>0</v>
      </c>
      <c r="I208" s="23">
        <f t="shared" si="62"/>
        <v>0</v>
      </c>
    </row>
    <row r="209" spans="1:9" ht="12.75" hidden="1">
      <c r="A209" s="1" t="s">
        <v>253</v>
      </c>
      <c r="B209" s="1" t="s">
        <v>163</v>
      </c>
      <c r="C209" s="1" t="s">
        <v>140</v>
      </c>
      <c r="D209" s="12">
        <v>0</v>
      </c>
      <c r="E209" s="16">
        <f t="shared" si="58"/>
        <v>0</v>
      </c>
      <c r="F209" s="16">
        <f t="shared" si="59"/>
        <v>0</v>
      </c>
      <c r="G209" s="16">
        <f t="shared" si="60"/>
        <v>0</v>
      </c>
      <c r="H209" s="23">
        <f t="shared" si="61"/>
        <v>0</v>
      </c>
      <c r="I209" s="23">
        <f t="shared" si="62"/>
        <v>0</v>
      </c>
    </row>
    <row r="210" spans="1:9" ht="12.75" hidden="1">
      <c r="A210" s="1" t="s">
        <v>253</v>
      </c>
      <c r="B210" s="1" t="s">
        <v>163</v>
      </c>
      <c r="C210" s="1" t="s">
        <v>140</v>
      </c>
      <c r="D210" s="12">
        <v>0</v>
      </c>
      <c r="E210" s="16">
        <f t="shared" si="58"/>
        <v>0</v>
      </c>
      <c r="F210" s="16">
        <f t="shared" si="59"/>
        <v>0</v>
      </c>
      <c r="G210" s="16">
        <f t="shared" si="60"/>
        <v>0</v>
      </c>
      <c r="H210" s="23">
        <f t="shared" si="61"/>
        <v>0</v>
      </c>
      <c r="I210" s="23">
        <f t="shared" si="62"/>
        <v>0</v>
      </c>
    </row>
    <row r="211" spans="1:9" ht="12.75">
      <c r="A211" s="1" t="s">
        <v>253</v>
      </c>
      <c r="B211" s="1" t="s">
        <v>163</v>
      </c>
      <c r="C211" s="1" t="s">
        <v>194</v>
      </c>
      <c r="D211" s="12">
        <v>0</v>
      </c>
      <c r="E211" s="16">
        <f t="shared" si="58"/>
        <v>0</v>
      </c>
      <c r="F211" s="16">
        <f t="shared" si="59"/>
        <v>0</v>
      </c>
      <c r="G211" s="16">
        <f t="shared" si="60"/>
        <v>0</v>
      </c>
      <c r="H211" s="23">
        <f t="shared" si="61"/>
        <v>0</v>
      </c>
      <c r="I211" s="23">
        <f t="shared" si="62"/>
        <v>0</v>
      </c>
    </row>
    <row r="212" spans="1:9" ht="12.75">
      <c r="A212" s="1" t="s">
        <v>163</v>
      </c>
      <c r="B212" s="4"/>
      <c r="D212" s="13">
        <f aca="true" t="shared" si="63" ref="D212:I212">SUM(D204:D211)</f>
        <v>22947</v>
      </c>
      <c r="E212" s="21">
        <f t="shared" si="63"/>
        <v>22947</v>
      </c>
      <c r="F212" s="21">
        <f t="shared" si="63"/>
        <v>0</v>
      </c>
      <c r="G212" s="21">
        <f t="shared" si="63"/>
        <v>0</v>
      </c>
      <c r="H212" s="21">
        <f t="shared" si="63"/>
        <v>0</v>
      </c>
      <c r="I212" s="21">
        <f t="shared" si="63"/>
        <v>0</v>
      </c>
    </row>
    <row r="213" spans="1:9" ht="12.75">
      <c r="A213" s="1"/>
      <c r="B213" s="4"/>
      <c r="D213" s="13"/>
      <c r="E213" s="16"/>
      <c r="F213" s="16"/>
      <c r="G213" s="16"/>
      <c r="H213" s="16"/>
      <c r="I213" s="16"/>
    </row>
    <row r="214" spans="1:9" ht="12.75">
      <c r="A214" s="1" t="s">
        <v>253</v>
      </c>
      <c r="B214" s="1" t="s">
        <v>165</v>
      </c>
      <c r="C214" s="1" t="s">
        <v>140</v>
      </c>
      <c r="D214" s="32">
        <v>825</v>
      </c>
      <c r="E214" s="16">
        <f>VLOOKUP($C214,$C$304:$I$315,3,FALSE)*$D214</f>
        <v>825</v>
      </c>
      <c r="F214" s="16">
        <f>VLOOKUP($C214,$C$304:$I$315,4,FALSE)*$D214</f>
        <v>0</v>
      </c>
      <c r="G214" s="16">
        <f>VLOOKUP($C214,$C$304:$I$315,5,FALSE)*$D214</f>
        <v>0</v>
      </c>
      <c r="H214" s="16">
        <f>VLOOKUP($C214,$C$304:$I$315,6,FALSE)*$D214</f>
        <v>0</v>
      </c>
      <c r="I214" s="16">
        <f>VLOOKUP($C214,$C$304:$I$315,7,FALSE)*$D214</f>
        <v>0</v>
      </c>
    </row>
    <row r="215" spans="1:9" ht="12.75">
      <c r="A215" s="1" t="s">
        <v>253</v>
      </c>
      <c r="B215" s="1" t="s">
        <v>165</v>
      </c>
      <c r="C215" s="1" t="s">
        <v>178</v>
      </c>
      <c r="D215" s="32">
        <v>0</v>
      </c>
      <c r="E215" s="16">
        <f>VLOOKUP($C215,$C$304:$I$315,3,FALSE)*$D215</f>
        <v>0</v>
      </c>
      <c r="F215" s="16">
        <f>VLOOKUP($C215,$C$304:$I$315,4,FALSE)*$D215</f>
        <v>0</v>
      </c>
      <c r="G215" s="16">
        <f>VLOOKUP($C215,$C$304:$I$315,5,FALSE)*$D215</f>
        <v>0</v>
      </c>
      <c r="H215" s="16">
        <f>VLOOKUP($C215,$C$304:$I$315,6,FALSE)*$D215</f>
        <v>0</v>
      </c>
      <c r="I215" s="16">
        <f>VLOOKUP($C215,$C$304:$I$315,7,FALSE)*$D215</f>
        <v>0</v>
      </c>
    </row>
    <row r="216" spans="1:9" ht="12.75">
      <c r="A216" s="1" t="s">
        <v>253</v>
      </c>
      <c r="B216" s="1" t="s">
        <v>165</v>
      </c>
      <c r="C216" s="1" t="s">
        <v>141</v>
      </c>
      <c r="D216" s="32">
        <v>0</v>
      </c>
      <c r="E216" s="16">
        <f>VLOOKUP($C216,$C$304:$I$315,3,FALSE)*$D216</f>
        <v>0</v>
      </c>
      <c r="F216" s="16">
        <f>VLOOKUP($C216,$C$304:$I$315,4,FALSE)*$D216</f>
        <v>0</v>
      </c>
      <c r="G216" s="16">
        <f>VLOOKUP($C216,$C$304:$I$315,5,FALSE)*$D216</f>
        <v>0</v>
      </c>
      <c r="H216" s="16">
        <f>VLOOKUP($C216,$C$304:$I$315,6,FALSE)*$D216</f>
        <v>0</v>
      </c>
      <c r="I216" s="16">
        <f>VLOOKUP($C216,$C$304:$I$315,7,FALSE)*$D216</f>
        <v>0</v>
      </c>
    </row>
    <row r="217" spans="1:9" ht="12.75">
      <c r="A217" s="1" t="s">
        <v>253</v>
      </c>
      <c r="B217" s="1" t="s">
        <v>165</v>
      </c>
      <c r="C217" s="1" t="s">
        <v>194</v>
      </c>
      <c r="D217" s="12">
        <v>11197</v>
      </c>
      <c r="E217" s="16">
        <f>VLOOKUP($C217,$C$304:$I$315,3,FALSE)*$D217</f>
        <v>5168.819984304597</v>
      </c>
      <c r="F217" s="16">
        <f>VLOOKUP($C217,$C$304:$I$315,4,FALSE)*$D217</f>
        <v>2162.997230839914</v>
      </c>
      <c r="G217" s="16">
        <f>VLOOKUP($C217,$C$304:$I$315,5,FALSE)*$D217</f>
        <v>3775.184262653857</v>
      </c>
      <c r="H217" s="16">
        <f>VLOOKUP($C217,$C$304:$I$315,6,FALSE)*$D217</f>
        <v>89.99852220163247</v>
      </c>
      <c r="I217" s="16">
        <f>VLOOKUP($C217,$C$304:$I$315,7,FALSE)*$D217</f>
        <v>0</v>
      </c>
    </row>
    <row r="218" spans="1:9" ht="12.75">
      <c r="A218" s="1" t="s">
        <v>165</v>
      </c>
      <c r="B218" s="4"/>
      <c r="D218" s="13">
        <f aca="true" t="shared" si="64" ref="D218:I218">SUM(D214:D217)</f>
        <v>12022</v>
      </c>
      <c r="E218" s="13">
        <f t="shared" si="64"/>
        <v>5993.819984304597</v>
      </c>
      <c r="F218" s="13">
        <f t="shared" si="64"/>
        <v>2162.997230839914</v>
      </c>
      <c r="G218" s="13">
        <f t="shared" si="64"/>
        <v>3775.184262653857</v>
      </c>
      <c r="H218" s="13">
        <f t="shared" si="64"/>
        <v>89.99852220163247</v>
      </c>
      <c r="I218" s="13">
        <f t="shared" si="64"/>
        <v>0</v>
      </c>
    </row>
    <row r="219" spans="1:9" ht="12.75">
      <c r="A219" s="1"/>
      <c r="B219" s="4"/>
      <c r="D219" s="22"/>
      <c r="E219" s="22"/>
      <c r="F219" s="22"/>
      <c r="G219" s="22"/>
      <c r="H219" s="22"/>
      <c r="I219" s="22"/>
    </row>
    <row r="220" spans="1:9" ht="12.75">
      <c r="A220" s="1"/>
      <c r="B220" s="257" t="s">
        <v>24</v>
      </c>
      <c r="C220" s="235"/>
      <c r="D220" s="114">
        <f>SUM(E220:I220)</f>
        <v>0.9999999999999999</v>
      </c>
      <c r="E220" s="115">
        <f>E218/$D218</f>
        <v>0.4985709519468139</v>
      </c>
      <c r="F220" s="115">
        <f>F218/$D218</f>
        <v>0.17991991605722127</v>
      </c>
      <c r="G220" s="115">
        <f>G218/$D218</f>
        <v>0.3140229797582646</v>
      </c>
      <c r="H220" s="115">
        <f>H218/$D218</f>
        <v>0.007486152237700256</v>
      </c>
      <c r="I220" s="116">
        <f>I218/$D218</f>
        <v>0</v>
      </c>
    </row>
    <row r="221" spans="1:9" ht="12.75">
      <c r="A221" s="1"/>
      <c r="B221" s="4"/>
      <c r="D221" s="8"/>
      <c r="E221" s="16"/>
      <c r="F221" s="16"/>
      <c r="G221" s="16"/>
      <c r="H221" s="23"/>
      <c r="I221" s="23"/>
    </row>
    <row r="222" spans="1:9" ht="12.75">
      <c r="A222" s="1" t="s">
        <v>253</v>
      </c>
      <c r="B222" s="1" t="s">
        <v>9</v>
      </c>
      <c r="C222" s="1" t="s">
        <v>170</v>
      </c>
      <c r="D222" s="238">
        <v>62812</v>
      </c>
      <c r="E222" s="16">
        <f>VLOOKUP($C222,$C$304:$I$315,3,FALSE)*$D222</f>
        <v>29272.446180617088</v>
      </c>
      <c r="F222" s="16">
        <f>VLOOKUP($C222,$C$304:$I$315,4,FALSE)*$D222</f>
        <v>12434.095546530978</v>
      </c>
      <c r="G222" s="16">
        <f>VLOOKUP($C222,$C$304:$I$315,5,FALSE)*$D222</f>
        <v>21105.458272851934</v>
      </c>
      <c r="H222" s="23">
        <f>VLOOKUP($C222,$C$304:$I$315,6,FALSE)*$D222</f>
        <v>0</v>
      </c>
      <c r="I222" s="23">
        <f>VLOOKUP($C222,$C$304:$I$315,7,FALSE)*$D222</f>
        <v>0</v>
      </c>
    </row>
    <row r="223" spans="1:9" ht="12.75">
      <c r="A223" s="1" t="s">
        <v>253</v>
      </c>
      <c r="B223" s="1" t="s">
        <v>9</v>
      </c>
      <c r="C223" s="1" t="s">
        <v>194</v>
      </c>
      <c r="D223" s="240">
        <v>0</v>
      </c>
      <c r="E223" s="16">
        <f>VLOOKUP($C223,$C$304:$I$315,3,FALSE)*$D223</f>
        <v>0</v>
      </c>
      <c r="F223" s="16">
        <f>VLOOKUP($C223,$C$304:$I$315,4,FALSE)*$D223</f>
        <v>0</v>
      </c>
      <c r="G223" s="16">
        <f>VLOOKUP($C223,$C$304:$I$315,5,FALSE)*$D223</f>
        <v>0</v>
      </c>
      <c r="H223" s="16">
        <f>VLOOKUP($C223,$C$304:$I$315,6,FALSE)*$D223</f>
        <v>0</v>
      </c>
      <c r="I223" s="16">
        <f>VLOOKUP($C223,$C$304:$I$315,7,FALSE)*$D223</f>
        <v>0</v>
      </c>
    </row>
    <row r="224" spans="1:9" ht="12.75">
      <c r="A224" s="1" t="s">
        <v>9</v>
      </c>
      <c r="B224" s="4"/>
      <c r="D224" s="13">
        <f aca="true" t="shared" si="65" ref="D224:I224">SUM(D222:D223)</f>
        <v>62812</v>
      </c>
      <c r="E224" s="13">
        <f t="shared" si="65"/>
        <v>29272.446180617088</v>
      </c>
      <c r="F224" s="13">
        <f t="shared" si="65"/>
        <v>12434.095546530978</v>
      </c>
      <c r="G224" s="13">
        <f t="shared" si="65"/>
        <v>21105.458272851934</v>
      </c>
      <c r="H224" s="13">
        <f t="shared" si="65"/>
        <v>0</v>
      </c>
      <c r="I224" s="13">
        <f t="shared" si="65"/>
        <v>0</v>
      </c>
    </row>
    <row r="225" spans="1:9" ht="12.75">
      <c r="A225" s="1"/>
      <c r="B225" s="4"/>
      <c r="D225" s="22"/>
      <c r="E225" s="22"/>
      <c r="F225" s="22"/>
      <c r="G225" s="22"/>
      <c r="H225" s="22"/>
      <c r="I225" s="22"/>
    </row>
    <row r="226" spans="1:9" ht="12.75">
      <c r="A226" s="1"/>
      <c r="B226" s="257" t="s">
        <v>25</v>
      </c>
      <c r="C226" s="235"/>
      <c r="D226" s="114">
        <f>SUM(E226:I226)</f>
        <v>1</v>
      </c>
      <c r="E226" s="115">
        <f>E224/$D224</f>
        <v>0.46603270363333577</v>
      </c>
      <c r="F226" s="115">
        <f>F224/$D224</f>
        <v>0.1979573257742307</v>
      </c>
      <c r="G226" s="115">
        <f>G224/$D224</f>
        <v>0.33600997059243354</v>
      </c>
      <c r="H226" s="115">
        <f>H224/$D224</f>
        <v>0</v>
      </c>
      <c r="I226" s="116">
        <f>I224/$D224</f>
        <v>0</v>
      </c>
    </row>
    <row r="227" spans="1:9" ht="12.75">
      <c r="A227" s="1"/>
      <c r="B227" s="4"/>
      <c r="D227" s="8"/>
      <c r="E227" s="16"/>
      <c r="F227" s="16"/>
      <c r="G227" s="16"/>
      <c r="H227" s="23"/>
      <c r="I227" s="23"/>
    </row>
    <row r="228" spans="1:9" ht="12.75">
      <c r="A228" s="1" t="s">
        <v>253</v>
      </c>
      <c r="B228" s="1" t="s">
        <v>14</v>
      </c>
      <c r="C228" s="1" t="s">
        <v>142</v>
      </c>
      <c r="D228" s="240">
        <v>0</v>
      </c>
      <c r="E228" s="16">
        <f>VLOOKUP($C228,$C$304:$I$315,3,FALSE)*$D228</f>
        <v>0</v>
      </c>
      <c r="F228" s="16">
        <f>VLOOKUP($C228,$C$304:$I$315,4,FALSE)*$D228</f>
        <v>0</v>
      </c>
      <c r="G228" s="16">
        <f>VLOOKUP($C228,$C$304:$I$315,5,FALSE)*$D228</f>
        <v>0</v>
      </c>
      <c r="H228" s="23">
        <f>VLOOKUP($C228,$C$304:$I$315,6,FALSE)*$D228</f>
        <v>0</v>
      </c>
      <c r="I228" s="23">
        <f>VLOOKUP($C228,$C$304:$I$315,7,FALSE)*$D228</f>
        <v>0</v>
      </c>
    </row>
    <row r="229" spans="1:9" ht="12.75">
      <c r="A229" s="1" t="s">
        <v>9</v>
      </c>
      <c r="B229" s="4"/>
      <c r="D229" s="13">
        <f aca="true" t="shared" si="66" ref="D229:I229">SUM(D227:D228)</f>
        <v>0</v>
      </c>
      <c r="E229" s="13">
        <f t="shared" si="66"/>
        <v>0</v>
      </c>
      <c r="F229" s="13">
        <f t="shared" si="66"/>
        <v>0</v>
      </c>
      <c r="G229" s="13">
        <f t="shared" si="66"/>
        <v>0</v>
      </c>
      <c r="H229" s="22">
        <f t="shared" si="66"/>
        <v>0</v>
      </c>
      <c r="I229" s="22">
        <f t="shared" si="66"/>
        <v>0</v>
      </c>
    </row>
    <row r="230" spans="1:9" ht="12.75">
      <c r="A230" s="1"/>
      <c r="B230" s="4"/>
      <c r="D230" s="22"/>
      <c r="E230" s="22"/>
      <c r="F230" s="22"/>
      <c r="G230" s="22"/>
      <c r="H230" s="22"/>
      <c r="I230" s="22"/>
    </row>
    <row r="231" spans="1:9" ht="12.75">
      <c r="A231" s="1"/>
      <c r="B231" s="257" t="s">
        <v>78</v>
      </c>
      <c r="C231" s="235"/>
      <c r="D231" s="114">
        <v>0</v>
      </c>
      <c r="E231" s="115">
        <v>0</v>
      </c>
      <c r="F231" s="115">
        <v>0</v>
      </c>
      <c r="G231" s="115">
        <v>0</v>
      </c>
      <c r="H231" s="115">
        <v>0</v>
      </c>
      <c r="I231" s="116">
        <v>0</v>
      </c>
    </row>
    <row r="232" spans="1:9" ht="12.75">
      <c r="A232" s="1"/>
      <c r="B232" s="52"/>
      <c r="D232" s="151"/>
      <c r="E232" s="35"/>
      <c r="F232" s="35"/>
      <c r="G232" s="35"/>
      <c r="H232" s="35"/>
      <c r="I232" s="35"/>
    </row>
    <row r="233" spans="1:9" ht="12.75">
      <c r="A233" s="1"/>
      <c r="B233" s="4"/>
      <c r="E233" s="31"/>
      <c r="F233" s="31"/>
      <c r="G233" s="31"/>
      <c r="H233" s="221"/>
      <c r="I233" s="221"/>
    </row>
    <row r="234" spans="1:9" ht="12.75">
      <c r="A234" s="1" t="s">
        <v>253</v>
      </c>
      <c r="B234" s="1" t="s">
        <v>167</v>
      </c>
      <c r="C234" s="1" t="s">
        <v>178</v>
      </c>
      <c r="D234" s="242">
        <v>7141</v>
      </c>
      <c r="E234" s="16">
        <f aca="true" t="shared" si="67" ref="E234:E241">VLOOKUP($C234,$C$304:$I$315,3,FALSE)*$D234</f>
        <v>2142.2999999999997</v>
      </c>
      <c r="F234" s="16">
        <f aca="true" t="shared" si="68" ref="F234:F241">VLOOKUP($C234,$C$304:$I$315,4,FALSE)*$D234</f>
        <v>714.1</v>
      </c>
      <c r="G234" s="16">
        <f aca="true" t="shared" si="69" ref="G234:G241">VLOOKUP($C234,$C$304:$I$315,5,FALSE)*$D234</f>
        <v>4284.599999999999</v>
      </c>
      <c r="H234" s="23">
        <f aca="true" t="shared" si="70" ref="H234:H241">VLOOKUP($C234,$C$304:$I$315,6,FALSE)*$D234</f>
        <v>0</v>
      </c>
      <c r="I234" s="23">
        <f aca="true" t="shared" si="71" ref="I234:I241">VLOOKUP($C234,$C$304:$I$315,7,FALSE)*$D234</f>
        <v>0</v>
      </c>
    </row>
    <row r="235" spans="1:9" ht="12.75">
      <c r="A235" s="1" t="s">
        <v>253</v>
      </c>
      <c r="B235" s="1" t="s">
        <v>167</v>
      </c>
      <c r="C235" s="1" t="s">
        <v>170</v>
      </c>
      <c r="D235" s="238">
        <v>7381</v>
      </c>
      <c r="E235" s="16">
        <f t="shared" si="67"/>
        <v>3439.7873855176513</v>
      </c>
      <c r="F235" s="16">
        <f t="shared" si="68"/>
        <v>1461.1230215395967</v>
      </c>
      <c r="G235" s="16">
        <f t="shared" si="69"/>
        <v>2480.089592942752</v>
      </c>
      <c r="H235" s="23">
        <f t="shared" si="70"/>
        <v>0</v>
      </c>
      <c r="I235" s="23">
        <f t="shared" si="71"/>
        <v>0</v>
      </c>
    </row>
    <row r="236" spans="1:9" ht="12.75">
      <c r="A236" s="1" t="s">
        <v>253</v>
      </c>
      <c r="B236" s="1" t="s">
        <v>167</v>
      </c>
      <c r="C236" s="1" t="s">
        <v>140</v>
      </c>
      <c r="D236" s="238">
        <v>4678</v>
      </c>
      <c r="E236" s="23">
        <f t="shared" si="67"/>
        <v>4678</v>
      </c>
      <c r="F236" s="23">
        <f t="shared" si="68"/>
        <v>0</v>
      </c>
      <c r="G236" s="23">
        <f t="shared" si="69"/>
        <v>0</v>
      </c>
      <c r="H236" s="23">
        <f t="shared" si="70"/>
        <v>0</v>
      </c>
      <c r="I236" s="23">
        <f t="shared" si="71"/>
        <v>0</v>
      </c>
    </row>
    <row r="237" spans="1:9" ht="12.75">
      <c r="A237" s="1" t="s">
        <v>253</v>
      </c>
      <c r="B237" s="1" t="s">
        <v>167</v>
      </c>
      <c r="C237" s="1" t="s">
        <v>178</v>
      </c>
      <c r="D237" s="248">
        <v>0</v>
      </c>
      <c r="E237" s="16">
        <f t="shared" si="67"/>
        <v>0</v>
      </c>
      <c r="F237" s="16">
        <f t="shared" si="68"/>
        <v>0</v>
      </c>
      <c r="G237" s="16">
        <f t="shared" si="69"/>
        <v>0</v>
      </c>
      <c r="H237" s="23">
        <f t="shared" si="70"/>
        <v>0</v>
      </c>
      <c r="I237" s="23">
        <f t="shared" si="71"/>
        <v>0</v>
      </c>
    </row>
    <row r="238" spans="1:9" ht="12.75">
      <c r="A238" s="1" t="s">
        <v>253</v>
      </c>
      <c r="B238" s="1" t="s">
        <v>167</v>
      </c>
      <c r="C238" s="1" t="s">
        <v>181</v>
      </c>
      <c r="D238" s="11">
        <v>30137</v>
      </c>
      <c r="E238" s="16">
        <f t="shared" si="67"/>
        <v>13039.18386130467</v>
      </c>
      <c r="F238" s="16">
        <f t="shared" si="68"/>
        <v>1779.5547462476206</v>
      </c>
      <c r="G238" s="16">
        <f t="shared" si="69"/>
        <v>10890.83628777152</v>
      </c>
      <c r="H238" s="23">
        <f t="shared" si="70"/>
        <v>4427.425104676188</v>
      </c>
      <c r="I238" s="23">
        <f t="shared" si="71"/>
        <v>0</v>
      </c>
    </row>
    <row r="239" spans="1:9" ht="12.75">
      <c r="A239" s="1" t="s">
        <v>253</v>
      </c>
      <c r="B239" s="1" t="s">
        <v>167</v>
      </c>
      <c r="C239" s="1" t="s">
        <v>141</v>
      </c>
      <c r="D239" s="238">
        <v>0</v>
      </c>
      <c r="E239" s="16">
        <f t="shared" si="67"/>
        <v>0</v>
      </c>
      <c r="F239" s="16">
        <f t="shared" si="68"/>
        <v>0</v>
      </c>
      <c r="G239" s="16">
        <f t="shared" si="69"/>
        <v>0</v>
      </c>
      <c r="H239" s="23">
        <f t="shared" si="70"/>
        <v>0</v>
      </c>
      <c r="I239" s="23">
        <f t="shared" si="71"/>
        <v>0</v>
      </c>
    </row>
    <row r="240" spans="1:9" ht="12.75">
      <c r="A240" s="1" t="s">
        <v>253</v>
      </c>
      <c r="B240" s="1" t="s">
        <v>167</v>
      </c>
      <c r="C240" s="1" t="s">
        <v>170</v>
      </c>
      <c r="D240" s="238">
        <v>0</v>
      </c>
      <c r="E240" s="16">
        <f t="shared" si="67"/>
        <v>0</v>
      </c>
      <c r="F240" s="16">
        <f t="shared" si="68"/>
        <v>0</v>
      </c>
      <c r="G240" s="16">
        <f t="shared" si="69"/>
        <v>0</v>
      </c>
      <c r="H240" s="23">
        <f t="shared" si="70"/>
        <v>0</v>
      </c>
      <c r="I240" s="23">
        <f t="shared" si="71"/>
        <v>0</v>
      </c>
    </row>
    <row r="241" spans="1:9" ht="12.75">
      <c r="A241" s="1" t="s">
        <v>253</v>
      </c>
      <c r="B241" s="1" t="s">
        <v>167</v>
      </c>
      <c r="C241" s="1" t="s">
        <v>194</v>
      </c>
      <c r="D241" s="12">
        <v>17514</v>
      </c>
      <c r="E241" s="16">
        <f t="shared" si="67"/>
        <v>8084.907850773484</v>
      </c>
      <c r="F241" s="16">
        <f t="shared" si="68"/>
        <v>3383.293158964924</v>
      </c>
      <c r="G241" s="16">
        <f t="shared" si="69"/>
        <v>5905.026094143042</v>
      </c>
      <c r="H241" s="23">
        <f t="shared" si="70"/>
        <v>140.7728961185488</v>
      </c>
      <c r="I241" s="23">
        <f t="shared" si="71"/>
        <v>0</v>
      </c>
    </row>
    <row r="242" spans="1:9" ht="12.75">
      <c r="A242" s="1" t="s">
        <v>167</v>
      </c>
      <c r="B242" s="4"/>
      <c r="D242" s="13">
        <f aca="true" t="shared" si="72" ref="D242:I242">SUM(D234:D241)</f>
        <v>66851</v>
      </c>
      <c r="E242" s="13">
        <f t="shared" si="72"/>
        <v>31384.179097595803</v>
      </c>
      <c r="F242" s="13">
        <f t="shared" si="72"/>
        <v>7338.0709267521415</v>
      </c>
      <c r="G242" s="13">
        <f t="shared" si="72"/>
        <v>23560.551974857317</v>
      </c>
      <c r="H242" s="13">
        <f t="shared" si="72"/>
        <v>4568.198000794737</v>
      </c>
      <c r="I242" s="13">
        <f t="shared" si="72"/>
        <v>0</v>
      </c>
    </row>
    <row r="243" spans="1:9" ht="12.75">
      <c r="A243" s="1"/>
      <c r="B243" s="4"/>
      <c r="D243" s="22"/>
      <c r="E243" s="22"/>
      <c r="F243" s="22"/>
      <c r="G243" s="22"/>
      <c r="H243" s="22"/>
      <c r="I243" s="22"/>
    </row>
    <row r="244" spans="1:9" ht="12.75">
      <c r="A244" s="1"/>
      <c r="B244" s="257" t="s">
        <v>26</v>
      </c>
      <c r="C244" s="235"/>
      <c r="D244" s="114">
        <f>SUM(E244:I244)</f>
        <v>1</v>
      </c>
      <c r="E244" s="115">
        <f>E242/$D242</f>
        <v>0.4694646167984892</v>
      </c>
      <c r="F244" s="115">
        <f>F242/$D242</f>
        <v>0.10976755660726303</v>
      </c>
      <c r="G244" s="115">
        <f>G242/$D242</f>
        <v>0.35243380016540243</v>
      </c>
      <c r="H244" s="115">
        <f>H242/$D242</f>
        <v>0.0683340264288453</v>
      </c>
      <c r="I244" s="116">
        <f>I242/$D242</f>
        <v>0</v>
      </c>
    </row>
    <row r="245" spans="1:9" ht="12.75">
      <c r="A245" s="1"/>
      <c r="B245" s="4"/>
      <c r="D245" s="8"/>
      <c r="E245" s="16"/>
      <c r="F245" s="16"/>
      <c r="G245" s="16"/>
      <c r="H245" s="23"/>
      <c r="I245" s="23"/>
    </row>
    <row r="246" spans="1:9" ht="12.75">
      <c r="A246" s="1" t="s">
        <v>253</v>
      </c>
      <c r="B246" s="1" t="s">
        <v>16</v>
      </c>
      <c r="C246" s="1" t="s">
        <v>195</v>
      </c>
      <c r="D246" s="236">
        <v>604113</v>
      </c>
      <c r="E246" s="16">
        <f>VLOOKUP($C246,$C$304:$I$315,3,FALSE)*$D246</f>
        <v>267492.50251020567</v>
      </c>
      <c r="F246" s="16">
        <f>VLOOKUP($C246,$C$304:$I$315,4,FALSE)*$D246</f>
        <v>130566.12108493656</v>
      </c>
      <c r="G246" s="16">
        <f>VLOOKUP($C246,$C$304:$I$315,5,FALSE)*$D246</f>
        <v>201457.72864886647</v>
      </c>
      <c r="H246" s="16">
        <f>VLOOKUP($C246,$C$304:$I$315,6,FALSE)*$D246</f>
        <v>4596.647755991282</v>
      </c>
      <c r="I246" s="16">
        <f>VLOOKUP($C246,$C$304:$I$315,7,FALSE)*$D246</f>
        <v>0</v>
      </c>
    </row>
    <row r="247" spans="1:9" ht="12.75">
      <c r="A247" s="1" t="s">
        <v>16</v>
      </c>
      <c r="B247" s="4"/>
      <c r="D247" s="11">
        <f>+E247+F247+G247+H247+I247</f>
        <v>604113</v>
      </c>
      <c r="E247" s="13">
        <f>SUM(E246:E246)</f>
        <v>267492.50251020567</v>
      </c>
      <c r="F247" s="13">
        <f>SUM(F246:F246)</f>
        <v>130566.12108493656</v>
      </c>
      <c r="G247" s="13">
        <f>SUM(G246:G246)</f>
        <v>201457.72864886647</v>
      </c>
      <c r="H247" s="13">
        <f>SUM(H246:H246)</f>
        <v>4596.647755991282</v>
      </c>
      <c r="I247" s="13">
        <f>SUM(I246:I246)</f>
        <v>0</v>
      </c>
    </row>
    <row r="248" spans="1:9" ht="12.75">
      <c r="A248" s="1"/>
      <c r="B248" s="4"/>
      <c r="D248" s="11"/>
      <c r="E248" s="16"/>
      <c r="F248" s="16"/>
      <c r="G248" s="16"/>
      <c r="H248" s="23"/>
      <c r="I248" s="23"/>
    </row>
    <row r="249" spans="1:9" ht="12.75" hidden="1">
      <c r="A249" s="1"/>
      <c r="B249" s="4" t="s">
        <v>155</v>
      </c>
      <c r="C249" s="4" t="s">
        <v>142</v>
      </c>
      <c r="D249" s="242">
        <v>0</v>
      </c>
      <c r="E249" s="16">
        <f>VLOOKUP($C249,$C$304:$I$315,3,FALSE)*$D249</f>
        <v>0</v>
      </c>
      <c r="F249" s="16">
        <f>VLOOKUP($C249,$C$304:$I$315,4,FALSE)*$D249</f>
        <v>0</v>
      </c>
      <c r="G249" s="16">
        <f>VLOOKUP($C249,$C$304:$I$315,5,FALSE)*$D249</f>
        <v>0</v>
      </c>
      <c r="H249" s="23">
        <f>VLOOKUP($C249,$C$304:$I$315,6,FALSE)*$D249</f>
        <v>0</v>
      </c>
      <c r="I249" s="23">
        <f>VLOOKUP($C249,$C$304:$I$315,7,FALSE)*$D249</f>
        <v>0</v>
      </c>
    </row>
    <row r="250" spans="1:9" ht="12.75" hidden="1">
      <c r="A250" s="1" t="s">
        <v>253</v>
      </c>
      <c r="B250" s="1" t="s">
        <v>155</v>
      </c>
      <c r="C250" s="4" t="s">
        <v>194</v>
      </c>
      <c r="D250" s="242">
        <v>0</v>
      </c>
      <c r="E250" s="16">
        <f>VLOOKUP($C250,$C$304:$I$315,3,FALSE)*$D250</f>
        <v>0</v>
      </c>
      <c r="F250" s="16">
        <f>VLOOKUP($C250,$C$304:$I$315,4,FALSE)*$D250</f>
        <v>0</v>
      </c>
      <c r="G250" s="16">
        <f>VLOOKUP($C250,$C$304:$I$315,5,FALSE)*$D250</f>
        <v>0</v>
      </c>
      <c r="H250" s="23">
        <f>VLOOKUP($C250,$C$304:$I$315,6,FALSE)*$D250</f>
        <v>0</v>
      </c>
      <c r="I250" s="23">
        <f>VLOOKUP($C250,$C$304:$I$315,7,FALSE)*$D250</f>
        <v>0</v>
      </c>
    </row>
    <row r="251" spans="1:9" ht="12.75" hidden="1">
      <c r="A251" s="1" t="s">
        <v>155</v>
      </c>
      <c r="B251" s="4"/>
      <c r="D251" s="17">
        <f aca="true" t="shared" si="73" ref="D251:I251">SUM(D249:D250)</f>
        <v>0</v>
      </c>
      <c r="E251" s="17">
        <f t="shared" si="73"/>
        <v>0</v>
      </c>
      <c r="F251" s="17">
        <f t="shared" si="73"/>
        <v>0</v>
      </c>
      <c r="G251" s="17">
        <f t="shared" si="73"/>
        <v>0</v>
      </c>
      <c r="H251" s="17">
        <f t="shared" si="73"/>
        <v>0</v>
      </c>
      <c r="I251" s="17">
        <f t="shared" si="73"/>
        <v>0</v>
      </c>
    </row>
    <row r="252" spans="1:9" ht="12.75" hidden="1">
      <c r="A252" s="1"/>
      <c r="B252" s="4"/>
      <c r="D252" s="11"/>
      <c r="E252" s="16"/>
      <c r="F252" s="16"/>
      <c r="G252" s="16"/>
      <c r="H252" s="23"/>
      <c r="I252" s="23"/>
    </row>
    <row r="253" spans="1:9" ht="12.75" hidden="1">
      <c r="A253" s="1" t="s">
        <v>253</v>
      </c>
      <c r="B253" s="4" t="s">
        <v>15</v>
      </c>
      <c r="C253" s="4" t="s">
        <v>194</v>
      </c>
      <c r="D253" s="242">
        <v>0</v>
      </c>
      <c r="E253" s="16">
        <f>VLOOKUP($C253,$C$304:$I$315,3,FALSE)*$D253</f>
        <v>0</v>
      </c>
      <c r="F253" s="16">
        <f>VLOOKUP($C253,$C$304:$I$315,4,FALSE)*$D253</f>
        <v>0</v>
      </c>
      <c r="G253" s="16">
        <f>VLOOKUP($C253,$C$304:$I$315,5,FALSE)*$D253</f>
        <v>0</v>
      </c>
      <c r="H253" s="23">
        <f>VLOOKUP($C253,$C$304:$I$315,6,FALSE)*$D253</f>
        <v>0</v>
      </c>
      <c r="I253" s="23">
        <f>VLOOKUP($C253,$C$304:$I$315,7,FALSE)*$D253</f>
        <v>0</v>
      </c>
    </row>
    <row r="254" spans="1:9" ht="12.75" hidden="1">
      <c r="A254" s="1" t="s">
        <v>253</v>
      </c>
      <c r="B254" s="1" t="s">
        <v>15</v>
      </c>
      <c r="C254" s="4" t="s">
        <v>142</v>
      </c>
      <c r="D254" s="242">
        <v>0</v>
      </c>
      <c r="E254" s="16">
        <f>VLOOKUP($C254,$C$304:$I$315,3,FALSE)*$D254</f>
        <v>0</v>
      </c>
      <c r="F254" s="16">
        <f>VLOOKUP($C254,$C$304:$I$315,4,FALSE)*$D254</f>
        <v>0</v>
      </c>
      <c r="G254" s="16">
        <f>VLOOKUP($C254,$C$304:$I$315,5,FALSE)*$D254</f>
        <v>0</v>
      </c>
      <c r="H254" s="23">
        <f>VLOOKUP($C254,$C$304:$I$315,6,FALSE)*$D254</f>
        <v>0</v>
      </c>
      <c r="I254" s="23">
        <f>VLOOKUP($C254,$C$304:$I$315,7,FALSE)*$D254</f>
        <v>0</v>
      </c>
    </row>
    <row r="255" spans="1:9" ht="12.75" hidden="1">
      <c r="A255" s="1" t="s">
        <v>15</v>
      </c>
      <c r="B255" s="4"/>
      <c r="D255" s="17">
        <f aca="true" t="shared" si="74" ref="D255:I255">SUM(D253:D254)</f>
        <v>0</v>
      </c>
      <c r="E255" s="17">
        <f t="shared" si="74"/>
        <v>0</v>
      </c>
      <c r="F255" s="17">
        <f t="shared" si="74"/>
        <v>0</v>
      </c>
      <c r="G255" s="17">
        <f t="shared" si="74"/>
        <v>0</v>
      </c>
      <c r="H255" s="17">
        <f t="shared" si="74"/>
        <v>0</v>
      </c>
      <c r="I255" s="17">
        <f t="shared" si="74"/>
        <v>0</v>
      </c>
    </row>
    <row r="256" spans="1:9" ht="12.75" hidden="1">
      <c r="A256" s="1"/>
      <c r="B256" s="4"/>
      <c r="D256" s="11"/>
      <c r="E256" s="11"/>
      <c r="F256" s="11"/>
      <c r="G256" s="11"/>
      <c r="H256" s="11"/>
      <c r="I256" s="11"/>
    </row>
    <row r="257" spans="1:9" ht="12.75" hidden="1">
      <c r="A257" s="1" t="s">
        <v>253</v>
      </c>
      <c r="B257" s="1" t="s">
        <v>157</v>
      </c>
      <c r="C257" s="4" t="s">
        <v>194</v>
      </c>
      <c r="D257" s="242">
        <v>0</v>
      </c>
      <c r="E257" s="16">
        <f>VLOOKUP($C257,$C$304:$I$315,3,FALSE)*$D257</f>
        <v>0</v>
      </c>
      <c r="F257" s="16">
        <f>VLOOKUP($C257,$C$304:$I$315,4,FALSE)*$D257</f>
        <v>0</v>
      </c>
      <c r="G257" s="16">
        <f>VLOOKUP($C257,$C$304:$I$315,5,FALSE)*$D257</f>
        <v>0</v>
      </c>
      <c r="H257" s="23">
        <f>VLOOKUP($C257,$C$304:$I$315,6,FALSE)*$D257</f>
        <v>0</v>
      </c>
      <c r="I257" s="23">
        <f>VLOOKUP($C257,$C$304:$I$315,7,FALSE)*$D257</f>
        <v>0</v>
      </c>
    </row>
    <row r="258" spans="1:9" ht="12.75" hidden="1">
      <c r="A258" s="1" t="s">
        <v>15</v>
      </c>
      <c r="B258" s="4"/>
      <c r="D258" s="17">
        <f>SUM(D257:D257)</f>
        <v>0</v>
      </c>
      <c r="E258" s="17">
        <f>SUM(E257)</f>
        <v>0</v>
      </c>
      <c r="F258" s="17">
        <f>SUM(F257)</f>
        <v>0</v>
      </c>
      <c r="G258" s="17">
        <f>SUM(G257)</f>
        <v>0</v>
      </c>
      <c r="H258" s="17">
        <f>SUM(H257)</f>
        <v>0</v>
      </c>
      <c r="I258" s="17">
        <f>SUM(I257)</f>
        <v>0</v>
      </c>
    </row>
    <row r="259" spans="1:9" ht="12.75" hidden="1">
      <c r="A259" s="1"/>
      <c r="B259" s="4"/>
      <c r="D259" s="11"/>
      <c r="E259" s="16"/>
      <c r="F259" s="16"/>
      <c r="G259" s="16"/>
      <c r="H259" s="23"/>
      <c r="I259" s="23"/>
    </row>
    <row r="260" spans="1:9" ht="12.75">
      <c r="A260" s="1" t="s">
        <v>253</v>
      </c>
      <c r="B260" s="1" t="s">
        <v>319</v>
      </c>
      <c r="C260" s="4" t="s">
        <v>142</v>
      </c>
      <c r="D260" s="23">
        <v>11813</v>
      </c>
      <c r="E260" s="24">
        <f>VLOOKUP($C260,$C$304:$I$315,3,FALSE)*$D260</f>
        <v>0</v>
      </c>
      <c r="F260" s="24">
        <f>VLOOKUP($C260,$C$304:$I$315,4,FALSE)*$D260</f>
        <v>0</v>
      </c>
      <c r="G260" s="24">
        <f>VLOOKUP($C260,$C$304:$I$315,5,FALSE)*$D260</f>
        <v>11813</v>
      </c>
      <c r="H260" s="24">
        <f>VLOOKUP($C260,$C$304:$I$315,6,FALSE)*$D260</f>
        <v>0</v>
      </c>
      <c r="I260" s="24">
        <f>VLOOKUP($C260,$C$304:$I$315,7,FALSE)*$D260</f>
        <v>0</v>
      </c>
    </row>
    <row r="261" spans="1:9" ht="12.75">
      <c r="A261" s="1" t="s">
        <v>253</v>
      </c>
      <c r="B261" s="1" t="s">
        <v>319</v>
      </c>
      <c r="C261" s="4" t="s">
        <v>146</v>
      </c>
      <c r="D261" s="23">
        <v>4272</v>
      </c>
      <c r="E261" s="24">
        <f aca="true" t="shared" si="75" ref="E261:E272">VLOOKUP($C261,$C$304:$I$315,3,FALSE)*$D261</f>
        <v>0</v>
      </c>
      <c r="F261" s="24">
        <f aca="true" t="shared" si="76" ref="F261:F272">VLOOKUP($C261,$C$304:$I$315,4,FALSE)*$D261</f>
        <v>0</v>
      </c>
      <c r="G261" s="24">
        <f aca="true" t="shared" si="77" ref="G261:G272">VLOOKUP($C261,$C$304:$I$315,5,FALSE)*$D261</f>
        <v>0</v>
      </c>
      <c r="H261" s="24">
        <f aca="true" t="shared" si="78" ref="H261:H272">VLOOKUP($C261,$C$304:$I$315,6,FALSE)*$D261</f>
        <v>0</v>
      </c>
      <c r="I261" s="24">
        <f aca="true" t="shared" si="79" ref="I261:I272">VLOOKUP($C261,$C$304:$I$315,7,FALSE)*$D261</f>
        <v>4272</v>
      </c>
    </row>
    <row r="262" spans="1:9" ht="12.75">
      <c r="A262" s="1" t="s">
        <v>253</v>
      </c>
      <c r="B262" s="1" t="s">
        <v>319</v>
      </c>
      <c r="C262" s="4" t="s">
        <v>194</v>
      </c>
      <c r="D262" s="23">
        <v>14143</v>
      </c>
      <c r="E262" s="24">
        <f t="shared" si="75"/>
        <v>6528.768512817711</v>
      </c>
      <c r="F262" s="24">
        <f t="shared" si="76"/>
        <v>2732.0951894051</v>
      </c>
      <c r="G262" s="24">
        <f t="shared" si="77"/>
        <v>4768.458607369251</v>
      </c>
      <c r="H262" s="24">
        <f t="shared" si="78"/>
        <v>113.67769040793856</v>
      </c>
      <c r="I262" s="24">
        <f t="shared" si="79"/>
        <v>0</v>
      </c>
    </row>
    <row r="263" spans="1:9" ht="12.75">
      <c r="A263" s="1" t="s">
        <v>253</v>
      </c>
      <c r="B263" s="1" t="s">
        <v>319</v>
      </c>
      <c r="C263" s="4" t="s">
        <v>170</v>
      </c>
      <c r="D263" s="23">
        <v>0</v>
      </c>
      <c r="E263" s="24">
        <f t="shared" si="75"/>
        <v>0</v>
      </c>
      <c r="F263" s="24">
        <f t="shared" si="76"/>
        <v>0</v>
      </c>
      <c r="G263" s="24">
        <f t="shared" si="77"/>
        <v>0</v>
      </c>
      <c r="H263" s="24">
        <f t="shared" si="78"/>
        <v>0</v>
      </c>
      <c r="I263" s="24">
        <f t="shared" si="79"/>
        <v>0</v>
      </c>
    </row>
    <row r="264" spans="1:9" ht="12.75">
      <c r="A264" s="1" t="s">
        <v>253</v>
      </c>
      <c r="B264" s="1" t="s">
        <v>319</v>
      </c>
      <c r="C264" s="4" t="s">
        <v>140</v>
      </c>
      <c r="D264" s="23">
        <v>0</v>
      </c>
      <c r="E264" s="24">
        <f t="shared" si="75"/>
        <v>0</v>
      </c>
      <c r="F264" s="24">
        <f t="shared" si="76"/>
        <v>0</v>
      </c>
      <c r="G264" s="24">
        <f t="shared" si="77"/>
        <v>0</v>
      </c>
      <c r="H264" s="24">
        <f t="shared" si="78"/>
        <v>0</v>
      </c>
      <c r="I264" s="24">
        <f t="shared" si="79"/>
        <v>0</v>
      </c>
    </row>
    <row r="265" spans="1:9" ht="12.75">
      <c r="A265" s="1" t="s">
        <v>253</v>
      </c>
      <c r="B265" s="1" t="s">
        <v>162</v>
      </c>
      <c r="C265" s="4" t="s">
        <v>146</v>
      </c>
      <c r="D265" s="23">
        <v>63</v>
      </c>
      <c r="E265" s="24">
        <f t="shared" si="75"/>
        <v>0</v>
      </c>
      <c r="F265" s="24">
        <f t="shared" si="76"/>
        <v>0</v>
      </c>
      <c r="G265" s="24">
        <f t="shared" si="77"/>
        <v>0</v>
      </c>
      <c r="H265" s="24">
        <f t="shared" si="78"/>
        <v>0</v>
      </c>
      <c r="I265" s="24">
        <f t="shared" si="79"/>
        <v>63</v>
      </c>
    </row>
    <row r="266" spans="1:9" ht="12.75">
      <c r="A266" s="1" t="s">
        <v>253</v>
      </c>
      <c r="B266" s="1" t="s">
        <v>17</v>
      </c>
      <c r="C266" s="4" t="s">
        <v>146</v>
      </c>
      <c r="D266" s="23">
        <v>469</v>
      </c>
      <c r="E266" s="24">
        <f t="shared" si="75"/>
        <v>0</v>
      </c>
      <c r="F266" s="24">
        <f t="shared" si="76"/>
        <v>0</v>
      </c>
      <c r="G266" s="24">
        <f t="shared" si="77"/>
        <v>0</v>
      </c>
      <c r="H266" s="249">
        <f t="shared" si="78"/>
        <v>0</v>
      </c>
      <c r="I266" s="249">
        <f t="shared" si="79"/>
        <v>469</v>
      </c>
    </row>
    <row r="267" spans="1:9" ht="12.75">
      <c r="A267" s="1" t="s">
        <v>253</v>
      </c>
      <c r="B267" s="1" t="s">
        <v>17</v>
      </c>
      <c r="C267" s="4" t="s">
        <v>142</v>
      </c>
      <c r="D267" s="23">
        <v>352</v>
      </c>
      <c r="E267" s="24">
        <f t="shared" si="75"/>
        <v>0</v>
      </c>
      <c r="F267" s="24">
        <f t="shared" si="76"/>
        <v>0</v>
      </c>
      <c r="G267" s="24">
        <f t="shared" si="77"/>
        <v>352</v>
      </c>
      <c r="H267" s="249">
        <f t="shared" si="78"/>
        <v>0</v>
      </c>
      <c r="I267" s="249">
        <f t="shared" si="79"/>
        <v>0</v>
      </c>
    </row>
    <row r="268" spans="1:9" ht="12.75">
      <c r="A268" s="1" t="s">
        <v>253</v>
      </c>
      <c r="B268" s="1" t="s">
        <v>17</v>
      </c>
      <c r="C268" s="4" t="s">
        <v>194</v>
      </c>
      <c r="D268" s="23">
        <v>30356</v>
      </c>
      <c r="E268" s="24">
        <f t="shared" si="75"/>
        <v>14013.101673979667</v>
      </c>
      <c r="F268" s="24">
        <f t="shared" si="76"/>
        <v>5864.065726478202</v>
      </c>
      <c r="G268" s="24">
        <f t="shared" si="77"/>
        <v>10234.839106646466</v>
      </c>
      <c r="H268" s="249">
        <f t="shared" si="78"/>
        <v>243.99349289566447</v>
      </c>
      <c r="I268" s="249">
        <f t="shared" si="79"/>
        <v>0</v>
      </c>
    </row>
    <row r="269" spans="1:9" ht="12.75">
      <c r="A269" s="1" t="s">
        <v>253</v>
      </c>
      <c r="B269" s="1" t="s">
        <v>17</v>
      </c>
      <c r="C269" s="4" t="s">
        <v>181</v>
      </c>
      <c r="D269" s="23">
        <v>3493</v>
      </c>
      <c r="E269" s="24">
        <f t="shared" si="75"/>
        <v>1511.2940646891598</v>
      </c>
      <c r="F269" s="24">
        <f t="shared" si="76"/>
        <v>206.25758133334236</v>
      </c>
      <c r="G269" s="24">
        <f t="shared" si="77"/>
        <v>1262.2919054048486</v>
      </c>
      <c r="H269" s="24">
        <f t="shared" si="78"/>
        <v>513.1564485726492</v>
      </c>
      <c r="I269" s="249">
        <f t="shared" si="79"/>
        <v>0</v>
      </c>
    </row>
    <row r="270" spans="1:9" ht="12.75">
      <c r="A270" s="1" t="s">
        <v>253</v>
      </c>
      <c r="B270" s="1" t="s">
        <v>17</v>
      </c>
      <c r="C270" s="4" t="s">
        <v>178</v>
      </c>
      <c r="D270" s="23">
        <v>0</v>
      </c>
      <c r="E270" s="24">
        <f t="shared" si="75"/>
        <v>0</v>
      </c>
      <c r="F270" s="24">
        <f t="shared" si="76"/>
        <v>0</v>
      </c>
      <c r="G270" s="24">
        <f t="shared" si="77"/>
        <v>0</v>
      </c>
      <c r="H270" s="24">
        <f t="shared" si="78"/>
        <v>0</v>
      </c>
      <c r="I270" s="249">
        <f t="shared" si="79"/>
        <v>0</v>
      </c>
    </row>
    <row r="271" spans="1:9" ht="12.75">
      <c r="A271" s="1" t="s">
        <v>253</v>
      </c>
      <c r="B271" s="1" t="s">
        <v>17</v>
      </c>
      <c r="C271" s="4" t="s">
        <v>140</v>
      </c>
      <c r="D271" s="23">
        <f>301+39</f>
        <v>340</v>
      </c>
      <c r="E271" s="24">
        <f t="shared" si="75"/>
        <v>340</v>
      </c>
      <c r="F271" s="24">
        <f t="shared" si="76"/>
        <v>0</v>
      </c>
      <c r="G271" s="24">
        <f t="shared" si="77"/>
        <v>0</v>
      </c>
      <c r="H271" s="24">
        <f t="shared" si="78"/>
        <v>0</v>
      </c>
      <c r="I271" s="24">
        <f t="shared" si="79"/>
        <v>0</v>
      </c>
    </row>
    <row r="272" spans="1:9" ht="12.75">
      <c r="A272" s="1" t="s">
        <v>253</v>
      </c>
      <c r="B272" s="1" t="s">
        <v>17</v>
      </c>
      <c r="C272" s="4" t="s">
        <v>170</v>
      </c>
      <c r="D272" s="23">
        <v>2947</v>
      </c>
      <c r="E272" s="24">
        <f t="shared" si="75"/>
        <v>1373.3983776074406</v>
      </c>
      <c r="F272" s="24">
        <f t="shared" si="76"/>
        <v>583.3802390566578</v>
      </c>
      <c r="G272" s="24">
        <f t="shared" si="77"/>
        <v>990.2213833359017</v>
      </c>
      <c r="H272" s="24">
        <f t="shared" si="78"/>
        <v>0</v>
      </c>
      <c r="I272" s="24">
        <f t="shared" si="79"/>
        <v>0</v>
      </c>
    </row>
    <row r="273" spans="1:9" ht="12.75">
      <c r="A273" s="1" t="s">
        <v>158</v>
      </c>
      <c r="B273" s="4"/>
      <c r="D273" s="13">
        <f aca="true" t="shared" si="80" ref="D273:I273">SUM(D260:D272)</f>
        <v>68248</v>
      </c>
      <c r="E273" s="25">
        <f t="shared" si="80"/>
        <v>23766.56262909398</v>
      </c>
      <c r="F273" s="25">
        <f t="shared" si="80"/>
        <v>9385.798736273302</v>
      </c>
      <c r="G273" s="25">
        <f t="shared" si="80"/>
        <v>29420.811002756465</v>
      </c>
      <c r="H273" s="25">
        <f t="shared" si="80"/>
        <v>870.8276318762522</v>
      </c>
      <c r="I273" s="25">
        <f t="shared" si="80"/>
        <v>4804</v>
      </c>
    </row>
    <row r="274" spans="1:9" ht="12.75">
      <c r="A274" s="1" t="s">
        <v>253</v>
      </c>
      <c r="B274" s="1" t="s">
        <v>159</v>
      </c>
      <c r="C274" s="4" t="s">
        <v>194</v>
      </c>
      <c r="D274" s="234">
        <v>0</v>
      </c>
      <c r="E274" s="16">
        <f>VLOOKUP($C274,$C$304:$I$315,3,FALSE)*$D274</f>
        <v>0</v>
      </c>
      <c r="F274" s="16">
        <f>VLOOKUP($C274,$C$304:$I$315,4,FALSE)*$D274</f>
        <v>0</v>
      </c>
      <c r="G274" s="16">
        <f>VLOOKUP($C274,$C$304:$I$315,5,FALSE)*$D274</f>
        <v>0</v>
      </c>
      <c r="H274" s="16">
        <f>VLOOKUP($C274,$C$304:$I$315,6,FALSE)*$D274</f>
        <v>0</v>
      </c>
      <c r="I274" s="16">
        <f>VLOOKUP($C274,$C$304:$I$315,7,FALSE)*$D274</f>
        <v>0</v>
      </c>
    </row>
    <row r="275" spans="1:9" ht="12.75">
      <c r="A275" s="1" t="s">
        <v>253</v>
      </c>
      <c r="B275" s="1" t="s">
        <v>159</v>
      </c>
      <c r="C275" s="4" t="s">
        <v>181</v>
      </c>
      <c r="D275" s="234">
        <v>0</v>
      </c>
      <c r="E275" s="16">
        <f>VLOOKUP($C275,$C$304:$I$315,3,FALSE)*$D275</f>
        <v>0</v>
      </c>
      <c r="F275" s="16">
        <f>VLOOKUP($C275,$C$304:$I$315,4,FALSE)*$D275</f>
        <v>0</v>
      </c>
      <c r="G275" s="16">
        <f>VLOOKUP($C275,$C$304:$I$315,5,FALSE)*$D275</f>
        <v>0</v>
      </c>
      <c r="H275" s="16">
        <f>VLOOKUP($C275,$C$304:$I$315,6,FALSE)*$D275</f>
        <v>0</v>
      </c>
      <c r="I275" s="16">
        <f>VLOOKUP($C275,$C$304:$I$315,7,FALSE)*$D275</f>
        <v>0</v>
      </c>
    </row>
    <row r="276" spans="1:9" ht="12.75">
      <c r="A276" s="1" t="s">
        <v>159</v>
      </c>
      <c r="B276" s="4"/>
      <c r="D276" s="13">
        <f aca="true" t="shared" si="81" ref="D276:I276">SUM(D274:D275)</f>
        <v>0</v>
      </c>
      <c r="E276" s="13">
        <f t="shared" si="81"/>
        <v>0</v>
      </c>
      <c r="F276" s="13">
        <f t="shared" si="81"/>
        <v>0</v>
      </c>
      <c r="G276" s="13">
        <f t="shared" si="81"/>
        <v>0</v>
      </c>
      <c r="H276" s="13">
        <f t="shared" si="81"/>
        <v>0</v>
      </c>
      <c r="I276" s="13">
        <f t="shared" si="81"/>
        <v>0</v>
      </c>
    </row>
    <row r="277" spans="1:9" ht="12.75">
      <c r="A277" s="1" t="s">
        <v>253</v>
      </c>
      <c r="B277" s="1" t="s">
        <v>160</v>
      </c>
      <c r="C277" s="4" t="s">
        <v>194</v>
      </c>
      <c r="D277" s="234">
        <v>0</v>
      </c>
      <c r="E277" s="16">
        <f>VLOOKUP($C277,$C$304:$I$315,3,FALSE)*$D277</f>
        <v>0</v>
      </c>
      <c r="F277" s="16">
        <f>VLOOKUP($C277,$C$304:$I$315,4,FALSE)*$D277</f>
        <v>0</v>
      </c>
      <c r="G277" s="16">
        <f>VLOOKUP($C277,$C$304:$I$315,5,FALSE)*$D277</f>
        <v>0</v>
      </c>
      <c r="H277" s="16">
        <f>VLOOKUP($C277,$C$304:$I$315,6,FALSE)*$D277</f>
        <v>0</v>
      </c>
      <c r="I277" s="16">
        <f>VLOOKUP($C277,$C$304:$I$315,7,FALSE)*$D277</f>
        <v>0</v>
      </c>
    </row>
    <row r="278" spans="1:9" ht="12.75">
      <c r="A278" s="1" t="s">
        <v>160</v>
      </c>
      <c r="B278" s="4"/>
      <c r="D278" s="17">
        <f aca="true" t="shared" si="82" ref="D278:I278">SUM(D277:D277)</f>
        <v>0</v>
      </c>
      <c r="E278" s="17">
        <f t="shared" si="82"/>
        <v>0</v>
      </c>
      <c r="F278" s="17">
        <f t="shared" si="82"/>
        <v>0</v>
      </c>
      <c r="G278" s="17">
        <f t="shared" si="82"/>
        <v>0</v>
      </c>
      <c r="H278" s="17">
        <f t="shared" si="82"/>
        <v>0</v>
      </c>
      <c r="I278" s="17">
        <f t="shared" si="82"/>
        <v>0</v>
      </c>
    </row>
    <row r="279" spans="1:9" ht="12.75">
      <c r="A279" s="1"/>
      <c r="B279" s="4"/>
      <c r="D279" s="11"/>
      <c r="E279" s="11"/>
      <c r="F279" s="11"/>
      <c r="G279" s="11"/>
      <c r="H279" s="11"/>
      <c r="I279" s="11"/>
    </row>
    <row r="280" spans="1:9" ht="12.75">
      <c r="A280" s="4" t="s">
        <v>17</v>
      </c>
      <c r="B280" s="4"/>
      <c r="D280" s="19">
        <f>D251+D255+D258+D273+D276+D278</f>
        <v>68248</v>
      </c>
      <c r="E280" s="19">
        <f>E255+E258+E273+E276+E278</f>
        <v>23766.56262909398</v>
      </c>
      <c r="F280" s="19">
        <f>F255+F258+F273+F276+F278</f>
        <v>9385.798736273302</v>
      </c>
      <c r="G280" s="19">
        <f>G255+G258+G273+G276+G278</f>
        <v>29420.811002756465</v>
      </c>
      <c r="H280" s="19">
        <f>H255+H258+H273+H276+H278</f>
        <v>870.8276318762522</v>
      </c>
      <c r="I280" s="19">
        <f>I255+I258+I273+I276+I278</f>
        <v>4804</v>
      </c>
    </row>
    <row r="281" spans="1:9" ht="12.75">
      <c r="A281" s="4"/>
      <c r="B281" s="4"/>
      <c r="D281" s="31"/>
      <c r="E281" s="31"/>
      <c r="F281" s="31"/>
      <c r="G281" s="31"/>
      <c r="H281" s="31"/>
      <c r="I281" s="31"/>
    </row>
    <row r="282" spans="1:9" ht="12.75">
      <c r="A282" s="4"/>
      <c r="B282" s="257" t="s">
        <v>321</v>
      </c>
      <c r="C282" s="235"/>
      <c r="D282" s="114">
        <f>SUM(E282:I282)</f>
        <v>1</v>
      </c>
      <c r="E282" s="115">
        <f>E280/$D280</f>
        <v>0.3482382286527661</v>
      </c>
      <c r="F282" s="115">
        <f>F280/$D280</f>
        <v>0.1375248906381623</v>
      </c>
      <c r="G282" s="115">
        <f>G280/$D280</f>
        <v>0.4310867864663648</v>
      </c>
      <c r="H282" s="115">
        <f>H280/$D280</f>
        <v>0.012759753133809814</v>
      </c>
      <c r="I282" s="116">
        <f>I280/$D280</f>
        <v>0.07039034110889697</v>
      </c>
    </row>
    <row r="283" spans="1:9" ht="12.75">
      <c r="A283" s="4"/>
      <c r="B283" s="4"/>
      <c r="D283" s="39"/>
      <c r="E283" s="39"/>
      <c r="F283" s="39"/>
      <c r="G283" s="39"/>
      <c r="H283" s="236"/>
      <c r="I283" s="236"/>
    </row>
    <row r="284" spans="1:9" ht="12.75">
      <c r="A284" s="52" t="s">
        <v>254</v>
      </c>
      <c r="B284" s="4"/>
      <c r="D284" s="16">
        <f aca="true" t="shared" si="83" ref="D284:I284">D192+D195+D200+D212+D218+D224+D229+D242+D247+D280</f>
        <v>908913</v>
      </c>
      <c r="E284" s="16">
        <f t="shared" si="83"/>
        <v>412059.2056157363</v>
      </c>
      <c r="F284" s="16">
        <f t="shared" si="83"/>
        <v>175138.54486998566</v>
      </c>
      <c r="G284" s="16">
        <f t="shared" si="83"/>
        <v>306785.57760341413</v>
      </c>
      <c r="H284" s="16">
        <f t="shared" si="83"/>
        <v>10125.671910863903</v>
      </c>
      <c r="I284" s="16">
        <f t="shared" si="83"/>
        <v>4804</v>
      </c>
    </row>
    <row r="285" spans="1:9" ht="12.75">
      <c r="A285" s="4" t="s">
        <v>253</v>
      </c>
      <c r="B285" s="4" t="s">
        <v>184</v>
      </c>
      <c r="C285" s="4" t="s">
        <v>318</v>
      </c>
      <c r="D285" s="16">
        <v>0</v>
      </c>
      <c r="E285" s="16"/>
      <c r="F285" s="16"/>
      <c r="G285" s="16"/>
      <c r="H285" s="23"/>
      <c r="I285" s="23"/>
    </row>
    <row r="286" spans="1:9" ht="12.75">
      <c r="A286" s="4"/>
      <c r="B286" s="4"/>
      <c r="D286" s="16"/>
      <c r="E286" s="16"/>
      <c r="F286" s="16"/>
      <c r="G286" s="16"/>
      <c r="H286" s="23"/>
      <c r="I286" s="23"/>
    </row>
    <row r="287" spans="1:9" ht="12.75">
      <c r="A287" s="4"/>
      <c r="B287" s="257" t="s">
        <v>255</v>
      </c>
      <c r="C287" s="235"/>
      <c r="D287" s="114">
        <f>SUM(E287:I287)</f>
        <v>1</v>
      </c>
      <c r="E287" s="115">
        <f>E284/$D284</f>
        <v>0.45335384752527064</v>
      </c>
      <c r="F287" s="115">
        <f>F284/$D284</f>
        <v>0.1926901088112786</v>
      </c>
      <c r="G287" s="115">
        <f>G284/$D284</f>
        <v>0.33753019002194284</v>
      </c>
      <c r="H287" s="115">
        <f>H284/$D284</f>
        <v>0.011140419282003782</v>
      </c>
      <c r="I287" s="116">
        <f>I284/$D284</f>
        <v>0.005285434359504155</v>
      </c>
    </row>
    <row r="288" spans="1:9" ht="12.75">
      <c r="A288" s="4"/>
      <c r="B288" s="52"/>
      <c r="D288" s="151"/>
      <c r="E288" s="35"/>
      <c r="F288" s="35"/>
      <c r="G288" s="35"/>
      <c r="H288" s="35"/>
      <c r="I288" s="35"/>
    </row>
    <row r="289" spans="1:9" ht="12.75">
      <c r="A289" s="4"/>
      <c r="B289" s="4"/>
      <c r="D289" s="16"/>
      <c r="E289" s="16"/>
      <c r="F289" s="16"/>
      <c r="G289" s="16"/>
      <c r="H289" s="23"/>
      <c r="I289" s="23"/>
    </row>
    <row r="290" spans="1:9" ht="12.75">
      <c r="A290" s="4" t="s">
        <v>256</v>
      </c>
      <c r="B290" s="1" t="s">
        <v>184</v>
      </c>
      <c r="C290" s="4" t="s">
        <v>140</v>
      </c>
      <c r="D290" s="234">
        <v>0</v>
      </c>
      <c r="E290" s="39">
        <f>VLOOKUP($C290,$C$304:$I$315,3,FALSE)*$D290</f>
        <v>0</v>
      </c>
      <c r="F290" s="39">
        <f>VLOOKUP($C290,$C$304:$I$315,3,FALSE)*$D290</f>
        <v>0</v>
      </c>
      <c r="G290" s="39">
        <f>VLOOKUP($C290,$C$304:$I$315,3,FALSE)*$D290</f>
        <v>0</v>
      </c>
      <c r="H290" s="39">
        <f>VLOOKUP($C290,$C$304:$I$315,3,FALSE)*$D290</f>
        <v>0</v>
      </c>
      <c r="I290" s="39">
        <f>VLOOKUP($C290,$C$304:$I$315,3,FALSE)*$D290</f>
        <v>0</v>
      </c>
    </row>
    <row r="291" spans="1:9" ht="12.75">
      <c r="A291" s="4"/>
      <c r="B291" s="4"/>
      <c r="D291" s="20">
        <f aca="true" t="shared" si="84" ref="D291:I291">SUM(D290:D290)</f>
        <v>0</v>
      </c>
      <c r="E291" s="20">
        <f t="shared" si="84"/>
        <v>0</v>
      </c>
      <c r="F291" s="20">
        <f t="shared" si="84"/>
        <v>0</v>
      </c>
      <c r="G291" s="20">
        <f t="shared" si="84"/>
        <v>0</v>
      </c>
      <c r="H291" s="20">
        <f t="shared" si="84"/>
        <v>0</v>
      </c>
      <c r="I291" s="20">
        <f t="shared" si="84"/>
        <v>0</v>
      </c>
    </row>
    <row r="292" spans="1:7" ht="12.75">
      <c r="A292" s="4"/>
      <c r="B292" s="4"/>
      <c r="D292" s="16"/>
      <c r="E292" s="4"/>
      <c r="F292" s="4"/>
      <c r="G292" s="4"/>
    </row>
    <row r="293" spans="1:9" ht="12.75">
      <c r="A293" s="4"/>
      <c r="B293" s="257" t="s">
        <v>257</v>
      </c>
      <c r="C293" s="235"/>
      <c r="D293" s="114">
        <f>SUM(E293:I293)</f>
        <v>0</v>
      </c>
      <c r="E293" s="114">
        <f>IF(E$291=0,0,SUM(E$291/$D$291))</f>
        <v>0</v>
      </c>
      <c r="F293" s="114">
        <f>IF(F$291=0,0,SUM(F$291/$D$291))</f>
        <v>0</v>
      </c>
      <c r="G293" s="114">
        <f>IF(G$291=0,0,SUM(G$291/$D$291))</f>
        <v>0</v>
      </c>
      <c r="H293" s="114">
        <f>IF(H$291=0,0,SUM(H$291/$D$291))</f>
        <v>0</v>
      </c>
      <c r="I293" s="114">
        <f>IF(I$291=0,0,SUM(I$291/$D$291))</f>
        <v>0</v>
      </c>
    </row>
    <row r="294" spans="1:9" ht="12.75">
      <c r="A294" s="4"/>
      <c r="B294" s="4"/>
      <c r="D294" s="16"/>
      <c r="E294" s="4"/>
      <c r="F294" s="4"/>
      <c r="G294" s="4"/>
      <c r="H294" s="4"/>
      <c r="I294" s="4"/>
    </row>
    <row r="295" spans="1:9" ht="13.5" thickBot="1">
      <c r="A295" s="4" t="s">
        <v>258</v>
      </c>
      <c r="B295" s="4"/>
      <c r="D295" s="33">
        <f aca="true" t="shared" si="85" ref="D295:I295">D187+D284+D291</f>
        <v>949640</v>
      </c>
      <c r="E295" s="33">
        <f t="shared" si="85"/>
        <v>438017.0035189923</v>
      </c>
      <c r="F295" s="33">
        <f t="shared" si="85"/>
        <v>176730.12531437213</v>
      </c>
      <c r="G295" s="33">
        <f t="shared" si="85"/>
        <v>316191.5801592342</v>
      </c>
      <c r="H295" s="33">
        <f t="shared" si="85"/>
        <v>13897.291007401442</v>
      </c>
      <c r="I295" s="33">
        <f t="shared" si="85"/>
        <v>4804</v>
      </c>
    </row>
    <row r="296" spans="1:9" ht="13.5" thickTop="1">
      <c r="A296" s="4"/>
      <c r="B296" s="4"/>
      <c r="D296" s="32"/>
      <c r="E296" s="4"/>
      <c r="F296" s="4"/>
      <c r="G296" s="4"/>
      <c r="H296" s="4"/>
      <c r="I296" s="4"/>
    </row>
    <row r="297" spans="1:9" ht="12.75">
      <c r="A297" s="4"/>
      <c r="B297" s="257" t="s">
        <v>259</v>
      </c>
      <c r="C297" s="235"/>
      <c r="D297" s="114">
        <f>SUM(E297:I297)</f>
        <v>1</v>
      </c>
      <c r="E297" s="115">
        <f>E295/$D295</f>
        <v>0.46124531771933813</v>
      </c>
      <c r="F297" s="115">
        <f>F295/$D295</f>
        <v>0.18610223380899302</v>
      </c>
      <c r="G297" s="115">
        <f>G295/$D295</f>
        <v>0.33295941636750154</v>
      </c>
      <c r="H297" s="115">
        <f>H295/$D295</f>
        <v>0.014634272995452426</v>
      </c>
      <c r="I297" s="116">
        <f>I295/$D295</f>
        <v>0.005058759108714881</v>
      </c>
    </row>
    <row r="298" spans="1:7" ht="12.75">
      <c r="A298" s="4"/>
      <c r="B298" s="4"/>
      <c r="D298" s="32"/>
      <c r="E298" s="4"/>
      <c r="F298" s="4"/>
      <c r="G298" s="4"/>
    </row>
    <row r="299" spans="1:7" ht="13.5" thickBot="1">
      <c r="A299" s="259" t="s">
        <v>388</v>
      </c>
      <c r="B299" s="4"/>
      <c r="D299" s="33">
        <f>D163+D295</f>
        <v>1710777</v>
      </c>
      <c r="E299" s="4"/>
      <c r="F299" s="4"/>
      <c r="G299" s="4"/>
    </row>
    <row r="300" spans="1:7" ht="13.5" thickTop="1">
      <c r="A300" s="4"/>
      <c r="B300" s="4"/>
      <c r="D300" s="16"/>
      <c r="E300" s="4"/>
      <c r="F300" s="4"/>
      <c r="G300" s="4"/>
    </row>
    <row r="301" spans="1:7" ht="12.75">
      <c r="A301" s="4"/>
      <c r="B301" s="4"/>
      <c r="D301" s="16"/>
      <c r="E301" s="4"/>
      <c r="F301" s="4"/>
      <c r="G301" s="4"/>
    </row>
    <row r="302" spans="1:7" ht="12.75">
      <c r="A302" s="4"/>
      <c r="B302" s="4"/>
      <c r="E302" s="4"/>
      <c r="F302" s="4"/>
      <c r="G302" s="4"/>
    </row>
    <row r="303" spans="1:9" ht="12.75">
      <c r="A303" s="4"/>
      <c r="B303" s="4"/>
      <c r="C303" s="250" t="s">
        <v>382</v>
      </c>
      <c r="D303" s="250" t="s">
        <v>144</v>
      </c>
      <c r="E303" s="250" t="s">
        <v>136</v>
      </c>
      <c r="F303" s="250" t="s">
        <v>137</v>
      </c>
      <c r="G303" s="250" t="s">
        <v>191</v>
      </c>
      <c r="H303" s="250" t="s">
        <v>192</v>
      </c>
      <c r="I303" s="250" t="s">
        <v>193</v>
      </c>
    </row>
    <row r="304" spans="1:9" ht="12.75">
      <c r="A304" s="4"/>
      <c r="B304" s="4"/>
      <c r="C304" s="34" t="s">
        <v>146</v>
      </c>
      <c r="D304" s="251">
        <f>SUM(E304:I304)</f>
        <v>1</v>
      </c>
      <c r="E304" s="252">
        <v>0</v>
      </c>
      <c r="F304" s="252">
        <v>0</v>
      </c>
      <c r="G304" s="252">
        <v>0</v>
      </c>
      <c r="H304" s="252">
        <v>0</v>
      </c>
      <c r="I304" s="252">
        <v>1</v>
      </c>
    </row>
    <row r="305" spans="1:9" ht="12.75">
      <c r="A305" s="4"/>
      <c r="B305" s="4"/>
      <c r="C305" s="34" t="s">
        <v>142</v>
      </c>
      <c r="D305" s="251">
        <f aca="true" t="shared" si="86" ref="D305:D315">SUM(E305:I305)</f>
        <v>1</v>
      </c>
      <c r="E305" s="99">
        <v>0</v>
      </c>
      <c r="F305" s="99">
        <v>0</v>
      </c>
      <c r="G305" s="99">
        <v>1</v>
      </c>
      <c r="H305" s="253">
        <v>0</v>
      </c>
      <c r="I305" s="253">
        <v>0</v>
      </c>
    </row>
    <row r="306" spans="1:9" ht="12.75">
      <c r="A306" s="4"/>
      <c r="B306" s="4"/>
      <c r="C306" s="34" t="s">
        <v>145</v>
      </c>
      <c r="D306" s="251">
        <f t="shared" si="86"/>
        <v>1</v>
      </c>
      <c r="E306" s="99">
        <v>0</v>
      </c>
      <c r="F306" s="99">
        <v>0</v>
      </c>
      <c r="G306" s="99">
        <v>0</v>
      </c>
      <c r="H306" s="253">
        <v>1</v>
      </c>
      <c r="I306" s="253">
        <v>0</v>
      </c>
    </row>
    <row r="307" spans="1:9" ht="12.75">
      <c r="A307" s="4"/>
      <c r="B307" s="4"/>
      <c r="C307" s="34" t="s">
        <v>178</v>
      </c>
      <c r="D307" s="251">
        <f t="shared" si="86"/>
        <v>1</v>
      </c>
      <c r="E307" s="99">
        <v>0.3</v>
      </c>
      <c r="F307" s="99">
        <v>0.1</v>
      </c>
      <c r="G307" s="99">
        <v>0.6</v>
      </c>
      <c r="H307" s="253">
        <v>0</v>
      </c>
      <c r="I307" s="253">
        <v>0</v>
      </c>
    </row>
    <row r="308" spans="1:9" ht="12.75">
      <c r="A308" s="4"/>
      <c r="B308" s="4"/>
      <c r="C308" s="34" t="s">
        <v>194</v>
      </c>
      <c r="D308" s="251">
        <f t="shared" si="86"/>
        <v>1</v>
      </c>
      <c r="E308" s="99">
        <f>'GROSS PLANT'!E55</f>
        <v>0.4616254339827272</v>
      </c>
      <c r="F308" s="99">
        <f>'GROSS PLANT'!F55</f>
        <v>0.19317649645797214</v>
      </c>
      <c r="G308" s="99">
        <f>'GROSS PLANT'!G55</f>
        <v>0.33716033425505554</v>
      </c>
      <c r="H308" s="253">
        <f>'GROSS PLANT'!H55</f>
        <v>0.008037735304245107</v>
      </c>
      <c r="I308" s="253">
        <f>'GROSS PLANT'!I55</f>
        <v>0</v>
      </c>
    </row>
    <row r="309" spans="1:9" ht="12.75">
      <c r="A309" s="4"/>
      <c r="B309" s="4"/>
      <c r="C309" s="34" t="s">
        <v>181</v>
      </c>
      <c r="D309" s="251">
        <f t="shared" si="86"/>
        <v>1</v>
      </c>
      <c r="E309" s="99">
        <f>'FORM 1'!C25</f>
        <v>0.43266363145982245</v>
      </c>
      <c r="F309" s="99">
        <f>'FORM 1'!D25</f>
        <v>0.059048835194200504</v>
      </c>
      <c r="G309" s="99">
        <f>'FORM 1'!E25</f>
        <v>0.36137758528624353</v>
      </c>
      <c r="H309" s="253">
        <f>'FORM 1'!F25</f>
        <v>0.1469099480597335</v>
      </c>
      <c r="I309" s="253">
        <f>'FORM 1'!G25</f>
        <v>0</v>
      </c>
    </row>
    <row r="310" spans="1:9" ht="12.75">
      <c r="A310" s="4"/>
      <c r="B310" s="4"/>
      <c r="C310" s="34" t="s">
        <v>140</v>
      </c>
      <c r="D310" s="251">
        <f t="shared" si="86"/>
        <v>1</v>
      </c>
      <c r="E310" s="99">
        <f>'FORM 1'!C13</f>
        <v>1</v>
      </c>
      <c r="F310" s="99">
        <f>'FORM 1'!D13</f>
        <v>0</v>
      </c>
      <c r="G310" s="99">
        <f>'FORM 1'!E13</f>
        <v>0</v>
      </c>
      <c r="H310" s="253">
        <f>'FORM 1'!F13</f>
        <v>0</v>
      </c>
      <c r="I310" s="253">
        <f>'FORM 1'!G13</f>
        <v>0</v>
      </c>
    </row>
    <row r="311" spans="1:9" ht="12.75">
      <c r="A311" s="4"/>
      <c r="B311" s="4"/>
      <c r="C311" s="34" t="s">
        <v>266</v>
      </c>
      <c r="D311" s="251">
        <f>SUM(E311:I311)</f>
        <v>1</v>
      </c>
      <c r="E311" s="99">
        <f>+'FORM 1'!C17</f>
        <v>0.70186702057732</v>
      </c>
      <c r="F311" s="99">
        <f>+'FORM 1'!D17</f>
        <v>0.29813297942267997</v>
      </c>
      <c r="G311" s="99">
        <v>0</v>
      </c>
      <c r="H311" s="253">
        <v>0</v>
      </c>
      <c r="I311" s="253">
        <v>0</v>
      </c>
    </row>
    <row r="312" spans="1:9" ht="12" customHeight="1">
      <c r="A312" s="4"/>
      <c r="B312" s="4"/>
      <c r="C312" s="34" t="s">
        <v>170</v>
      </c>
      <c r="D312" s="251">
        <f t="shared" si="86"/>
        <v>1</v>
      </c>
      <c r="E312" s="99">
        <f>'FORM 1'!C16</f>
        <v>0.46603270363333577</v>
      </c>
      <c r="F312" s="99">
        <f>'FORM 1'!D16</f>
        <v>0.1979573257742307</v>
      </c>
      <c r="G312" s="99">
        <f>'FORM 1'!E16</f>
        <v>0.33600997059243354</v>
      </c>
      <c r="H312" s="253">
        <f>'FORM 1'!F16</f>
        <v>0</v>
      </c>
      <c r="I312" s="253">
        <f>'FORM 1'!G16</f>
        <v>0</v>
      </c>
    </row>
    <row r="313" spans="1:9" ht="12.75">
      <c r="A313" s="4"/>
      <c r="B313" s="4"/>
      <c r="C313" s="34" t="s">
        <v>141</v>
      </c>
      <c r="D313" s="251">
        <f t="shared" si="86"/>
        <v>1</v>
      </c>
      <c r="E313" s="99">
        <f>'FORM 1'!C14</f>
        <v>0</v>
      </c>
      <c r="F313" s="99">
        <f>'FORM 1'!D14</f>
        <v>1</v>
      </c>
      <c r="G313" s="99">
        <f>'FORM 1'!E14</f>
        <v>0</v>
      </c>
      <c r="H313" s="253">
        <f>'FORM 1'!F14</f>
        <v>0</v>
      </c>
      <c r="I313" s="253">
        <f>'FORM 1'!G14</f>
        <v>0</v>
      </c>
    </row>
    <row r="314" spans="1:9" ht="12.75">
      <c r="A314" s="4"/>
      <c r="B314" s="4"/>
      <c r="C314" s="34" t="s">
        <v>195</v>
      </c>
      <c r="D314" s="251">
        <f t="shared" si="86"/>
        <v>1</v>
      </c>
      <c r="E314" s="99">
        <f>+'TAX DEPR'!C$72</f>
        <v>0.4427855426223334</v>
      </c>
      <c r="F314" s="99">
        <f>+'TAX DEPR'!D$72</f>
        <v>0.21612863998115678</v>
      </c>
      <c r="G314" s="99">
        <f>+'TAX DEPR'!E$72</f>
        <v>0.33347689695283245</v>
      </c>
      <c r="H314" s="99">
        <f>+'TAX DEPR'!F$72</f>
        <v>0.007608920443677394</v>
      </c>
      <c r="I314" s="99">
        <f>+'TAX DEPR'!G$72</f>
        <v>0</v>
      </c>
    </row>
    <row r="315" spans="1:9" ht="12.75">
      <c r="A315" s="4"/>
      <c r="B315" s="4"/>
      <c r="C315" s="34" t="s">
        <v>175</v>
      </c>
      <c r="D315" s="251">
        <f t="shared" si="86"/>
        <v>1</v>
      </c>
      <c r="E315" s="99">
        <f>'FORM 1'!C18</f>
        <v>0</v>
      </c>
      <c r="F315" s="99">
        <f>'FORM 1'!D18</f>
        <v>0.37072930705909285</v>
      </c>
      <c r="G315" s="99">
        <f>'FORM 1'!E18</f>
        <v>0.6292706929409071</v>
      </c>
      <c r="H315" s="253">
        <f>'FORM 1'!F18</f>
        <v>0</v>
      </c>
      <c r="I315" s="253">
        <f>'FORM 1'!G18</f>
        <v>0</v>
      </c>
    </row>
    <row r="316" spans="1:9" ht="12.75">
      <c r="A316" s="4"/>
      <c r="B316" s="4"/>
      <c r="E316" s="35"/>
      <c r="F316" s="35"/>
      <c r="G316" s="35"/>
      <c r="H316" s="254"/>
      <c r="I316" s="254"/>
    </row>
  </sheetData>
  <printOptions horizontalCentered="1"/>
  <pageMargins left="0.25" right="0.25" top="0.4" bottom="0.65" header="0.4" footer="0.2"/>
  <pageSetup fitToHeight="1" fitToWidth="1" horizontalDpi="600" verticalDpi="600" orientation="landscape" scale="95" r:id="rId3"/>
  <headerFooter alignWithMargins="0">
    <oddFooter>&amp;LExhibit RMP____(CCP-3)&amp;CTab 3 - Page 10 of 20&amp;R&amp;F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93"/>
  <sheetViews>
    <sheetView zoomScale="90" zoomScaleNormal="90" workbookViewId="0" topLeftCell="A43">
      <selection activeCell="A1" sqref="A1:G72"/>
    </sheetView>
  </sheetViews>
  <sheetFormatPr defaultColWidth="9.140625" defaultRowHeight="12.75"/>
  <cols>
    <col min="1" max="1" width="35.28125" style="4" bestFit="1" customWidth="1"/>
    <col min="2" max="2" width="15.57421875" style="4" bestFit="1" customWidth="1"/>
    <col min="3" max="7" width="15.7109375" style="4" customWidth="1"/>
    <col min="8" max="9" width="14.421875" style="4" bestFit="1" customWidth="1"/>
    <col min="10" max="10" width="12.7109375" style="4" bestFit="1" customWidth="1"/>
    <col min="11" max="16384" width="9.140625" style="4" customWidth="1"/>
  </cols>
  <sheetData>
    <row r="1" spans="1:7" ht="15">
      <c r="A1" s="291" t="str">
        <f>+'TOTAL FUNCFAC'!$A$1</f>
        <v>PACIFICORP</v>
      </c>
      <c r="B1" s="291"/>
      <c r="C1" s="291"/>
      <c r="D1" s="291"/>
      <c r="E1" s="291"/>
      <c r="F1" s="291"/>
      <c r="G1" s="291"/>
    </row>
    <row r="2" spans="1:7" ht="15">
      <c r="A2" s="293" t="str">
        <f>+'TOTAL FUNCFAC'!$A$2</f>
        <v>12 Months Ended December 2007</v>
      </c>
      <c r="B2" s="293"/>
      <c r="C2" s="293"/>
      <c r="D2" s="293"/>
      <c r="E2" s="293"/>
      <c r="F2" s="293"/>
      <c r="G2" s="293"/>
    </row>
    <row r="3" spans="1:7" ht="15">
      <c r="A3" s="28" t="s">
        <v>371</v>
      </c>
      <c r="B3" s="28"/>
      <c r="C3" s="28"/>
      <c r="D3" s="28"/>
      <c r="E3" s="28"/>
      <c r="F3" s="29"/>
      <c r="G3" s="29"/>
    </row>
    <row r="5" spans="1:7" ht="12.75">
      <c r="A5" s="44"/>
      <c r="B5" s="45" t="s">
        <v>144</v>
      </c>
      <c r="C5" s="45" t="s">
        <v>136</v>
      </c>
      <c r="D5" s="45" t="s">
        <v>137</v>
      </c>
      <c r="E5" s="45" t="s">
        <v>138</v>
      </c>
      <c r="F5" s="45" t="s">
        <v>139</v>
      </c>
      <c r="G5" s="45" t="s">
        <v>224</v>
      </c>
    </row>
    <row r="6" spans="1:7" ht="12.75">
      <c r="A6" s="46"/>
      <c r="B6" s="46"/>
      <c r="C6" s="47"/>
      <c r="D6" s="47"/>
      <c r="E6" s="47"/>
      <c r="F6" s="47"/>
      <c r="G6" s="47"/>
    </row>
    <row r="7" ht="12.75">
      <c r="A7" s="48" t="s">
        <v>372</v>
      </c>
    </row>
    <row r="8" spans="1:9" ht="12.75">
      <c r="A8" s="4" t="s">
        <v>155</v>
      </c>
      <c r="B8" s="16">
        <f>SUM(C8:G8)</f>
        <v>6906913</v>
      </c>
      <c r="C8" s="16">
        <v>1956274</v>
      </c>
      <c r="D8" s="16">
        <v>883464</v>
      </c>
      <c r="E8" s="16">
        <v>4066775</v>
      </c>
      <c r="F8" s="16">
        <v>400</v>
      </c>
      <c r="G8" s="16">
        <v>0</v>
      </c>
      <c r="H8" s="47"/>
      <c r="I8" s="47"/>
    </row>
    <row r="9" spans="1:9" ht="12.75">
      <c r="A9" s="4" t="s">
        <v>157</v>
      </c>
      <c r="B9" s="16">
        <f aca="true" t="shared" si="0" ref="B9:B16">SUM(C9:G9)</f>
        <v>71838772</v>
      </c>
      <c r="C9" s="16">
        <v>30352792</v>
      </c>
      <c r="D9" s="16">
        <v>12640072</v>
      </c>
      <c r="E9" s="16">
        <v>29323300</v>
      </c>
      <c r="F9" s="16">
        <v>-477392</v>
      </c>
      <c r="G9" s="16">
        <v>0</v>
      </c>
      <c r="H9" s="47"/>
      <c r="I9" s="47"/>
    </row>
    <row r="10" spans="1:9" ht="12.75">
      <c r="A10" s="4" t="s">
        <v>159</v>
      </c>
      <c r="B10" s="16">
        <f t="shared" si="0"/>
        <v>17438323</v>
      </c>
      <c r="C10" s="16">
        <v>7564549</v>
      </c>
      <c r="D10" s="16">
        <v>3399093</v>
      </c>
      <c r="E10" s="16">
        <v>6473758</v>
      </c>
      <c r="F10" s="16">
        <v>923</v>
      </c>
      <c r="G10" s="16"/>
      <c r="H10" s="49"/>
      <c r="I10" s="49"/>
    </row>
    <row r="11" spans="1:8" ht="12.75">
      <c r="A11" s="4" t="s">
        <v>160</v>
      </c>
      <c r="B11" s="16">
        <f t="shared" si="0"/>
        <v>26930224</v>
      </c>
      <c r="C11" s="16">
        <v>13095292</v>
      </c>
      <c r="D11" s="16">
        <v>5188601</v>
      </c>
      <c r="E11" s="16">
        <v>8818182</v>
      </c>
      <c r="F11" s="16">
        <v>-171851</v>
      </c>
      <c r="G11" s="16">
        <v>0</v>
      </c>
      <c r="H11" s="50"/>
    </row>
    <row r="12" spans="1:7" ht="12.75">
      <c r="A12" s="4" t="s">
        <v>158</v>
      </c>
      <c r="B12" s="16">
        <f t="shared" si="0"/>
        <v>3287487</v>
      </c>
      <c r="C12" s="16">
        <v>2410536</v>
      </c>
      <c r="D12" s="16">
        <v>964910</v>
      </c>
      <c r="E12" s="16">
        <v>-4814</v>
      </c>
      <c r="F12" s="16">
        <v>-83145</v>
      </c>
      <c r="G12" s="16">
        <v>0</v>
      </c>
    </row>
    <row r="13" spans="1:7" ht="12.75">
      <c r="A13" s="4" t="s">
        <v>373</v>
      </c>
      <c r="B13" s="16">
        <f t="shared" si="0"/>
        <v>-506</v>
      </c>
      <c r="C13" s="16">
        <v>0</v>
      </c>
      <c r="D13" s="16">
        <v>0</v>
      </c>
      <c r="E13" s="16">
        <v>-552</v>
      </c>
      <c r="F13" s="16">
        <v>46</v>
      </c>
      <c r="G13" s="16">
        <v>0</v>
      </c>
    </row>
    <row r="14" spans="1:7" ht="12.75">
      <c r="A14" s="4" t="s">
        <v>182</v>
      </c>
      <c r="B14" s="16">
        <f t="shared" si="0"/>
        <v>-2214</v>
      </c>
      <c r="C14" s="16"/>
      <c r="D14" s="16"/>
      <c r="E14" s="16">
        <v>-155</v>
      </c>
      <c r="F14" s="16">
        <v>-2059</v>
      </c>
      <c r="G14" s="16"/>
    </row>
    <row r="15" spans="1:7" ht="12.75">
      <c r="A15" s="4" t="s">
        <v>201</v>
      </c>
      <c r="B15" s="16">
        <f t="shared" si="0"/>
        <v>-247</v>
      </c>
      <c r="C15" s="16">
        <v>0</v>
      </c>
      <c r="D15" s="16">
        <v>0</v>
      </c>
      <c r="E15" s="16">
        <v>0</v>
      </c>
      <c r="F15" s="16">
        <v>-247</v>
      </c>
      <c r="G15" s="16">
        <v>0</v>
      </c>
    </row>
    <row r="16" spans="1:7" ht="12.75">
      <c r="A16" s="4" t="s">
        <v>296</v>
      </c>
      <c r="B16" s="16">
        <f t="shared" si="0"/>
        <v>0</v>
      </c>
      <c r="C16" s="16"/>
      <c r="D16" s="16">
        <v>0</v>
      </c>
      <c r="E16" s="16"/>
      <c r="F16" s="16">
        <v>0</v>
      </c>
      <c r="G16" s="16">
        <v>0</v>
      </c>
    </row>
    <row r="17" spans="1:7" ht="12.75">
      <c r="A17" s="4" t="s">
        <v>374</v>
      </c>
      <c r="B17" s="30">
        <f aca="true" t="shared" si="1" ref="B17:G17">SUM(B8:B16)</f>
        <v>126398752</v>
      </c>
      <c r="C17" s="30">
        <f t="shared" si="1"/>
        <v>55379443</v>
      </c>
      <c r="D17" s="30">
        <f t="shared" si="1"/>
        <v>23076140</v>
      </c>
      <c r="E17" s="30">
        <f t="shared" si="1"/>
        <v>48676494</v>
      </c>
      <c r="F17" s="30">
        <f t="shared" si="1"/>
        <v>-733325</v>
      </c>
      <c r="G17" s="30">
        <f t="shared" si="1"/>
        <v>0</v>
      </c>
    </row>
    <row r="18" spans="2:7" ht="12.75">
      <c r="B18" s="16"/>
      <c r="C18" s="16"/>
      <c r="D18" s="16"/>
      <c r="E18" s="16"/>
      <c r="F18" s="16"/>
      <c r="G18" s="16"/>
    </row>
    <row r="19" spans="1:7" ht="12.75">
      <c r="A19" s="48" t="s">
        <v>375</v>
      </c>
      <c r="B19" s="16"/>
      <c r="C19" s="16"/>
      <c r="D19" s="16"/>
      <c r="E19" s="16"/>
      <c r="F19" s="16"/>
      <c r="G19" s="16"/>
    </row>
    <row r="20" spans="1:7" ht="12.75">
      <c r="A20" s="4" t="s">
        <v>155</v>
      </c>
      <c r="B20" s="16">
        <f>SUM(C20:G20)</f>
        <v>13410</v>
      </c>
      <c r="C20" s="16">
        <v>0</v>
      </c>
      <c r="D20" s="16">
        <v>0</v>
      </c>
      <c r="E20" s="16">
        <v>-231</v>
      </c>
      <c r="F20" s="16">
        <v>4795</v>
      </c>
      <c r="G20" s="16">
        <v>8846</v>
      </c>
    </row>
    <row r="21" spans="1:7" ht="12.75">
      <c r="A21" s="4" t="s">
        <v>157</v>
      </c>
      <c r="B21" s="16">
        <f aca="true" t="shared" si="2" ref="B21:B28">SUM(C21:G21)</f>
        <v>80728</v>
      </c>
      <c r="C21" s="16">
        <v>0</v>
      </c>
      <c r="D21" s="16">
        <v>0</v>
      </c>
      <c r="E21" s="16">
        <v>-2017</v>
      </c>
      <c r="F21" s="16">
        <v>-54577</v>
      </c>
      <c r="G21" s="16">
        <v>137322</v>
      </c>
    </row>
    <row r="22" spans="1:7" ht="12.75">
      <c r="A22" s="4" t="s">
        <v>159</v>
      </c>
      <c r="B22" s="16">
        <f t="shared" si="2"/>
        <v>55638</v>
      </c>
      <c r="C22" s="16">
        <v>0</v>
      </c>
      <c r="D22" s="16">
        <v>0</v>
      </c>
      <c r="E22" s="16">
        <v>-470</v>
      </c>
      <c r="F22" s="16">
        <v>15140</v>
      </c>
      <c r="G22" s="16">
        <v>40968</v>
      </c>
    </row>
    <row r="23" spans="1:7" ht="12.75">
      <c r="A23" s="4" t="s">
        <v>160</v>
      </c>
      <c r="B23" s="16">
        <f t="shared" si="2"/>
        <v>49086</v>
      </c>
      <c r="C23" s="16">
        <v>0</v>
      </c>
      <c r="D23" s="16">
        <v>0</v>
      </c>
      <c r="E23" s="16">
        <v>-456</v>
      </c>
      <c r="F23" s="16">
        <v>-20154</v>
      </c>
      <c r="G23" s="16">
        <v>69696</v>
      </c>
    </row>
    <row r="24" spans="1:7" ht="12.75">
      <c r="A24" s="4" t="s">
        <v>158</v>
      </c>
      <c r="B24" s="16">
        <f t="shared" si="2"/>
        <v>172498643</v>
      </c>
      <c r="C24" s="16">
        <v>77538935</v>
      </c>
      <c r="D24" s="16">
        <v>47634131</v>
      </c>
      <c r="E24" s="16">
        <v>46612421</v>
      </c>
      <c r="F24" s="16">
        <v>511347</v>
      </c>
      <c r="G24" s="16">
        <v>201809</v>
      </c>
    </row>
    <row r="25" spans="1:7" ht="12.75">
      <c r="A25" s="4" t="s">
        <v>373</v>
      </c>
      <c r="B25" s="16">
        <f t="shared" si="2"/>
        <v>29245283</v>
      </c>
      <c r="C25" s="16">
        <v>15438153</v>
      </c>
      <c r="D25" s="16">
        <v>6544271</v>
      </c>
      <c r="E25" s="16">
        <v>7622852</v>
      </c>
      <c r="F25" s="16">
        <v>-393117</v>
      </c>
      <c r="G25" s="16">
        <v>33124</v>
      </c>
    </row>
    <row r="26" spans="1:7" ht="12.75">
      <c r="A26" s="4" t="s">
        <v>182</v>
      </c>
      <c r="B26" s="16">
        <f t="shared" si="2"/>
        <v>10114424</v>
      </c>
      <c r="C26" s="16">
        <v>5227151</v>
      </c>
      <c r="D26" s="16">
        <v>2220311</v>
      </c>
      <c r="E26" s="16">
        <v>2826915</v>
      </c>
      <c r="F26" s="16">
        <v>-169630</v>
      </c>
      <c r="G26" s="16">
        <v>9677</v>
      </c>
    </row>
    <row r="27" spans="1:7" ht="12.75">
      <c r="A27" s="4" t="s">
        <v>201</v>
      </c>
      <c r="B27" s="16">
        <f t="shared" si="2"/>
        <v>986438</v>
      </c>
      <c r="C27" s="16">
        <v>691669</v>
      </c>
      <c r="D27" s="16">
        <v>299111</v>
      </c>
      <c r="E27" s="16">
        <v>0</v>
      </c>
      <c r="F27" s="16">
        <v>-6173</v>
      </c>
      <c r="G27" s="16">
        <v>1831</v>
      </c>
    </row>
    <row r="28" spans="1:7" ht="12.75">
      <c r="A28" s="4" t="s">
        <v>296</v>
      </c>
      <c r="B28" s="16">
        <f t="shared" si="2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12.75">
      <c r="A29" s="4" t="s">
        <v>376</v>
      </c>
      <c r="B29" s="30">
        <f aca="true" t="shared" si="3" ref="B29:G29">SUM(B20:B28)</f>
        <v>213043650</v>
      </c>
      <c r="C29" s="30">
        <f t="shared" si="3"/>
        <v>98895908</v>
      </c>
      <c r="D29" s="30">
        <f t="shared" si="3"/>
        <v>56697824</v>
      </c>
      <c r="E29" s="30">
        <f t="shared" si="3"/>
        <v>57059014</v>
      </c>
      <c r="F29" s="30">
        <f t="shared" si="3"/>
        <v>-112369</v>
      </c>
      <c r="G29" s="30">
        <f t="shared" si="3"/>
        <v>503273</v>
      </c>
    </row>
    <row r="30" spans="2:7" ht="12.75">
      <c r="B30" s="16"/>
      <c r="C30" s="16"/>
      <c r="D30" s="16"/>
      <c r="E30" s="16"/>
      <c r="F30" s="16"/>
      <c r="G30" s="16"/>
    </row>
    <row r="31" spans="1:7" ht="12.75">
      <c r="A31" s="48" t="s">
        <v>196</v>
      </c>
      <c r="B31" s="16"/>
      <c r="C31" s="16"/>
      <c r="D31" s="16"/>
      <c r="E31" s="16"/>
      <c r="F31" s="16"/>
      <c r="G31" s="16"/>
    </row>
    <row r="32" spans="1:7" ht="12.75">
      <c r="A32" s="4" t="s">
        <v>155</v>
      </c>
      <c r="B32" s="16">
        <f>SUM(C32:G32)</f>
        <v>24258877</v>
      </c>
      <c r="C32" s="16">
        <v>4867636</v>
      </c>
      <c r="D32" s="16">
        <v>3939302</v>
      </c>
      <c r="E32" s="16">
        <v>12314179</v>
      </c>
      <c r="F32" s="16">
        <v>2893606</v>
      </c>
      <c r="G32" s="16">
        <v>244154</v>
      </c>
    </row>
    <row r="33" spans="1:7" ht="12.75">
      <c r="A33" s="4" t="s">
        <v>157</v>
      </c>
      <c r="B33" s="16">
        <f aca="true" t="shared" si="4" ref="B33:B40">SUM(C33:G33)</f>
        <v>272328842</v>
      </c>
      <c r="C33" s="16">
        <v>74730080</v>
      </c>
      <c r="D33" s="16">
        <v>57644952</v>
      </c>
      <c r="E33" s="16">
        <v>98073110</v>
      </c>
      <c r="F33" s="16">
        <v>36864948</v>
      </c>
      <c r="G33" s="16">
        <v>5015752</v>
      </c>
    </row>
    <row r="34" spans="1:7" ht="12.75">
      <c r="A34" s="4" t="s">
        <v>159</v>
      </c>
      <c r="B34" s="16">
        <f t="shared" si="4"/>
        <v>66788131</v>
      </c>
      <c r="C34" s="16">
        <v>20058933</v>
      </c>
      <c r="D34" s="16">
        <v>15511252</v>
      </c>
      <c r="E34" s="16">
        <v>19822206</v>
      </c>
      <c r="F34" s="16">
        <v>10340335</v>
      </c>
      <c r="G34" s="16">
        <v>1055405</v>
      </c>
    </row>
    <row r="35" spans="1:7" ht="12.75">
      <c r="A35" s="4" t="s">
        <v>160</v>
      </c>
      <c r="B35" s="16">
        <f t="shared" si="4"/>
        <v>89826284</v>
      </c>
      <c r="C35" s="16">
        <v>29877533</v>
      </c>
      <c r="D35" s="16">
        <v>22281644</v>
      </c>
      <c r="E35" s="16">
        <v>22196526</v>
      </c>
      <c r="F35" s="16">
        <v>13117496</v>
      </c>
      <c r="G35" s="16">
        <v>2353085</v>
      </c>
    </row>
    <row r="36" spans="1:7" ht="12.75">
      <c r="A36" s="4" t="s">
        <v>158</v>
      </c>
      <c r="B36" s="16">
        <f t="shared" si="4"/>
        <v>349358286</v>
      </c>
      <c r="C36" s="16">
        <v>91878364</v>
      </c>
      <c r="D36" s="16">
        <v>72358551</v>
      </c>
      <c r="E36" s="16">
        <v>136229783</v>
      </c>
      <c r="F36" s="16">
        <v>42982547</v>
      </c>
      <c r="G36" s="16">
        <v>5909041</v>
      </c>
    </row>
    <row r="37" spans="1:7" ht="12.75">
      <c r="A37" s="4" t="s">
        <v>373</v>
      </c>
      <c r="B37" s="16">
        <f t="shared" si="4"/>
        <v>45199577</v>
      </c>
      <c r="C37" s="16">
        <v>12680186</v>
      </c>
      <c r="D37" s="16">
        <v>9798110</v>
      </c>
      <c r="E37" s="16">
        <v>15623553</v>
      </c>
      <c r="F37" s="16">
        <v>6365456</v>
      </c>
      <c r="G37" s="16">
        <v>732272</v>
      </c>
    </row>
    <row r="38" spans="1:7" ht="12.75">
      <c r="A38" s="4" t="s">
        <v>182</v>
      </c>
      <c r="B38" s="16">
        <f t="shared" si="4"/>
        <v>13919000</v>
      </c>
      <c r="C38" s="16">
        <v>4281130</v>
      </c>
      <c r="D38" s="16">
        <v>3079767</v>
      </c>
      <c r="E38" s="16">
        <v>4030106</v>
      </c>
      <c r="F38" s="16">
        <v>2196579</v>
      </c>
      <c r="G38" s="16">
        <v>331418</v>
      </c>
    </row>
    <row r="39" spans="1:7" ht="12.75">
      <c r="A39" s="4" t="s">
        <v>201</v>
      </c>
      <c r="B39" s="16">
        <f t="shared" si="4"/>
        <v>1506186</v>
      </c>
      <c r="C39" s="16">
        <v>767622</v>
      </c>
      <c r="D39" s="16">
        <v>531547</v>
      </c>
      <c r="E39" s="16">
        <v>0</v>
      </c>
      <c r="F39" s="16">
        <v>155632</v>
      </c>
      <c r="G39" s="16">
        <v>51385</v>
      </c>
    </row>
    <row r="40" spans="1:7" ht="12.75">
      <c r="A40" s="4" t="s">
        <v>296</v>
      </c>
      <c r="B40" s="16">
        <f t="shared" si="4"/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12.75">
      <c r="A41" s="4" t="s">
        <v>377</v>
      </c>
      <c r="B41" s="30">
        <f aca="true" t="shared" si="5" ref="B41:G41">SUM(B32:B40)</f>
        <v>863185183</v>
      </c>
      <c r="C41" s="30">
        <f t="shared" si="5"/>
        <v>239141484</v>
      </c>
      <c r="D41" s="30">
        <f t="shared" si="5"/>
        <v>185145125</v>
      </c>
      <c r="E41" s="30">
        <f t="shared" si="5"/>
        <v>308289463</v>
      </c>
      <c r="F41" s="30">
        <f t="shared" si="5"/>
        <v>114916599</v>
      </c>
      <c r="G41" s="30">
        <f t="shared" si="5"/>
        <v>15692512</v>
      </c>
    </row>
    <row r="42" spans="2:7" ht="12.75">
      <c r="B42" s="16"/>
      <c r="C42" s="16"/>
      <c r="D42" s="16"/>
      <c r="E42" s="16"/>
      <c r="F42" s="16"/>
      <c r="G42" s="16"/>
    </row>
    <row r="43" spans="1:7" ht="12.75">
      <c r="A43" s="48" t="s">
        <v>378</v>
      </c>
      <c r="B43" s="16"/>
      <c r="C43" s="16"/>
      <c r="D43" s="16"/>
      <c r="E43" s="16"/>
      <c r="F43" s="16"/>
      <c r="G43" s="16"/>
    </row>
    <row r="44" spans="1:7" ht="12.75">
      <c r="A44" s="4" t="s">
        <v>155</v>
      </c>
      <c r="B44" s="16">
        <f>SUM(C44:G44)</f>
        <v>3381855</v>
      </c>
      <c r="C44" s="16">
        <v>1986116</v>
      </c>
      <c r="D44" s="16">
        <v>255591</v>
      </c>
      <c r="E44" s="16">
        <v>575973</v>
      </c>
      <c r="F44" s="16">
        <v>524961</v>
      </c>
      <c r="G44" s="16">
        <v>39214</v>
      </c>
    </row>
    <row r="45" spans="1:7" ht="12.75">
      <c r="A45" s="4" t="s">
        <v>157</v>
      </c>
      <c r="B45" s="16">
        <f aca="true" t="shared" si="6" ref="B45:B52">SUM(C45:G45)</f>
        <v>26503131</v>
      </c>
      <c r="C45" s="16">
        <v>31195219</v>
      </c>
      <c r="D45" s="16">
        <v>-3388401</v>
      </c>
      <c r="E45" s="16">
        <v>-10108261</v>
      </c>
      <c r="F45" s="16">
        <v>7162148</v>
      </c>
      <c r="G45" s="16">
        <v>1642426</v>
      </c>
    </row>
    <row r="46" spans="1:7" ht="12.75">
      <c r="A46" s="4" t="s">
        <v>159</v>
      </c>
      <c r="B46" s="16">
        <f t="shared" si="6"/>
        <v>4119579</v>
      </c>
      <c r="C46" s="16">
        <v>6801614</v>
      </c>
      <c r="D46" s="16">
        <v>-1596202</v>
      </c>
      <c r="E46" s="16">
        <v>-3160512</v>
      </c>
      <c r="F46" s="16">
        <v>1890463</v>
      </c>
      <c r="G46" s="16">
        <v>184216</v>
      </c>
    </row>
    <row r="47" spans="1:7" ht="12.75">
      <c r="A47" s="4" t="s">
        <v>160</v>
      </c>
      <c r="B47" s="16">
        <f t="shared" si="6"/>
        <v>13708308</v>
      </c>
      <c r="C47" s="16">
        <v>13931386</v>
      </c>
      <c r="D47" s="16">
        <v>-1515050</v>
      </c>
      <c r="E47" s="16">
        <v>-2289961</v>
      </c>
      <c r="F47" s="16">
        <v>2738283</v>
      </c>
      <c r="G47" s="16">
        <v>843650</v>
      </c>
    </row>
    <row r="48" spans="1:7" ht="12.75">
      <c r="A48" s="4" t="s">
        <v>158</v>
      </c>
      <c r="B48" s="16">
        <f t="shared" si="6"/>
        <v>43399709</v>
      </c>
      <c r="C48" s="16">
        <v>43626754</v>
      </c>
      <c r="D48" s="16">
        <v>-2012456</v>
      </c>
      <c r="E48" s="16">
        <v>-8171686</v>
      </c>
      <c r="F48" s="16">
        <v>8175625</v>
      </c>
      <c r="G48" s="16">
        <v>1781472</v>
      </c>
    </row>
    <row r="49" spans="1:7" ht="12.75">
      <c r="A49" s="4" t="s">
        <v>373</v>
      </c>
      <c r="B49" s="16">
        <f t="shared" si="6"/>
        <v>7210948</v>
      </c>
      <c r="C49" s="16">
        <v>5099171</v>
      </c>
      <c r="D49" s="16">
        <v>482792</v>
      </c>
      <c r="E49" s="16">
        <v>275124</v>
      </c>
      <c r="F49" s="16">
        <v>1207317</v>
      </c>
      <c r="G49" s="16">
        <v>146544</v>
      </c>
    </row>
    <row r="50" spans="1:7" ht="12.75">
      <c r="A50" s="4" t="s">
        <v>182</v>
      </c>
      <c r="B50" s="16">
        <f t="shared" si="6"/>
        <v>1790909</v>
      </c>
      <c r="C50" s="16">
        <v>1923107</v>
      </c>
      <c r="D50" s="16">
        <v>-209280</v>
      </c>
      <c r="E50" s="16">
        <v>-492525</v>
      </c>
      <c r="F50" s="16">
        <v>451032</v>
      </c>
      <c r="G50" s="16">
        <v>118575</v>
      </c>
    </row>
    <row r="51" spans="1:7" ht="12.75">
      <c r="A51" s="4" t="s">
        <v>201</v>
      </c>
      <c r="B51" s="16">
        <f>SUM(C51:G51)</f>
        <v>441150</v>
      </c>
      <c r="C51" s="16">
        <v>432854</v>
      </c>
      <c r="D51" s="16">
        <v>-47053</v>
      </c>
      <c r="E51" s="16">
        <v>0</v>
      </c>
      <c r="F51" s="16">
        <v>33315</v>
      </c>
      <c r="G51" s="16">
        <v>22034</v>
      </c>
    </row>
    <row r="52" spans="1:7" ht="12.75">
      <c r="A52" s="4" t="s">
        <v>296</v>
      </c>
      <c r="B52" s="16">
        <f t="shared" si="6"/>
        <v>0</v>
      </c>
      <c r="C52" s="31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ht="12.75">
      <c r="A53" s="4" t="s">
        <v>379</v>
      </c>
      <c r="B53" s="30">
        <f aca="true" t="shared" si="7" ref="B53:G53">SUM(B44:B52)</f>
        <v>100555589</v>
      </c>
      <c r="C53" s="30">
        <f>SUM(C44:C52)</f>
        <v>104996221</v>
      </c>
      <c r="D53" s="30">
        <f t="shared" si="7"/>
        <v>-8030059</v>
      </c>
      <c r="E53" s="30">
        <f t="shared" si="7"/>
        <v>-23371848</v>
      </c>
      <c r="F53" s="30">
        <f t="shared" si="7"/>
        <v>22183144</v>
      </c>
      <c r="G53" s="30">
        <f t="shared" si="7"/>
        <v>4778131</v>
      </c>
    </row>
    <row r="54" spans="2:7" ht="12.75">
      <c r="B54" s="32"/>
      <c r="C54" s="32"/>
      <c r="D54" s="32"/>
      <c r="E54" s="32"/>
      <c r="F54" s="32"/>
      <c r="G54" s="32"/>
    </row>
    <row r="55" spans="1:7" ht="12.75">
      <c r="A55" s="48" t="s">
        <v>380</v>
      </c>
      <c r="B55" s="32"/>
      <c r="C55" s="32"/>
      <c r="D55" s="32"/>
      <c r="E55" s="32"/>
      <c r="F55" s="32"/>
      <c r="G55" s="32"/>
    </row>
    <row r="56" spans="1:7" ht="12.75">
      <c r="A56" s="4" t="s">
        <v>155</v>
      </c>
      <c r="B56" s="32">
        <f>SUM(C56:G56)</f>
        <v>34561055</v>
      </c>
      <c r="C56" s="32">
        <v>8810026</v>
      </c>
      <c r="D56" s="32">
        <v>5078357</v>
      </c>
      <c r="E56" s="32">
        <v>16956696</v>
      </c>
      <c r="F56" s="32">
        <v>3423762</v>
      </c>
      <c r="G56" s="32">
        <v>292214</v>
      </c>
    </row>
    <row r="57" spans="1:7" ht="12.75">
      <c r="A57" s="4" t="s">
        <v>157</v>
      </c>
      <c r="B57" s="32">
        <f aca="true" t="shared" si="8" ref="B57:B64">SUM(C57:G57)</f>
        <v>370751473</v>
      </c>
      <c r="C57" s="32">
        <v>136278091</v>
      </c>
      <c r="D57" s="32">
        <v>66896623</v>
      </c>
      <c r="E57" s="32">
        <v>117286132</v>
      </c>
      <c r="F57" s="32">
        <v>43495127</v>
      </c>
      <c r="G57" s="32">
        <v>6795500</v>
      </c>
    </row>
    <row r="58" spans="1:7" ht="12.75">
      <c r="A58" s="4" t="s">
        <v>159</v>
      </c>
      <c r="B58" s="32">
        <f t="shared" si="8"/>
        <v>88401671</v>
      </c>
      <c r="C58" s="32">
        <v>34425096</v>
      </c>
      <c r="D58" s="32">
        <v>17314143</v>
      </c>
      <c r="E58" s="32">
        <v>23134982</v>
      </c>
      <c r="F58" s="32">
        <v>12246861</v>
      </c>
      <c r="G58" s="32">
        <v>1280589</v>
      </c>
    </row>
    <row r="59" spans="1:7" ht="12.75">
      <c r="A59" s="4" t="s">
        <v>160</v>
      </c>
      <c r="B59" s="32">
        <f t="shared" si="8"/>
        <v>130513902</v>
      </c>
      <c r="C59" s="32">
        <v>56904211</v>
      </c>
      <c r="D59" s="32">
        <v>25955195</v>
      </c>
      <c r="E59" s="32">
        <v>28724291</v>
      </c>
      <c r="F59" s="32">
        <v>15663774</v>
      </c>
      <c r="G59" s="32">
        <v>3266431</v>
      </c>
    </row>
    <row r="60" spans="1:7" ht="12.75">
      <c r="A60" s="4" t="s">
        <v>158</v>
      </c>
      <c r="B60" s="32">
        <f t="shared" si="8"/>
        <v>568544125</v>
      </c>
      <c r="C60" s="32">
        <v>215454589</v>
      </c>
      <c r="D60" s="32">
        <v>118945136</v>
      </c>
      <c r="E60" s="32">
        <v>174665704</v>
      </c>
      <c r="F60" s="32">
        <v>51586374</v>
      </c>
      <c r="G60" s="32">
        <v>7892322</v>
      </c>
    </row>
    <row r="61" spans="1:7" ht="12.75">
      <c r="A61" s="4" t="s">
        <v>373</v>
      </c>
      <c r="B61" s="32">
        <f t="shared" si="8"/>
        <v>81655302</v>
      </c>
      <c r="C61" s="32">
        <v>33217510</v>
      </c>
      <c r="D61" s="32">
        <v>16825173</v>
      </c>
      <c r="E61" s="32">
        <v>23520977</v>
      </c>
      <c r="F61" s="32">
        <v>7179702</v>
      </c>
      <c r="G61" s="32">
        <v>911940</v>
      </c>
    </row>
    <row r="62" spans="1:7" ht="12.75">
      <c r="A62" s="4" t="s">
        <v>182</v>
      </c>
      <c r="B62" s="32">
        <f t="shared" si="8"/>
        <v>25822119</v>
      </c>
      <c r="C62" s="32">
        <v>11431388</v>
      </c>
      <c r="D62" s="32">
        <v>5090798</v>
      </c>
      <c r="E62" s="32">
        <v>6364341</v>
      </c>
      <c r="F62" s="32">
        <v>2475922</v>
      </c>
      <c r="G62" s="32">
        <v>459670</v>
      </c>
    </row>
    <row r="63" spans="1:7" ht="12.75">
      <c r="A63" s="4" t="s">
        <v>201</v>
      </c>
      <c r="B63" s="32">
        <f t="shared" si="8"/>
        <v>2933527</v>
      </c>
      <c r="C63" s="32">
        <v>1892145</v>
      </c>
      <c r="D63" s="32">
        <v>783605</v>
      </c>
      <c r="E63" s="32">
        <v>0</v>
      </c>
      <c r="F63" s="32">
        <v>182527</v>
      </c>
      <c r="G63" s="32">
        <v>75250</v>
      </c>
    </row>
    <row r="64" spans="1:7" ht="12.75">
      <c r="A64" s="4" t="s">
        <v>296</v>
      </c>
      <c r="B64" s="32">
        <f t="shared" si="8"/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ht="13.5" thickBot="1">
      <c r="A65" s="4" t="s">
        <v>144</v>
      </c>
      <c r="B65" s="33">
        <f aca="true" t="shared" si="9" ref="B65:G65">+B53+B41+B29+B17</f>
        <v>1303183174</v>
      </c>
      <c r="C65" s="33">
        <f t="shared" si="9"/>
        <v>498413056</v>
      </c>
      <c r="D65" s="33">
        <f t="shared" si="9"/>
        <v>256889030</v>
      </c>
      <c r="E65" s="33">
        <f t="shared" si="9"/>
        <v>390653123</v>
      </c>
      <c r="F65" s="33">
        <f t="shared" si="9"/>
        <v>136254049</v>
      </c>
      <c r="G65" s="33">
        <f t="shared" si="9"/>
        <v>20973916</v>
      </c>
    </row>
    <row r="66" ht="13.5" thickTop="1"/>
    <row r="67" spans="1:8" ht="12.75">
      <c r="A67" s="4" t="s">
        <v>390</v>
      </c>
      <c r="B67" s="36">
        <f>SUM(C67:F67)</f>
        <v>1</v>
      </c>
      <c r="C67" s="35">
        <v>0.4230604320307921</v>
      </c>
      <c r="D67" s="35">
        <v>0.18176470515710805</v>
      </c>
      <c r="E67" s="35">
        <v>0.32240038625687467</v>
      </c>
      <c r="F67" s="35">
        <v>0.07277447655522512</v>
      </c>
      <c r="G67" s="35">
        <v>0</v>
      </c>
      <c r="H67" s="50"/>
    </row>
    <row r="68" spans="1:7" ht="12.75">
      <c r="A68" s="4" t="s">
        <v>391</v>
      </c>
      <c r="B68" s="37">
        <f>SUM(C68:F68)</f>
        <v>136254048.99999997</v>
      </c>
      <c r="C68" s="16">
        <f>+$F$65*C67</f>
        <v>57643696.83588471</v>
      </c>
      <c r="D68" s="16">
        <f>+$F$65*D67</f>
        <v>24766177.04294715</v>
      </c>
      <c r="E68" s="16">
        <f>+$F$65*E67</f>
        <v>43928358.026663125</v>
      </c>
      <c r="F68" s="16">
        <f>+$F$65*F67</f>
        <v>9915817.094504995</v>
      </c>
      <c r="G68" s="16">
        <f>+$F$65*G67</f>
        <v>0</v>
      </c>
    </row>
    <row r="69" spans="1:7" ht="12.75">
      <c r="A69" s="4" t="s">
        <v>392</v>
      </c>
      <c r="B69" s="38">
        <f>SUM(C69:F69)</f>
        <v>20973916</v>
      </c>
      <c r="C69" s="39">
        <f>+G65</f>
        <v>20973916</v>
      </c>
      <c r="D69" s="40"/>
      <c r="E69" s="40"/>
      <c r="F69" s="40"/>
      <c r="G69" s="40"/>
    </row>
    <row r="70" spans="1:7" ht="12.75">
      <c r="A70" s="52" t="s">
        <v>393</v>
      </c>
      <c r="B70" s="37">
        <f>SUM(C70:F70)</f>
        <v>1303183174</v>
      </c>
      <c r="C70" s="16">
        <f>+C65+C68+C69</f>
        <v>577030668.8358847</v>
      </c>
      <c r="D70" s="16">
        <f>+D65+D68+D69</f>
        <v>281655207.0429472</v>
      </c>
      <c r="E70" s="16">
        <f>+E65+E68+E69</f>
        <v>434581481.0266631</v>
      </c>
      <c r="F70" s="16">
        <f>+F68+F69</f>
        <v>9915817.094504995</v>
      </c>
      <c r="G70" s="16">
        <f>+G68+G69</f>
        <v>0</v>
      </c>
    </row>
    <row r="71" spans="3:7" ht="12.75">
      <c r="C71" s="34"/>
      <c r="D71" s="34"/>
      <c r="E71" s="34"/>
      <c r="F71" s="34"/>
      <c r="G71" s="34"/>
    </row>
    <row r="72" spans="1:7" ht="13.5" thickBot="1">
      <c r="A72" s="34" t="s">
        <v>394</v>
      </c>
      <c r="B72" s="53">
        <f>SUM(C72:F72)</f>
        <v>1</v>
      </c>
      <c r="C72" s="53">
        <f>+C70/$B$70</f>
        <v>0.4427855426223334</v>
      </c>
      <c r="D72" s="53">
        <f>+D70/$B$70</f>
        <v>0.21612863998115678</v>
      </c>
      <c r="E72" s="53">
        <f>+E70/$B$70</f>
        <v>0.33347689695283245</v>
      </c>
      <c r="F72" s="53">
        <f>+F70/$B$70</f>
        <v>0.007608920443677394</v>
      </c>
      <c r="G72" s="53">
        <f>+G70/$B$70</f>
        <v>0</v>
      </c>
    </row>
    <row r="73" ht="13.5" thickTop="1"/>
    <row r="74" spans="1:7" ht="12.75">
      <c r="A74" s="46"/>
      <c r="B74" s="46"/>
      <c r="C74" s="47"/>
      <c r="D74" s="47"/>
      <c r="E74" s="47"/>
      <c r="F74" s="47"/>
      <c r="G74" s="47"/>
    </row>
    <row r="75" spans="1:7" ht="12.75">
      <c r="A75" s="46"/>
      <c r="B75" s="46"/>
      <c r="C75" s="47"/>
      <c r="D75" s="47"/>
      <c r="E75" s="47"/>
      <c r="F75" s="47"/>
      <c r="G75" s="47"/>
    </row>
    <row r="76" spans="1:7" ht="12.75">
      <c r="A76" s="46"/>
      <c r="B76" s="46"/>
      <c r="C76" s="47"/>
      <c r="D76" s="47"/>
      <c r="E76" s="47"/>
      <c r="F76" s="47"/>
      <c r="G76" s="47"/>
    </row>
    <row r="77" spans="1:7" ht="12.75">
      <c r="A77" s="46"/>
      <c r="B77" s="46"/>
      <c r="C77" s="47"/>
      <c r="D77" s="47"/>
      <c r="E77" s="47"/>
      <c r="F77" s="47"/>
      <c r="G77" s="47"/>
    </row>
    <row r="78" spans="1:7" ht="12.75">
      <c r="A78" s="46"/>
      <c r="B78" s="46"/>
      <c r="C78" s="47"/>
      <c r="D78" s="47"/>
      <c r="E78" s="47"/>
      <c r="F78" s="47"/>
      <c r="G78" s="47"/>
    </row>
    <row r="79" spans="1:7" ht="12.75">
      <c r="A79" s="46"/>
      <c r="B79" s="46"/>
      <c r="C79" s="47"/>
      <c r="D79" s="47"/>
      <c r="E79" s="47"/>
      <c r="F79" s="47"/>
      <c r="G79" s="47"/>
    </row>
    <row r="80" spans="1:7" ht="12.75">
      <c r="A80" s="46"/>
      <c r="B80" s="46"/>
      <c r="C80" s="47"/>
      <c r="D80" s="47"/>
      <c r="E80" s="47"/>
      <c r="F80" s="47"/>
      <c r="G80" s="47"/>
    </row>
    <row r="81" spans="1:7" ht="12.75">
      <c r="A81" s="46"/>
      <c r="B81" s="46"/>
      <c r="C81" s="47"/>
      <c r="D81" s="47"/>
      <c r="E81" s="47"/>
      <c r="F81" s="47"/>
      <c r="G81" s="47"/>
    </row>
    <row r="82" spans="1:7" ht="12.75">
      <c r="A82" s="46"/>
      <c r="B82" s="46"/>
      <c r="C82" s="47"/>
      <c r="D82" s="47"/>
      <c r="E82" s="47"/>
      <c r="F82" s="47"/>
      <c r="G82" s="47"/>
    </row>
    <row r="83" spans="1:7" ht="12.75">
      <c r="A83" s="46"/>
      <c r="B83" s="46"/>
      <c r="C83" s="47"/>
      <c r="D83" s="47"/>
      <c r="E83" s="47"/>
      <c r="F83" s="47"/>
      <c r="G83" s="47"/>
    </row>
    <row r="84" spans="1:7" ht="12.75">
      <c r="A84" s="46"/>
      <c r="B84" s="46"/>
      <c r="C84" s="47"/>
      <c r="D84" s="47"/>
      <c r="E84" s="47"/>
      <c r="F84" s="47"/>
      <c r="G84" s="47"/>
    </row>
    <row r="85" spans="1:7" ht="12.75">
      <c r="A85" s="46"/>
      <c r="B85" s="46"/>
      <c r="C85" s="47"/>
      <c r="D85" s="47"/>
      <c r="E85" s="47"/>
      <c r="F85" s="47"/>
      <c r="G85" s="47"/>
    </row>
    <row r="86" spans="1:7" ht="12.75">
      <c r="A86" s="46"/>
      <c r="B86" s="46"/>
      <c r="C86" s="47"/>
      <c r="D86" s="47"/>
      <c r="E86" s="47"/>
      <c r="F86" s="47"/>
      <c r="G86" s="47"/>
    </row>
    <row r="87" spans="1:7" ht="12.75">
      <c r="A87" s="46"/>
      <c r="B87" s="46"/>
      <c r="C87" s="47"/>
      <c r="D87" s="47"/>
      <c r="E87" s="47"/>
      <c r="F87" s="47"/>
      <c r="G87" s="47"/>
    </row>
    <row r="88" spans="1:7" ht="12.75">
      <c r="A88" s="46"/>
      <c r="B88" s="46"/>
      <c r="C88" s="47"/>
      <c r="D88" s="47"/>
      <c r="E88" s="47"/>
      <c r="F88" s="47"/>
      <c r="G88" s="47"/>
    </row>
    <row r="89" spans="1:7" ht="12.75">
      <c r="A89" s="46"/>
      <c r="B89" s="46"/>
      <c r="C89" s="47"/>
      <c r="D89" s="47"/>
      <c r="E89" s="47"/>
      <c r="F89" s="47"/>
      <c r="G89" s="47"/>
    </row>
    <row r="90" spans="1:7" ht="12.75">
      <c r="A90" s="46"/>
      <c r="B90" s="46"/>
      <c r="C90" s="47"/>
      <c r="D90" s="47"/>
      <c r="E90" s="47"/>
      <c r="F90" s="47"/>
      <c r="G90" s="47"/>
    </row>
    <row r="91" spans="1:7" ht="12.75">
      <c r="A91" s="46"/>
      <c r="B91" s="46"/>
      <c r="C91" s="47"/>
      <c r="D91" s="47"/>
      <c r="E91" s="47"/>
      <c r="F91" s="47"/>
      <c r="G91" s="47"/>
    </row>
    <row r="92" spans="1:7" ht="12.75">
      <c r="A92" s="46"/>
      <c r="B92" s="46"/>
      <c r="C92" s="47"/>
      <c r="D92" s="47"/>
      <c r="E92" s="47"/>
      <c r="F92" s="47"/>
      <c r="G92" s="47"/>
    </row>
    <row r="93" spans="1:7" ht="12.75">
      <c r="A93" s="46"/>
      <c r="B93" s="46"/>
      <c r="C93" s="47"/>
      <c r="D93" s="47"/>
      <c r="E93" s="47"/>
      <c r="F93" s="47"/>
      <c r="G93" s="47"/>
    </row>
    <row r="94" spans="1:7" ht="12.75">
      <c r="A94" s="46"/>
      <c r="B94" s="46"/>
      <c r="C94" s="47"/>
      <c r="D94" s="47"/>
      <c r="E94" s="47"/>
      <c r="F94" s="47"/>
      <c r="G94" s="47"/>
    </row>
    <row r="95" spans="1:7" ht="12.75">
      <c r="A95" s="46"/>
      <c r="B95" s="46"/>
      <c r="C95" s="47"/>
      <c r="D95" s="47"/>
      <c r="E95" s="47"/>
      <c r="F95" s="47"/>
      <c r="G95" s="47"/>
    </row>
    <row r="96" spans="1:7" ht="12.75">
      <c r="A96" s="46"/>
      <c r="B96" s="46"/>
      <c r="C96" s="47"/>
      <c r="D96" s="47"/>
      <c r="E96" s="47"/>
      <c r="F96" s="47"/>
      <c r="G96" s="47"/>
    </row>
    <row r="97" spans="1:7" ht="12.75">
      <c r="A97" s="46"/>
      <c r="B97" s="46"/>
      <c r="C97" s="47"/>
      <c r="D97" s="47"/>
      <c r="E97" s="47"/>
      <c r="F97" s="47"/>
      <c r="G97" s="47"/>
    </row>
    <row r="98" spans="1:7" ht="12.75">
      <c r="A98" s="46"/>
      <c r="B98" s="46"/>
      <c r="C98" s="47"/>
      <c r="D98" s="47"/>
      <c r="E98" s="47"/>
      <c r="F98" s="47"/>
      <c r="G98" s="47"/>
    </row>
    <row r="99" spans="1:7" ht="12.75">
      <c r="A99" s="46"/>
      <c r="B99" s="46"/>
      <c r="C99" s="47"/>
      <c r="D99" s="47"/>
      <c r="E99" s="47"/>
      <c r="F99" s="47"/>
      <c r="G99" s="47"/>
    </row>
    <row r="100" spans="1:7" ht="12.75">
      <c r="A100" s="46"/>
      <c r="B100" s="46"/>
      <c r="C100" s="47"/>
      <c r="D100" s="47"/>
      <c r="E100" s="47"/>
      <c r="F100" s="47"/>
      <c r="G100" s="47"/>
    </row>
    <row r="101" spans="1:7" ht="12.75">
      <c r="A101" s="46"/>
      <c r="B101" s="46"/>
      <c r="C101" s="47"/>
      <c r="D101" s="47"/>
      <c r="E101" s="47"/>
      <c r="F101" s="47"/>
      <c r="G101" s="47"/>
    </row>
    <row r="102" spans="1:7" ht="12.75">
      <c r="A102" s="46"/>
      <c r="B102" s="46"/>
      <c r="C102" s="47"/>
      <c r="D102" s="47"/>
      <c r="E102" s="47"/>
      <c r="F102" s="47"/>
      <c r="G102" s="47"/>
    </row>
    <row r="103" spans="1:7" ht="12.75">
      <c r="A103" s="46"/>
      <c r="B103" s="46"/>
      <c r="C103" s="47"/>
      <c r="D103" s="47"/>
      <c r="E103" s="47"/>
      <c r="F103" s="47"/>
      <c r="G103" s="47"/>
    </row>
    <row r="104" spans="1:7" ht="12.75">
      <c r="A104" s="46"/>
      <c r="B104" s="46"/>
      <c r="C104" s="47"/>
      <c r="D104" s="47"/>
      <c r="E104" s="47"/>
      <c r="F104" s="47"/>
      <c r="G104" s="47"/>
    </row>
    <row r="105" spans="1:7" ht="12.75">
      <c r="A105" s="46"/>
      <c r="B105" s="46"/>
      <c r="C105" s="47"/>
      <c r="D105" s="47"/>
      <c r="E105" s="47"/>
      <c r="F105" s="47"/>
      <c r="G105" s="47"/>
    </row>
    <row r="106" spans="1:7" ht="12.75">
      <c r="A106" s="46"/>
      <c r="B106" s="46"/>
      <c r="C106" s="47"/>
      <c r="D106" s="47"/>
      <c r="E106" s="47"/>
      <c r="F106" s="47"/>
      <c r="G106" s="47"/>
    </row>
    <row r="107" spans="1:7" ht="12.75">
      <c r="A107" s="46"/>
      <c r="B107" s="46"/>
      <c r="C107" s="47"/>
      <c r="D107" s="47"/>
      <c r="E107" s="47"/>
      <c r="F107" s="47"/>
      <c r="G107" s="47"/>
    </row>
    <row r="108" spans="1:7" ht="12.75">
      <c r="A108" s="46"/>
      <c r="B108" s="46"/>
      <c r="C108" s="47"/>
      <c r="D108" s="47"/>
      <c r="E108" s="47"/>
      <c r="F108" s="47"/>
      <c r="G108" s="47"/>
    </row>
    <row r="109" spans="1:7" ht="12.75">
      <c r="A109" s="46"/>
      <c r="B109" s="46"/>
      <c r="C109" s="47"/>
      <c r="D109" s="47"/>
      <c r="E109" s="47"/>
      <c r="F109" s="47"/>
      <c r="G109" s="47"/>
    </row>
    <row r="110" spans="1:7" ht="12.75">
      <c r="A110" s="46"/>
      <c r="B110" s="46"/>
      <c r="C110" s="47"/>
      <c r="D110" s="47"/>
      <c r="E110" s="47"/>
      <c r="F110" s="47"/>
      <c r="G110" s="47"/>
    </row>
    <row r="111" spans="1:7" ht="12.75">
      <c r="A111" s="46"/>
      <c r="B111" s="46"/>
      <c r="C111" s="47"/>
      <c r="D111" s="47"/>
      <c r="E111" s="47"/>
      <c r="F111" s="47"/>
      <c r="G111" s="47"/>
    </row>
    <row r="112" spans="1:7" ht="12.75">
      <c r="A112" s="46"/>
      <c r="B112" s="46"/>
      <c r="C112" s="47"/>
      <c r="D112" s="47"/>
      <c r="E112" s="47"/>
      <c r="F112" s="47"/>
      <c r="G112" s="47"/>
    </row>
    <row r="113" spans="1:7" ht="12.75">
      <c r="A113" s="46"/>
      <c r="B113" s="46"/>
      <c r="C113" s="47"/>
      <c r="D113" s="47"/>
      <c r="E113" s="47"/>
      <c r="F113" s="47"/>
      <c r="G113" s="47"/>
    </row>
    <row r="114" spans="1:7" ht="12.75">
      <c r="A114" s="46"/>
      <c r="B114" s="46"/>
      <c r="C114" s="47"/>
      <c r="D114" s="47"/>
      <c r="E114" s="47"/>
      <c r="F114" s="47"/>
      <c r="G114" s="47"/>
    </row>
    <row r="115" spans="1:7" ht="12.75">
      <c r="A115" s="46"/>
      <c r="B115" s="46"/>
      <c r="C115" s="47"/>
      <c r="D115" s="47"/>
      <c r="E115" s="47"/>
      <c r="F115" s="47"/>
      <c r="G115" s="47"/>
    </row>
    <row r="116" spans="1:7" ht="12.75">
      <c r="A116" s="46"/>
      <c r="B116" s="46"/>
      <c r="C116" s="47"/>
      <c r="D116" s="47"/>
      <c r="E116" s="47"/>
      <c r="F116" s="47"/>
      <c r="G116" s="47"/>
    </row>
    <row r="117" spans="1:7" ht="12.75">
      <c r="A117" s="46"/>
      <c r="B117" s="46"/>
      <c r="C117" s="47"/>
      <c r="D117" s="47"/>
      <c r="E117" s="47"/>
      <c r="F117" s="47"/>
      <c r="G117" s="47"/>
    </row>
    <row r="118" spans="1:7" ht="12.75">
      <c r="A118" s="46"/>
      <c r="B118" s="46"/>
      <c r="C118" s="47"/>
      <c r="D118" s="47"/>
      <c r="E118" s="47"/>
      <c r="F118" s="47"/>
      <c r="G118" s="47"/>
    </row>
    <row r="119" spans="1:7" ht="12.75">
      <c r="A119" s="46"/>
      <c r="B119" s="46"/>
      <c r="C119" s="47"/>
      <c r="D119" s="47"/>
      <c r="E119" s="47"/>
      <c r="F119" s="47"/>
      <c r="G119" s="47"/>
    </row>
    <row r="120" spans="1:7" ht="12.75">
      <c r="A120" s="46"/>
      <c r="B120" s="46"/>
      <c r="C120" s="47"/>
      <c r="D120" s="47"/>
      <c r="E120" s="47"/>
      <c r="F120" s="47"/>
      <c r="G120" s="47"/>
    </row>
    <row r="121" spans="1:7" ht="12.75">
      <c r="A121" s="46"/>
      <c r="B121" s="46"/>
      <c r="C121" s="47"/>
      <c r="D121" s="47"/>
      <c r="E121" s="47"/>
      <c r="F121" s="47"/>
      <c r="G121" s="47"/>
    </row>
    <row r="122" spans="1:7" ht="12.75">
      <c r="A122" s="46"/>
      <c r="B122" s="46"/>
      <c r="C122" s="47"/>
      <c r="D122" s="47"/>
      <c r="E122" s="47"/>
      <c r="F122" s="47"/>
      <c r="G122" s="47"/>
    </row>
    <row r="123" spans="1:7" ht="12.75">
      <c r="A123" s="46"/>
      <c r="B123" s="46"/>
      <c r="C123" s="47"/>
      <c r="D123" s="47"/>
      <c r="E123" s="47"/>
      <c r="F123" s="47"/>
      <c r="G123" s="47"/>
    </row>
    <row r="124" spans="1:7" ht="12.75">
      <c r="A124" s="46"/>
      <c r="B124" s="46"/>
      <c r="C124" s="47"/>
      <c r="D124" s="47"/>
      <c r="E124" s="47"/>
      <c r="F124" s="47"/>
      <c r="G124" s="47"/>
    </row>
    <row r="125" spans="1:7" ht="12.75">
      <c r="A125" s="46"/>
      <c r="B125" s="46"/>
      <c r="C125" s="47"/>
      <c r="D125" s="47"/>
      <c r="E125" s="47"/>
      <c r="F125" s="47"/>
      <c r="G125" s="47"/>
    </row>
    <row r="126" spans="1:7" ht="12.75">
      <c r="A126" s="46"/>
      <c r="B126" s="46"/>
      <c r="C126" s="47"/>
      <c r="D126" s="47"/>
      <c r="E126" s="47"/>
      <c r="F126" s="47"/>
      <c r="G126" s="47"/>
    </row>
    <row r="127" spans="1:7" ht="12.75">
      <c r="A127" s="46"/>
      <c r="B127" s="46"/>
      <c r="C127" s="47"/>
      <c r="D127" s="47"/>
      <c r="E127" s="47"/>
      <c r="F127" s="47"/>
      <c r="G127" s="47"/>
    </row>
    <row r="128" spans="1:7" ht="12.75">
      <c r="A128" s="46"/>
      <c r="B128" s="46"/>
      <c r="C128" s="47"/>
      <c r="D128" s="47"/>
      <c r="E128" s="47"/>
      <c r="F128" s="47"/>
      <c r="G128" s="47"/>
    </row>
    <row r="129" spans="1:7" ht="12.75">
      <c r="A129" s="46"/>
      <c r="B129" s="46"/>
      <c r="C129" s="47"/>
      <c r="D129" s="47"/>
      <c r="E129" s="47"/>
      <c r="F129" s="47"/>
      <c r="G129" s="47"/>
    </row>
    <row r="130" spans="1:7" ht="12.75">
      <c r="A130" s="46"/>
      <c r="B130" s="46"/>
      <c r="C130" s="47"/>
      <c r="D130" s="47"/>
      <c r="E130" s="47"/>
      <c r="F130" s="47"/>
      <c r="G130" s="47"/>
    </row>
    <row r="131" spans="1:7" ht="12.75">
      <c r="A131" s="46"/>
      <c r="B131" s="46"/>
      <c r="C131" s="47"/>
      <c r="D131" s="47"/>
      <c r="E131" s="47"/>
      <c r="F131" s="47"/>
      <c r="G131" s="47"/>
    </row>
    <row r="132" spans="1:7" ht="12.75">
      <c r="A132" s="46"/>
      <c r="B132" s="46"/>
      <c r="C132" s="47"/>
      <c r="D132" s="47"/>
      <c r="E132" s="47"/>
      <c r="F132" s="47"/>
      <c r="G132" s="47"/>
    </row>
    <row r="133" spans="1:7" ht="12.75">
      <c r="A133" s="46"/>
      <c r="B133" s="46"/>
      <c r="C133" s="47"/>
      <c r="D133" s="47"/>
      <c r="E133" s="47"/>
      <c r="F133" s="47"/>
      <c r="G133" s="47"/>
    </row>
    <row r="134" spans="1:7" ht="12.75">
      <c r="A134" s="46"/>
      <c r="B134" s="46"/>
      <c r="C134" s="47"/>
      <c r="D134" s="47"/>
      <c r="E134" s="47"/>
      <c r="F134" s="47"/>
      <c r="G134" s="47"/>
    </row>
    <row r="135" spans="1:7" ht="12.75">
      <c r="A135" s="46"/>
      <c r="B135" s="46"/>
      <c r="C135" s="47"/>
      <c r="D135" s="47"/>
      <c r="E135" s="47"/>
      <c r="F135" s="47"/>
      <c r="G135" s="47"/>
    </row>
    <row r="136" spans="1:7" ht="12.75">
      <c r="A136" s="46"/>
      <c r="B136" s="46"/>
      <c r="C136" s="47"/>
      <c r="D136" s="47"/>
      <c r="E136" s="47"/>
      <c r="F136" s="47"/>
      <c r="G136" s="47"/>
    </row>
    <row r="137" spans="1:7" ht="12.75">
      <c r="A137" s="46"/>
      <c r="B137" s="46"/>
      <c r="C137" s="47"/>
      <c r="D137" s="47"/>
      <c r="E137" s="47"/>
      <c r="F137" s="47"/>
      <c r="G137" s="47"/>
    </row>
    <row r="138" spans="1:7" ht="12.75">
      <c r="A138" s="46"/>
      <c r="B138" s="46"/>
      <c r="C138" s="47"/>
      <c r="D138" s="47"/>
      <c r="E138" s="47"/>
      <c r="F138" s="47"/>
      <c r="G138" s="47"/>
    </row>
    <row r="139" spans="1:7" ht="12.75">
      <c r="A139" s="46"/>
      <c r="B139" s="46"/>
      <c r="C139" s="47"/>
      <c r="D139" s="47"/>
      <c r="E139" s="47"/>
      <c r="F139" s="47"/>
      <c r="G139" s="47"/>
    </row>
    <row r="140" spans="1:7" ht="12.75">
      <c r="A140" s="46"/>
      <c r="B140" s="46"/>
      <c r="C140" s="47"/>
      <c r="D140" s="47"/>
      <c r="E140" s="47"/>
      <c r="F140" s="47"/>
      <c r="G140" s="47"/>
    </row>
    <row r="141" spans="1:7" ht="12.75">
      <c r="A141" s="46"/>
      <c r="B141" s="46"/>
      <c r="C141" s="47"/>
      <c r="D141" s="47"/>
      <c r="E141" s="47"/>
      <c r="F141" s="47"/>
      <c r="G141" s="47"/>
    </row>
    <row r="142" spans="1:7" ht="12.75">
      <c r="A142" s="46"/>
      <c r="B142" s="46"/>
      <c r="C142" s="47"/>
      <c r="D142" s="47"/>
      <c r="E142" s="47"/>
      <c r="F142" s="47"/>
      <c r="G142" s="47"/>
    </row>
    <row r="143" spans="1:7" ht="12.75">
      <c r="A143" s="46"/>
      <c r="B143" s="46"/>
      <c r="C143" s="47"/>
      <c r="D143" s="47"/>
      <c r="E143" s="47"/>
      <c r="F143" s="47"/>
      <c r="G143" s="47"/>
    </row>
    <row r="144" spans="1:7" ht="12.75">
      <c r="A144" s="46"/>
      <c r="B144" s="46"/>
      <c r="C144" s="47"/>
      <c r="D144" s="47"/>
      <c r="E144" s="47"/>
      <c r="F144" s="47"/>
      <c r="G144" s="47"/>
    </row>
    <row r="145" spans="1:7" ht="12.75">
      <c r="A145" s="46"/>
      <c r="B145" s="46"/>
      <c r="C145" s="47"/>
      <c r="D145" s="47"/>
      <c r="E145" s="47"/>
      <c r="F145" s="47"/>
      <c r="G145" s="47"/>
    </row>
    <row r="146" spans="1:7" ht="12.75">
      <c r="A146" s="46"/>
      <c r="B146" s="46"/>
      <c r="C146" s="47"/>
      <c r="D146" s="47"/>
      <c r="E146" s="47"/>
      <c r="F146" s="47"/>
      <c r="G146" s="47"/>
    </row>
    <row r="147" spans="1:7" ht="12.75">
      <c r="A147" s="46"/>
      <c r="B147" s="46"/>
      <c r="C147" s="47"/>
      <c r="D147" s="47"/>
      <c r="E147" s="47"/>
      <c r="F147" s="47"/>
      <c r="G147" s="47"/>
    </row>
    <row r="148" spans="1:7" ht="12.75">
      <c r="A148" s="46"/>
      <c r="B148" s="46"/>
      <c r="C148" s="47"/>
      <c r="D148" s="47"/>
      <c r="E148" s="47"/>
      <c r="F148" s="47"/>
      <c r="G148" s="47"/>
    </row>
    <row r="149" spans="1:7" ht="12.75">
      <c r="A149" s="46"/>
      <c r="B149" s="46"/>
      <c r="C149" s="47"/>
      <c r="D149" s="47"/>
      <c r="E149" s="47"/>
      <c r="F149" s="47"/>
      <c r="G149" s="47"/>
    </row>
    <row r="150" spans="1:7" ht="12.75">
      <c r="A150" s="46"/>
      <c r="B150" s="46"/>
      <c r="C150" s="47"/>
      <c r="D150" s="47"/>
      <c r="E150" s="47"/>
      <c r="F150" s="47"/>
      <c r="G150" s="47"/>
    </row>
    <row r="151" spans="1:7" ht="12.75">
      <c r="A151" s="46"/>
      <c r="B151" s="46"/>
      <c r="C151" s="47"/>
      <c r="D151" s="47"/>
      <c r="E151" s="47"/>
      <c r="F151" s="47"/>
      <c r="G151" s="47"/>
    </row>
    <row r="152" spans="1:7" ht="12.75">
      <c r="A152" s="46"/>
      <c r="B152" s="46"/>
      <c r="C152" s="47"/>
      <c r="D152" s="47"/>
      <c r="E152" s="47"/>
      <c r="F152" s="47"/>
      <c r="G152" s="47"/>
    </row>
    <row r="153" spans="1:7" ht="12.75">
      <c r="A153" s="46"/>
      <c r="B153" s="46"/>
      <c r="C153" s="47"/>
      <c r="D153" s="47"/>
      <c r="E153" s="47"/>
      <c r="F153" s="47"/>
      <c r="G153" s="47"/>
    </row>
    <row r="154" spans="1:7" ht="12.75">
      <c r="A154" s="46"/>
      <c r="B154" s="46"/>
      <c r="C154" s="47"/>
      <c r="D154" s="47"/>
      <c r="E154" s="47"/>
      <c r="F154" s="47"/>
      <c r="G154" s="47"/>
    </row>
    <row r="155" spans="1:7" ht="12.75">
      <c r="A155" s="46"/>
      <c r="B155" s="46"/>
      <c r="C155" s="47"/>
      <c r="D155" s="47"/>
      <c r="E155" s="47"/>
      <c r="F155" s="47"/>
      <c r="G155" s="47"/>
    </row>
    <row r="156" spans="1:7" ht="12.75">
      <c r="A156" s="46"/>
      <c r="B156" s="46"/>
      <c r="C156" s="47"/>
      <c r="D156" s="47"/>
      <c r="E156" s="47"/>
      <c r="F156" s="47"/>
      <c r="G156" s="47"/>
    </row>
    <row r="157" spans="1:7" ht="12.75">
      <c r="A157" s="46"/>
      <c r="B157" s="46"/>
      <c r="C157" s="47"/>
      <c r="D157" s="47"/>
      <c r="E157" s="47"/>
      <c r="F157" s="47"/>
      <c r="G157" s="47"/>
    </row>
    <row r="158" spans="1:7" ht="12.75">
      <c r="A158" s="46"/>
      <c r="B158" s="46"/>
      <c r="C158" s="47"/>
      <c r="D158" s="47"/>
      <c r="E158" s="47"/>
      <c r="F158" s="47"/>
      <c r="G158" s="47"/>
    </row>
    <row r="159" spans="1:7" ht="12.75">
      <c r="A159" s="46"/>
      <c r="B159" s="46"/>
      <c r="C159" s="47"/>
      <c r="D159" s="47"/>
      <c r="E159" s="47"/>
      <c r="F159" s="47"/>
      <c r="G159" s="47"/>
    </row>
    <row r="160" spans="1:7" ht="12.75">
      <c r="A160" s="46"/>
      <c r="B160" s="46"/>
      <c r="C160" s="47"/>
      <c r="D160" s="47"/>
      <c r="E160" s="47"/>
      <c r="F160" s="47"/>
      <c r="G160" s="47"/>
    </row>
    <row r="161" spans="1:7" ht="12.75">
      <c r="A161" s="46"/>
      <c r="B161" s="46"/>
      <c r="C161" s="47"/>
      <c r="D161" s="47"/>
      <c r="E161" s="47"/>
      <c r="F161" s="47"/>
      <c r="G161" s="47"/>
    </row>
    <row r="162" spans="1:7" ht="12.75">
      <c r="A162" s="46"/>
      <c r="B162" s="46"/>
      <c r="C162" s="47"/>
      <c r="D162" s="47"/>
      <c r="E162" s="47"/>
      <c r="F162" s="47"/>
      <c r="G162" s="47"/>
    </row>
    <row r="163" spans="1:7" ht="12.75">
      <c r="A163" s="46"/>
      <c r="B163" s="46"/>
      <c r="C163" s="47"/>
      <c r="D163" s="47"/>
      <c r="E163" s="47"/>
      <c r="F163" s="47"/>
      <c r="G163" s="47"/>
    </row>
    <row r="164" spans="1:7" ht="12.75">
      <c r="A164" s="46"/>
      <c r="B164" s="46"/>
      <c r="C164" s="47"/>
      <c r="D164" s="47"/>
      <c r="E164" s="47"/>
      <c r="F164" s="47"/>
      <c r="G164" s="47"/>
    </row>
    <row r="165" spans="1:7" ht="12.75">
      <c r="A165" s="46"/>
      <c r="B165" s="46"/>
      <c r="C165" s="47"/>
      <c r="D165" s="47"/>
      <c r="E165" s="47"/>
      <c r="F165" s="47"/>
      <c r="G165" s="47"/>
    </row>
    <row r="166" spans="1:7" ht="12.75">
      <c r="A166" s="46"/>
      <c r="B166" s="46"/>
      <c r="C166" s="47"/>
      <c r="D166" s="47"/>
      <c r="E166" s="47"/>
      <c r="F166" s="47"/>
      <c r="G166" s="47"/>
    </row>
    <row r="167" spans="1:7" ht="12.75">
      <c r="A167" s="46"/>
      <c r="B167" s="46"/>
      <c r="C167" s="47"/>
      <c r="D167" s="47"/>
      <c r="E167" s="47"/>
      <c r="F167" s="47"/>
      <c r="G167" s="47"/>
    </row>
    <row r="168" spans="1:7" ht="12.75">
      <c r="A168" s="46"/>
      <c r="B168" s="46"/>
      <c r="C168" s="47"/>
      <c r="D168" s="47"/>
      <c r="E168" s="47"/>
      <c r="F168" s="47"/>
      <c r="G168" s="47"/>
    </row>
    <row r="169" spans="1:7" ht="12.75">
      <c r="A169" s="46"/>
      <c r="B169" s="46"/>
      <c r="C169" s="47"/>
      <c r="D169" s="47"/>
      <c r="E169" s="47"/>
      <c r="F169" s="47"/>
      <c r="G169" s="47"/>
    </row>
    <row r="170" spans="1:7" ht="12.75">
      <c r="A170" s="46"/>
      <c r="B170" s="46"/>
      <c r="C170" s="47"/>
      <c r="D170" s="47"/>
      <c r="E170" s="47"/>
      <c r="F170" s="47"/>
      <c r="G170" s="47"/>
    </row>
    <row r="171" spans="1:7" ht="12.75">
      <c r="A171" s="46"/>
      <c r="B171" s="46"/>
      <c r="C171" s="47"/>
      <c r="D171" s="47"/>
      <c r="E171" s="47"/>
      <c r="F171" s="47"/>
      <c r="G171" s="47"/>
    </row>
    <row r="172" spans="1:7" ht="12.75">
      <c r="A172" s="46"/>
      <c r="B172" s="46"/>
      <c r="C172" s="47"/>
      <c r="D172" s="47"/>
      <c r="E172" s="47"/>
      <c r="F172" s="47"/>
      <c r="G172" s="47"/>
    </row>
    <row r="173" spans="1:7" ht="12.75">
      <c r="A173" s="46"/>
      <c r="B173" s="46"/>
      <c r="C173" s="47"/>
      <c r="D173" s="47"/>
      <c r="E173" s="47"/>
      <c r="F173" s="47"/>
      <c r="G173" s="47"/>
    </row>
    <row r="174" spans="1:7" ht="12.75">
      <c r="A174" s="46"/>
      <c r="B174" s="46"/>
      <c r="C174" s="47"/>
      <c r="D174" s="47"/>
      <c r="E174" s="47"/>
      <c r="F174" s="47"/>
      <c r="G174" s="47"/>
    </row>
    <row r="175" spans="1:7" ht="12.75">
      <c r="A175" s="46"/>
      <c r="B175" s="46"/>
      <c r="C175" s="47"/>
      <c r="D175" s="47"/>
      <c r="E175" s="47"/>
      <c r="F175" s="47"/>
      <c r="G175" s="47"/>
    </row>
    <row r="176" spans="1:7" ht="12.75">
      <c r="A176" s="46"/>
      <c r="B176" s="46"/>
      <c r="C176" s="47"/>
      <c r="D176" s="47"/>
      <c r="E176" s="47"/>
      <c r="F176" s="47"/>
      <c r="G176" s="47"/>
    </row>
    <row r="177" spans="1:7" ht="12.75">
      <c r="A177" s="46"/>
      <c r="B177" s="46"/>
      <c r="C177" s="47"/>
      <c r="D177" s="47"/>
      <c r="E177" s="47"/>
      <c r="F177" s="47"/>
      <c r="G177" s="47"/>
    </row>
    <row r="178" spans="1:7" ht="12.75">
      <c r="A178" s="46"/>
      <c r="B178" s="46"/>
      <c r="C178" s="47"/>
      <c r="D178" s="47"/>
      <c r="E178" s="47"/>
      <c r="F178" s="47"/>
      <c r="G178" s="47"/>
    </row>
    <row r="179" spans="1:7" ht="12.75">
      <c r="A179" s="46"/>
      <c r="B179" s="46"/>
      <c r="C179" s="47"/>
      <c r="D179" s="47"/>
      <c r="E179" s="47"/>
      <c r="F179" s="47"/>
      <c r="G179" s="47"/>
    </row>
    <row r="180" spans="1:7" ht="12.75">
      <c r="A180" s="46"/>
      <c r="B180" s="46"/>
      <c r="C180" s="47"/>
      <c r="D180" s="47"/>
      <c r="E180" s="47"/>
      <c r="F180" s="47"/>
      <c r="G180" s="47"/>
    </row>
    <row r="181" spans="1:7" ht="12.75">
      <c r="A181" s="46"/>
      <c r="B181" s="46"/>
      <c r="C181" s="47"/>
      <c r="D181" s="47"/>
      <c r="E181" s="47"/>
      <c r="F181" s="47"/>
      <c r="G181" s="47"/>
    </row>
    <row r="182" spans="1:7" ht="12.75">
      <c r="A182" s="46"/>
      <c r="B182" s="46"/>
      <c r="C182" s="47"/>
      <c r="D182" s="47"/>
      <c r="E182" s="47"/>
      <c r="F182" s="47"/>
      <c r="G182" s="47"/>
    </row>
    <row r="183" spans="1:7" ht="12.75">
      <c r="A183" s="46"/>
      <c r="B183" s="46"/>
      <c r="C183" s="47"/>
      <c r="D183" s="47"/>
      <c r="E183" s="47"/>
      <c r="F183" s="47"/>
      <c r="G183" s="47"/>
    </row>
    <row r="184" spans="1:7" ht="12.75">
      <c r="A184" s="46"/>
      <c r="B184" s="46"/>
      <c r="C184" s="47"/>
      <c r="D184" s="47"/>
      <c r="E184" s="47"/>
      <c r="F184" s="47"/>
      <c r="G184" s="47"/>
    </row>
    <row r="185" spans="1:7" ht="12.75">
      <c r="A185" s="46"/>
      <c r="B185" s="46"/>
      <c r="C185" s="47"/>
      <c r="D185" s="47"/>
      <c r="E185" s="47"/>
      <c r="F185" s="47"/>
      <c r="G185" s="47"/>
    </row>
    <row r="186" spans="1:7" ht="12.75">
      <c r="A186" s="46"/>
      <c r="B186" s="46"/>
      <c r="C186" s="47"/>
      <c r="D186" s="47"/>
      <c r="E186" s="47"/>
      <c r="F186" s="47"/>
      <c r="G186" s="47"/>
    </row>
    <row r="187" spans="1:7" ht="12.75">
      <c r="A187" s="46"/>
      <c r="B187" s="46"/>
      <c r="C187" s="47"/>
      <c r="D187" s="47"/>
      <c r="E187" s="47"/>
      <c r="F187" s="47"/>
      <c r="G187" s="47"/>
    </row>
    <row r="188" spans="1:7" ht="12.75">
      <c r="A188" s="46"/>
      <c r="B188" s="46"/>
      <c r="C188" s="47"/>
      <c r="D188" s="47"/>
      <c r="E188" s="47"/>
      <c r="F188" s="47"/>
      <c r="G188" s="47"/>
    </row>
    <row r="189" spans="1:7" ht="12.75">
      <c r="A189" s="46"/>
      <c r="B189" s="46"/>
      <c r="C189" s="47"/>
      <c r="D189" s="47"/>
      <c r="E189" s="47"/>
      <c r="F189" s="47"/>
      <c r="G189" s="47"/>
    </row>
    <row r="190" spans="1:7" ht="12.75">
      <c r="A190" s="46"/>
      <c r="B190" s="46"/>
      <c r="C190" s="47"/>
      <c r="D190" s="47"/>
      <c r="E190" s="47"/>
      <c r="F190" s="47"/>
      <c r="G190" s="47"/>
    </row>
    <row r="191" spans="1:7" ht="12.75">
      <c r="A191" s="46"/>
      <c r="B191" s="46"/>
      <c r="C191" s="47"/>
      <c r="D191" s="47"/>
      <c r="E191" s="47"/>
      <c r="F191" s="47"/>
      <c r="G191" s="47"/>
    </row>
    <row r="192" spans="1:7" ht="12.75">
      <c r="A192" s="46"/>
      <c r="B192" s="46"/>
      <c r="C192" s="47"/>
      <c r="D192" s="47"/>
      <c r="E192" s="47"/>
      <c r="F192" s="47"/>
      <c r="G192" s="47"/>
    </row>
    <row r="193" spans="1:7" ht="12.75">
      <c r="A193" s="46"/>
      <c r="B193" s="46"/>
      <c r="C193" s="47"/>
      <c r="D193" s="47"/>
      <c r="E193" s="47"/>
      <c r="F193" s="47"/>
      <c r="G193" s="47"/>
    </row>
    <row r="194" spans="1:7" ht="12.75">
      <c r="A194" s="46"/>
      <c r="B194" s="46"/>
      <c r="C194" s="47"/>
      <c r="D194" s="47"/>
      <c r="E194" s="47"/>
      <c r="F194" s="47"/>
      <c r="G194" s="47"/>
    </row>
    <row r="195" spans="1:7" ht="12.75">
      <c r="A195" s="46"/>
      <c r="B195" s="46"/>
      <c r="C195" s="47"/>
      <c r="D195" s="47"/>
      <c r="E195" s="47"/>
      <c r="F195" s="47"/>
      <c r="G195" s="47"/>
    </row>
    <row r="196" spans="1:7" ht="12.75">
      <c r="A196" s="46"/>
      <c r="B196" s="46"/>
      <c r="C196" s="47"/>
      <c r="D196" s="47"/>
      <c r="E196" s="47"/>
      <c r="F196" s="47"/>
      <c r="G196" s="47"/>
    </row>
    <row r="197" spans="1:7" ht="12.75">
      <c r="A197" s="46"/>
      <c r="B197" s="46"/>
      <c r="C197" s="47"/>
      <c r="D197" s="47"/>
      <c r="E197" s="47"/>
      <c r="F197" s="47"/>
      <c r="G197" s="47"/>
    </row>
    <row r="198" spans="1:7" ht="12.75">
      <c r="A198" s="46"/>
      <c r="B198" s="46"/>
      <c r="C198" s="47"/>
      <c r="D198" s="47"/>
      <c r="E198" s="47"/>
      <c r="F198" s="47"/>
      <c r="G198" s="47"/>
    </row>
    <row r="199" spans="1:7" ht="12.75">
      <c r="A199" s="46"/>
      <c r="B199" s="46"/>
      <c r="C199" s="47"/>
      <c r="D199" s="47"/>
      <c r="E199" s="47"/>
      <c r="F199" s="47"/>
      <c r="G199" s="47"/>
    </row>
    <row r="200" spans="1:7" ht="12.75">
      <c r="A200" s="46"/>
      <c r="B200" s="46"/>
      <c r="C200" s="47"/>
      <c r="D200" s="47"/>
      <c r="E200" s="47"/>
      <c r="F200" s="47"/>
      <c r="G200" s="47"/>
    </row>
    <row r="201" spans="1:7" ht="12.75">
      <c r="A201" s="46"/>
      <c r="B201" s="46"/>
      <c r="C201" s="47"/>
      <c r="D201" s="47"/>
      <c r="E201" s="47"/>
      <c r="F201" s="47"/>
      <c r="G201" s="47"/>
    </row>
    <row r="202" spans="1:7" ht="12.75">
      <c r="A202" s="46"/>
      <c r="B202" s="46"/>
      <c r="C202" s="47"/>
      <c r="D202" s="47"/>
      <c r="E202" s="47"/>
      <c r="F202" s="47"/>
      <c r="G202" s="47"/>
    </row>
    <row r="203" spans="1:7" ht="12.75">
      <c r="A203" s="46"/>
      <c r="B203" s="46"/>
      <c r="C203" s="47"/>
      <c r="D203" s="47"/>
      <c r="E203" s="47"/>
      <c r="F203" s="47"/>
      <c r="G203" s="47"/>
    </row>
    <row r="204" spans="1:7" ht="12.75">
      <c r="A204" s="46"/>
      <c r="B204" s="46"/>
      <c r="C204" s="47"/>
      <c r="D204" s="47"/>
      <c r="E204" s="47"/>
      <c r="F204" s="47"/>
      <c r="G204" s="47"/>
    </row>
    <row r="205" spans="1:7" ht="12.75">
      <c r="A205" s="46"/>
      <c r="B205" s="46"/>
      <c r="C205" s="47"/>
      <c r="D205" s="47"/>
      <c r="E205" s="47"/>
      <c r="F205" s="47"/>
      <c r="G205" s="47"/>
    </row>
    <row r="206" spans="1:7" ht="12.75">
      <c r="A206" s="46"/>
      <c r="B206" s="46"/>
      <c r="C206" s="47"/>
      <c r="D206" s="47"/>
      <c r="E206" s="47"/>
      <c r="F206" s="47"/>
      <c r="G206" s="47"/>
    </row>
    <row r="207" spans="1:7" ht="12.75">
      <c r="A207" s="46"/>
      <c r="B207" s="46"/>
      <c r="C207" s="47"/>
      <c r="D207" s="47"/>
      <c r="E207" s="47"/>
      <c r="F207" s="47"/>
      <c r="G207" s="47"/>
    </row>
    <row r="208" spans="1:7" ht="12.75">
      <c r="A208" s="46"/>
      <c r="B208" s="46"/>
      <c r="C208" s="47"/>
      <c r="D208" s="47"/>
      <c r="E208" s="47"/>
      <c r="F208" s="47"/>
      <c r="G208" s="47"/>
    </row>
    <row r="209" spans="1:7" ht="12.75">
      <c r="A209" s="46"/>
      <c r="B209" s="46"/>
      <c r="C209" s="47"/>
      <c r="D209" s="47"/>
      <c r="E209" s="47"/>
      <c r="F209" s="47"/>
      <c r="G209" s="47"/>
    </row>
    <row r="210" spans="1:7" ht="12.75">
      <c r="A210" s="46"/>
      <c r="B210" s="46"/>
      <c r="C210" s="47"/>
      <c r="D210" s="47"/>
      <c r="E210" s="47"/>
      <c r="F210" s="47"/>
      <c r="G210" s="47"/>
    </row>
    <row r="211" spans="1:7" ht="12.75">
      <c r="A211" s="46"/>
      <c r="B211" s="46"/>
      <c r="C211" s="47"/>
      <c r="D211" s="47"/>
      <c r="E211" s="47"/>
      <c r="F211" s="47"/>
      <c r="G211" s="47"/>
    </row>
    <row r="212" spans="1:7" ht="12.75">
      <c r="A212" s="46"/>
      <c r="B212" s="46"/>
      <c r="C212" s="47"/>
      <c r="D212" s="47"/>
      <c r="E212" s="47"/>
      <c r="F212" s="47"/>
      <c r="G212" s="47"/>
    </row>
    <row r="213" spans="1:7" ht="12.75">
      <c r="A213" s="46"/>
      <c r="B213" s="46"/>
      <c r="C213" s="47"/>
      <c r="D213" s="47"/>
      <c r="E213" s="47"/>
      <c r="F213" s="47"/>
      <c r="G213" s="47"/>
    </row>
    <row r="214" spans="1:7" ht="12.75">
      <c r="A214" s="46"/>
      <c r="B214" s="46"/>
      <c r="C214" s="47"/>
      <c r="D214" s="47"/>
      <c r="E214" s="47"/>
      <c r="F214" s="47"/>
      <c r="G214" s="47"/>
    </row>
    <row r="215" spans="1:7" ht="12.75">
      <c r="A215" s="46"/>
      <c r="B215" s="46"/>
      <c r="C215" s="47"/>
      <c r="D215" s="47"/>
      <c r="E215" s="47"/>
      <c r="F215" s="47"/>
      <c r="G215" s="47"/>
    </row>
    <row r="216" spans="1:7" ht="12.75">
      <c r="A216" s="46"/>
      <c r="B216" s="46"/>
      <c r="C216" s="47"/>
      <c r="D216" s="47"/>
      <c r="E216" s="47"/>
      <c r="F216" s="47"/>
      <c r="G216" s="47"/>
    </row>
    <row r="217" spans="1:7" ht="12.75">
      <c r="A217" s="46"/>
      <c r="B217" s="46"/>
      <c r="C217" s="47"/>
      <c r="D217" s="47"/>
      <c r="E217" s="47"/>
      <c r="F217" s="47"/>
      <c r="G217" s="47"/>
    </row>
    <row r="218" spans="1:7" ht="12.75">
      <c r="A218" s="46"/>
      <c r="B218" s="46"/>
      <c r="C218" s="47"/>
      <c r="D218" s="47"/>
      <c r="E218" s="47"/>
      <c r="F218" s="47"/>
      <c r="G218" s="47"/>
    </row>
    <row r="219" spans="1:7" ht="12.75">
      <c r="A219" s="46"/>
      <c r="B219" s="46"/>
      <c r="C219" s="47"/>
      <c r="D219" s="47"/>
      <c r="E219" s="47"/>
      <c r="F219" s="47"/>
      <c r="G219" s="47"/>
    </row>
    <row r="220" spans="1:7" ht="12.75">
      <c r="A220" s="46"/>
      <c r="B220" s="46"/>
      <c r="C220" s="47"/>
      <c r="D220" s="47"/>
      <c r="E220" s="47"/>
      <c r="F220" s="47"/>
      <c r="G220" s="47"/>
    </row>
    <row r="221" spans="1:7" ht="12.75">
      <c r="A221" s="46"/>
      <c r="B221" s="46"/>
      <c r="C221" s="47"/>
      <c r="D221" s="47"/>
      <c r="E221" s="47"/>
      <c r="F221" s="47"/>
      <c r="G221" s="47"/>
    </row>
    <row r="222" spans="1:7" ht="12.75">
      <c r="A222" s="46"/>
      <c r="B222" s="46"/>
      <c r="C222" s="47"/>
      <c r="D222" s="47"/>
      <c r="E222" s="47"/>
      <c r="F222" s="47"/>
      <c r="G222" s="47"/>
    </row>
    <row r="223" spans="1:7" ht="12.75">
      <c r="A223" s="46"/>
      <c r="B223" s="46"/>
      <c r="C223" s="47"/>
      <c r="D223" s="47"/>
      <c r="E223" s="47"/>
      <c r="F223" s="47"/>
      <c r="G223" s="47"/>
    </row>
    <row r="224" spans="1:7" ht="12.75">
      <c r="A224" s="46"/>
      <c r="B224" s="46"/>
      <c r="C224" s="47"/>
      <c r="D224" s="47"/>
      <c r="E224" s="47"/>
      <c r="F224" s="47"/>
      <c r="G224" s="47"/>
    </row>
    <row r="225" spans="1:7" ht="12.75">
      <c r="A225" s="46"/>
      <c r="B225" s="46"/>
      <c r="C225" s="47"/>
      <c r="D225" s="47"/>
      <c r="E225" s="47"/>
      <c r="F225" s="47"/>
      <c r="G225" s="47"/>
    </row>
    <row r="226" spans="1:7" ht="12.75">
      <c r="A226" s="46"/>
      <c r="B226" s="46"/>
      <c r="C226" s="47"/>
      <c r="D226" s="47"/>
      <c r="E226" s="47"/>
      <c r="F226" s="47"/>
      <c r="G226" s="47"/>
    </row>
    <row r="227" spans="1:7" ht="12.75">
      <c r="A227" s="46"/>
      <c r="B227" s="46"/>
      <c r="C227" s="47"/>
      <c r="D227" s="47"/>
      <c r="E227" s="47"/>
      <c r="F227" s="47"/>
      <c r="G227" s="47"/>
    </row>
    <row r="228" spans="1:7" ht="12.75">
      <c r="A228" s="46"/>
      <c r="B228" s="46"/>
      <c r="C228" s="47"/>
      <c r="D228" s="47"/>
      <c r="E228" s="47"/>
      <c r="F228" s="47"/>
      <c r="G228" s="47"/>
    </row>
    <row r="229" spans="1:7" ht="12.75">
      <c r="A229" s="46"/>
      <c r="B229" s="46"/>
      <c r="C229" s="47"/>
      <c r="D229" s="47"/>
      <c r="E229" s="47"/>
      <c r="F229" s="47"/>
      <c r="G229" s="47"/>
    </row>
    <row r="230" spans="1:7" ht="12.75">
      <c r="A230" s="46"/>
      <c r="B230" s="46"/>
      <c r="C230" s="47"/>
      <c r="D230" s="47"/>
      <c r="E230" s="47"/>
      <c r="F230" s="47"/>
      <c r="G230" s="47"/>
    </row>
    <row r="231" spans="1:7" ht="12.75">
      <c r="A231" s="46"/>
      <c r="B231" s="46"/>
      <c r="C231" s="47"/>
      <c r="D231" s="47"/>
      <c r="E231" s="47"/>
      <c r="F231" s="47"/>
      <c r="G231" s="47"/>
    </row>
    <row r="232" spans="1:7" ht="12.75">
      <c r="A232" s="46"/>
      <c r="B232" s="46"/>
      <c r="C232" s="47"/>
      <c r="D232" s="47"/>
      <c r="E232" s="47"/>
      <c r="F232" s="47"/>
      <c r="G232" s="47"/>
    </row>
    <row r="233" spans="1:7" ht="12.75">
      <c r="A233" s="46"/>
      <c r="B233" s="46"/>
      <c r="C233" s="47"/>
      <c r="D233" s="47"/>
      <c r="E233" s="47"/>
      <c r="F233" s="47"/>
      <c r="G233" s="47"/>
    </row>
    <row r="234" spans="1:7" ht="12.75">
      <c r="A234" s="46"/>
      <c r="B234" s="46"/>
      <c r="C234" s="47"/>
      <c r="D234" s="47"/>
      <c r="E234" s="47"/>
      <c r="F234" s="47"/>
      <c r="G234" s="47"/>
    </row>
    <row r="235" spans="1:7" ht="12.75">
      <c r="A235" s="46"/>
      <c r="B235" s="46"/>
      <c r="C235" s="47"/>
      <c r="D235" s="47"/>
      <c r="E235" s="47"/>
      <c r="F235" s="47"/>
      <c r="G235" s="47"/>
    </row>
    <row r="236" spans="1:7" ht="12.75">
      <c r="A236" s="46"/>
      <c r="B236" s="46"/>
      <c r="C236" s="47"/>
      <c r="D236" s="47"/>
      <c r="E236" s="47"/>
      <c r="F236" s="47"/>
      <c r="G236" s="47"/>
    </row>
    <row r="237" spans="1:7" ht="12.75">
      <c r="A237" s="46"/>
      <c r="B237" s="46"/>
      <c r="C237" s="47"/>
      <c r="D237" s="47"/>
      <c r="E237" s="47"/>
      <c r="F237" s="47"/>
      <c r="G237" s="47"/>
    </row>
    <row r="238" spans="1:7" ht="12.75">
      <c r="A238" s="46"/>
      <c r="B238" s="46"/>
      <c r="C238" s="47"/>
      <c r="D238" s="47"/>
      <c r="E238" s="47"/>
      <c r="F238" s="47"/>
      <c r="G238" s="47"/>
    </row>
    <row r="239" spans="1:7" ht="12.75">
      <c r="A239" s="46"/>
      <c r="B239" s="46"/>
      <c r="C239" s="47"/>
      <c r="D239" s="47"/>
      <c r="E239" s="47"/>
      <c r="F239" s="47"/>
      <c r="G239" s="47"/>
    </row>
    <row r="240" spans="1:7" ht="12.75">
      <c r="A240" s="46"/>
      <c r="B240" s="46"/>
      <c r="C240" s="47"/>
      <c r="D240" s="47"/>
      <c r="E240" s="47"/>
      <c r="F240" s="47"/>
      <c r="G240" s="47"/>
    </row>
    <row r="241" spans="1:7" ht="12.75">
      <c r="A241" s="46"/>
      <c r="B241" s="46"/>
      <c r="C241" s="47"/>
      <c r="D241" s="47"/>
      <c r="E241" s="47"/>
      <c r="F241" s="47"/>
      <c r="G241" s="47"/>
    </row>
    <row r="242" spans="1:7" ht="12.75">
      <c r="A242" s="46"/>
      <c r="B242" s="46"/>
      <c r="C242" s="47"/>
      <c r="D242" s="47"/>
      <c r="E242" s="47"/>
      <c r="F242" s="47"/>
      <c r="G242" s="47"/>
    </row>
    <row r="243" spans="1:7" ht="12.75">
      <c r="A243" s="46"/>
      <c r="B243" s="46"/>
      <c r="C243" s="47"/>
      <c r="D243" s="47"/>
      <c r="E243" s="47"/>
      <c r="F243" s="47"/>
      <c r="G243" s="47"/>
    </row>
    <row r="244" spans="1:7" ht="12.75">
      <c r="A244" s="46"/>
      <c r="B244" s="46"/>
      <c r="C244" s="47"/>
      <c r="D244" s="47"/>
      <c r="E244" s="47"/>
      <c r="F244" s="47"/>
      <c r="G244" s="47"/>
    </row>
    <row r="245" spans="1:7" ht="12.75">
      <c r="A245" s="46"/>
      <c r="B245" s="46"/>
      <c r="C245" s="47"/>
      <c r="D245" s="47"/>
      <c r="E245" s="47"/>
      <c r="F245" s="47"/>
      <c r="G245" s="47"/>
    </row>
    <row r="246" spans="1:7" ht="12.75">
      <c r="A246" s="46"/>
      <c r="B246" s="46"/>
      <c r="C246" s="47"/>
      <c r="D246" s="47"/>
      <c r="E246" s="47"/>
      <c r="F246" s="47"/>
      <c r="G246" s="47"/>
    </row>
    <row r="247" spans="1:7" ht="12.75">
      <c r="A247" s="46"/>
      <c r="B247" s="46"/>
      <c r="C247" s="47"/>
      <c r="D247" s="47"/>
      <c r="E247" s="47"/>
      <c r="F247" s="47"/>
      <c r="G247" s="47"/>
    </row>
    <row r="248" spans="1:7" ht="12.75">
      <c r="A248" s="46"/>
      <c r="B248" s="46"/>
      <c r="C248" s="47"/>
      <c r="D248" s="47"/>
      <c r="E248" s="47"/>
      <c r="F248" s="47"/>
      <c r="G248" s="47"/>
    </row>
    <row r="249" spans="1:7" ht="12.75">
      <c r="A249" s="46"/>
      <c r="B249" s="46"/>
      <c r="C249" s="47"/>
      <c r="D249" s="47"/>
      <c r="E249" s="47"/>
      <c r="F249" s="47"/>
      <c r="G249" s="47"/>
    </row>
    <row r="250" spans="1:7" ht="12.75">
      <c r="A250" s="46"/>
      <c r="B250" s="46"/>
      <c r="C250" s="47"/>
      <c r="D250" s="47"/>
      <c r="E250" s="47"/>
      <c r="F250" s="47"/>
      <c r="G250" s="47"/>
    </row>
    <row r="251" spans="1:7" ht="12.75">
      <c r="A251" s="46"/>
      <c r="B251" s="46"/>
      <c r="C251" s="47"/>
      <c r="D251" s="47"/>
      <c r="E251" s="47"/>
      <c r="F251" s="47"/>
      <c r="G251" s="47"/>
    </row>
    <row r="252" spans="1:7" ht="12.75">
      <c r="A252" s="46"/>
      <c r="B252" s="46"/>
      <c r="C252" s="47"/>
      <c r="D252" s="47"/>
      <c r="E252" s="47"/>
      <c r="F252" s="47"/>
      <c r="G252" s="47"/>
    </row>
    <row r="253" spans="1:7" ht="12.75">
      <c r="A253" s="46"/>
      <c r="B253" s="46"/>
      <c r="C253" s="47"/>
      <c r="D253" s="47"/>
      <c r="E253" s="47"/>
      <c r="F253" s="47"/>
      <c r="G253" s="47"/>
    </row>
    <row r="254" spans="1:7" ht="12.75">
      <c r="A254" s="46"/>
      <c r="B254" s="46"/>
      <c r="C254" s="47"/>
      <c r="D254" s="47"/>
      <c r="E254" s="47"/>
      <c r="F254" s="47"/>
      <c r="G254" s="47"/>
    </row>
    <row r="255" spans="1:7" ht="12.75">
      <c r="A255" s="46"/>
      <c r="B255" s="46"/>
      <c r="C255" s="47"/>
      <c r="D255" s="47"/>
      <c r="E255" s="47"/>
      <c r="F255" s="47"/>
      <c r="G255" s="47"/>
    </row>
    <row r="256" spans="1:7" ht="12.75">
      <c r="A256" s="46"/>
      <c r="B256" s="46"/>
      <c r="C256" s="47"/>
      <c r="D256" s="47"/>
      <c r="E256" s="47"/>
      <c r="F256" s="47"/>
      <c r="G256" s="47"/>
    </row>
    <row r="257" spans="1:7" ht="12.75">
      <c r="A257" s="46"/>
      <c r="B257" s="46"/>
      <c r="C257" s="47"/>
      <c r="D257" s="47"/>
      <c r="E257" s="47"/>
      <c r="F257" s="47"/>
      <c r="G257" s="47"/>
    </row>
    <row r="258" spans="1:7" ht="12.75">
      <c r="A258" s="46"/>
      <c r="B258" s="46"/>
      <c r="C258" s="47"/>
      <c r="D258" s="47"/>
      <c r="E258" s="47"/>
      <c r="F258" s="47"/>
      <c r="G258" s="47"/>
    </row>
    <row r="259" spans="1:7" ht="12.75">
      <c r="A259" s="46"/>
      <c r="B259" s="46"/>
      <c r="C259" s="47"/>
      <c r="D259" s="47"/>
      <c r="E259" s="47"/>
      <c r="F259" s="47"/>
      <c r="G259" s="47"/>
    </row>
    <row r="260" spans="1:7" ht="12.75">
      <c r="A260" s="46"/>
      <c r="B260" s="46"/>
      <c r="C260" s="47"/>
      <c r="D260" s="47"/>
      <c r="E260" s="47"/>
      <c r="F260" s="47"/>
      <c r="G260" s="47"/>
    </row>
    <row r="261" spans="1:7" ht="12.75">
      <c r="A261" s="46"/>
      <c r="B261" s="46"/>
      <c r="C261" s="47"/>
      <c r="D261" s="47"/>
      <c r="E261" s="47"/>
      <c r="F261" s="47"/>
      <c r="G261" s="47"/>
    </row>
    <row r="262" spans="1:7" ht="12.75">
      <c r="A262" s="46"/>
      <c r="B262" s="46"/>
      <c r="C262" s="47"/>
      <c r="D262" s="47"/>
      <c r="E262" s="47"/>
      <c r="F262" s="47"/>
      <c r="G262" s="47"/>
    </row>
    <row r="263" spans="1:7" ht="12.75">
      <c r="A263" s="46"/>
      <c r="B263" s="46"/>
      <c r="C263" s="47"/>
      <c r="D263" s="47"/>
      <c r="E263" s="47"/>
      <c r="F263" s="47"/>
      <c r="G263" s="47"/>
    </row>
    <row r="264" spans="1:7" ht="12.75">
      <c r="A264" s="46"/>
      <c r="B264" s="46"/>
      <c r="C264" s="47"/>
      <c r="D264" s="47"/>
      <c r="E264" s="47"/>
      <c r="F264" s="47"/>
      <c r="G264" s="47"/>
    </row>
    <row r="265" spans="1:7" ht="12.75">
      <c r="A265" s="46"/>
      <c r="B265" s="46"/>
      <c r="C265" s="47"/>
      <c r="D265" s="47"/>
      <c r="E265" s="47"/>
      <c r="F265" s="47"/>
      <c r="G265" s="47"/>
    </row>
    <row r="266" spans="1:7" ht="12.75">
      <c r="A266" s="46"/>
      <c r="B266" s="46"/>
      <c r="C266" s="47"/>
      <c r="D266" s="47"/>
      <c r="E266" s="47"/>
      <c r="F266" s="47"/>
      <c r="G266" s="47"/>
    </row>
    <row r="267" spans="1:7" ht="12.75">
      <c r="A267" s="46"/>
      <c r="B267" s="46"/>
      <c r="C267" s="47"/>
      <c r="D267" s="47"/>
      <c r="E267" s="47"/>
      <c r="F267" s="47"/>
      <c r="G267" s="47"/>
    </row>
    <row r="268" spans="1:7" ht="12.75">
      <c r="A268" s="46"/>
      <c r="B268" s="46"/>
      <c r="C268" s="47"/>
      <c r="D268" s="47"/>
      <c r="E268" s="47"/>
      <c r="F268" s="47"/>
      <c r="G268" s="47"/>
    </row>
    <row r="269" spans="1:7" ht="12.75">
      <c r="A269" s="46"/>
      <c r="B269" s="46"/>
      <c r="C269" s="47"/>
      <c r="D269" s="47"/>
      <c r="E269" s="47"/>
      <c r="F269" s="47"/>
      <c r="G269" s="47"/>
    </row>
    <row r="270" spans="1:7" ht="12.75">
      <c r="A270" s="46"/>
      <c r="B270" s="46"/>
      <c r="C270" s="47"/>
      <c r="D270" s="47"/>
      <c r="E270" s="47"/>
      <c r="F270" s="47"/>
      <c r="G270" s="47"/>
    </row>
    <row r="271" spans="1:7" ht="12.75">
      <c r="A271" s="46"/>
      <c r="B271" s="46"/>
      <c r="C271" s="47"/>
      <c r="D271" s="47"/>
      <c r="E271" s="47"/>
      <c r="F271" s="47"/>
      <c r="G271" s="47"/>
    </row>
    <row r="272" spans="1:7" ht="12.75">
      <c r="A272" s="46"/>
      <c r="B272" s="46"/>
      <c r="C272" s="47"/>
      <c r="D272" s="47"/>
      <c r="E272" s="47"/>
      <c r="F272" s="47"/>
      <c r="G272" s="47"/>
    </row>
    <row r="273" spans="1:7" ht="12.75">
      <c r="A273" s="46"/>
      <c r="B273" s="46"/>
      <c r="C273" s="47"/>
      <c r="D273" s="47"/>
      <c r="E273" s="47"/>
      <c r="F273" s="47"/>
      <c r="G273" s="47"/>
    </row>
    <row r="274" spans="1:7" ht="12.75">
      <c r="A274" s="46"/>
      <c r="B274" s="46"/>
      <c r="C274" s="47"/>
      <c r="D274" s="47"/>
      <c r="E274" s="47"/>
      <c r="F274" s="47"/>
      <c r="G274" s="47"/>
    </row>
    <row r="275" spans="1:7" ht="12.75">
      <c r="A275" s="46"/>
      <c r="B275" s="46"/>
      <c r="C275" s="47"/>
      <c r="D275" s="47"/>
      <c r="E275" s="47"/>
      <c r="F275" s="47"/>
      <c r="G275" s="47"/>
    </row>
    <row r="276" spans="1:7" ht="12.75">
      <c r="A276" s="46"/>
      <c r="B276" s="46"/>
      <c r="C276" s="47"/>
      <c r="D276" s="47"/>
      <c r="E276" s="47"/>
      <c r="F276" s="47"/>
      <c r="G276" s="47"/>
    </row>
    <row r="277" spans="1:7" ht="12.75">
      <c r="A277" s="46"/>
      <c r="B277" s="46"/>
      <c r="C277" s="47"/>
      <c r="D277" s="47"/>
      <c r="E277" s="47"/>
      <c r="F277" s="47"/>
      <c r="G277" s="47"/>
    </row>
    <row r="278" spans="1:7" ht="12.75">
      <c r="A278" s="46"/>
      <c r="B278" s="46"/>
      <c r="C278" s="47"/>
      <c r="D278" s="47"/>
      <c r="E278" s="47"/>
      <c r="F278" s="47"/>
      <c r="G278" s="47"/>
    </row>
    <row r="279" spans="1:7" ht="12.75">
      <c r="A279" s="46"/>
      <c r="B279" s="46"/>
      <c r="C279" s="47"/>
      <c r="D279" s="47"/>
      <c r="E279" s="47"/>
      <c r="F279" s="47"/>
      <c r="G279" s="47"/>
    </row>
    <row r="280" spans="1:7" ht="12.75">
      <c r="A280" s="46"/>
      <c r="B280" s="46"/>
      <c r="C280" s="47"/>
      <c r="D280" s="47"/>
      <c r="E280" s="47"/>
      <c r="F280" s="47"/>
      <c r="G280" s="47"/>
    </row>
    <row r="281" spans="1:7" ht="12.75">
      <c r="A281" s="46"/>
      <c r="B281" s="46"/>
      <c r="C281" s="47"/>
      <c r="D281" s="47"/>
      <c r="E281" s="47"/>
      <c r="F281" s="47"/>
      <c r="G281" s="47"/>
    </row>
    <row r="282" spans="1:7" ht="12.75">
      <c r="A282" s="46"/>
      <c r="B282" s="46"/>
      <c r="C282" s="47"/>
      <c r="D282" s="47"/>
      <c r="E282" s="47"/>
      <c r="F282" s="47"/>
      <c r="G282" s="47"/>
    </row>
    <row r="283" spans="1:7" ht="12.75">
      <c r="A283" s="46"/>
      <c r="B283" s="46"/>
      <c r="C283" s="47"/>
      <c r="D283" s="47"/>
      <c r="E283" s="47"/>
      <c r="F283" s="47"/>
      <c r="G283" s="47"/>
    </row>
    <row r="284" spans="1:7" ht="12.75">
      <c r="A284" s="46"/>
      <c r="B284" s="46"/>
      <c r="C284" s="47"/>
      <c r="D284" s="47"/>
      <c r="E284" s="47"/>
      <c r="F284" s="47"/>
      <c r="G284" s="47"/>
    </row>
    <row r="285" spans="1:7" ht="12.75">
      <c r="A285" s="46"/>
      <c r="B285" s="46"/>
      <c r="C285" s="47"/>
      <c r="D285" s="47"/>
      <c r="E285" s="47"/>
      <c r="F285" s="47"/>
      <c r="G285" s="47"/>
    </row>
    <row r="286" spans="1:7" ht="12.75">
      <c r="A286" s="46"/>
      <c r="B286" s="46"/>
      <c r="C286" s="47"/>
      <c r="D286" s="47"/>
      <c r="E286" s="47"/>
      <c r="F286" s="47"/>
      <c r="G286" s="47"/>
    </row>
    <row r="287" spans="1:7" ht="12.75">
      <c r="A287" s="46"/>
      <c r="B287" s="46"/>
      <c r="C287" s="47"/>
      <c r="D287" s="47"/>
      <c r="E287" s="47"/>
      <c r="F287" s="47"/>
      <c r="G287" s="47"/>
    </row>
    <row r="288" spans="1:7" ht="12.75">
      <c r="A288" s="46"/>
      <c r="B288" s="46"/>
      <c r="C288" s="47"/>
      <c r="D288" s="47"/>
      <c r="E288" s="47"/>
      <c r="F288" s="47"/>
      <c r="G288" s="47"/>
    </row>
    <row r="289" spans="1:7" ht="12.75">
      <c r="A289" s="46"/>
      <c r="B289" s="46"/>
      <c r="C289" s="47"/>
      <c r="D289" s="47"/>
      <c r="E289" s="47"/>
      <c r="F289" s="47"/>
      <c r="G289" s="47"/>
    </row>
    <row r="290" spans="1:7" ht="12.75">
      <c r="A290" s="46"/>
      <c r="B290" s="46"/>
      <c r="C290" s="47"/>
      <c r="D290" s="47"/>
      <c r="E290" s="47"/>
      <c r="F290" s="47"/>
      <c r="G290" s="47"/>
    </row>
    <row r="291" spans="1:7" ht="12.75">
      <c r="A291" s="46"/>
      <c r="B291" s="46"/>
      <c r="C291" s="47"/>
      <c r="D291" s="47"/>
      <c r="E291" s="47"/>
      <c r="F291" s="47"/>
      <c r="G291" s="47"/>
    </row>
    <row r="292" spans="1:7" ht="12.75">
      <c r="A292" s="46"/>
      <c r="B292" s="46"/>
      <c r="C292" s="47"/>
      <c r="D292" s="47"/>
      <c r="E292" s="47"/>
      <c r="F292" s="47"/>
      <c r="G292" s="47"/>
    </row>
    <row r="293" spans="1:7" ht="12.75">
      <c r="A293" s="46"/>
      <c r="B293" s="46"/>
      <c r="C293" s="47"/>
      <c r="D293" s="47"/>
      <c r="E293" s="47"/>
      <c r="F293" s="47"/>
      <c r="G293" s="47"/>
    </row>
    <row r="294" spans="1:7" ht="12.75">
      <c r="A294" s="46"/>
      <c r="B294" s="46"/>
      <c r="C294" s="47"/>
      <c r="D294" s="47"/>
      <c r="E294" s="47"/>
      <c r="F294" s="47"/>
      <c r="G294" s="47"/>
    </row>
    <row r="295" spans="1:7" ht="12.75">
      <c r="A295" s="46"/>
      <c r="B295" s="46"/>
      <c r="C295" s="47"/>
      <c r="D295" s="47"/>
      <c r="E295" s="47"/>
      <c r="F295" s="47"/>
      <c r="G295" s="47"/>
    </row>
    <row r="296" spans="1:7" ht="12.75">
      <c r="A296" s="46"/>
      <c r="B296" s="46"/>
      <c r="C296" s="47"/>
      <c r="D296" s="47"/>
      <c r="E296" s="47"/>
      <c r="F296" s="47"/>
      <c r="G296" s="47"/>
    </row>
    <row r="297" spans="1:7" ht="12.75">
      <c r="A297" s="46"/>
      <c r="B297" s="46"/>
      <c r="C297" s="47"/>
      <c r="D297" s="47"/>
      <c r="E297" s="47"/>
      <c r="F297" s="47"/>
      <c r="G297" s="47"/>
    </row>
    <row r="298" spans="1:7" ht="12.75">
      <c r="A298" s="46"/>
      <c r="B298" s="46"/>
      <c r="C298" s="47"/>
      <c r="D298" s="47"/>
      <c r="E298" s="47"/>
      <c r="F298" s="47"/>
      <c r="G298" s="47"/>
    </row>
    <row r="299" spans="1:7" ht="12.75">
      <c r="A299" s="46"/>
      <c r="B299" s="46"/>
      <c r="C299" s="47"/>
      <c r="D299" s="47"/>
      <c r="E299" s="47"/>
      <c r="F299" s="47"/>
      <c r="G299" s="47"/>
    </row>
    <row r="300" spans="1:7" ht="12.75">
      <c r="A300" s="46"/>
      <c r="B300" s="46"/>
      <c r="C300" s="47"/>
      <c r="D300" s="47"/>
      <c r="E300" s="47"/>
      <c r="F300" s="47"/>
      <c r="G300" s="47"/>
    </row>
    <row r="301" spans="1:7" ht="12.75">
      <c r="A301" s="46"/>
      <c r="B301" s="46"/>
      <c r="C301" s="47"/>
      <c r="D301" s="47"/>
      <c r="E301" s="47"/>
      <c r="F301" s="47"/>
      <c r="G301" s="47"/>
    </row>
    <row r="302" spans="1:7" ht="12.75">
      <c r="A302" s="46"/>
      <c r="B302" s="46"/>
      <c r="C302" s="47"/>
      <c r="D302" s="47"/>
      <c r="E302" s="47"/>
      <c r="F302" s="47"/>
      <c r="G302" s="47"/>
    </row>
    <row r="303" spans="1:7" ht="12.75">
      <c r="A303" s="46"/>
      <c r="B303" s="46"/>
      <c r="C303" s="47"/>
      <c r="D303" s="47"/>
      <c r="E303" s="47"/>
      <c r="F303" s="47"/>
      <c r="G303" s="47"/>
    </row>
    <row r="304" spans="1:7" ht="12.75">
      <c r="A304" s="46"/>
      <c r="B304" s="46"/>
      <c r="C304" s="47"/>
      <c r="D304" s="47"/>
      <c r="E304" s="47"/>
      <c r="F304" s="47"/>
      <c r="G304" s="47"/>
    </row>
    <row r="305" spans="1:7" ht="12.75">
      <c r="A305" s="46"/>
      <c r="B305" s="46"/>
      <c r="C305" s="47"/>
      <c r="D305" s="47"/>
      <c r="E305" s="47"/>
      <c r="F305" s="47"/>
      <c r="G305" s="47"/>
    </row>
    <row r="306" spans="1:7" ht="12.75">
      <c r="A306" s="46"/>
      <c r="B306" s="46"/>
      <c r="C306" s="47"/>
      <c r="D306" s="47"/>
      <c r="E306" s="47"/>
      <c r="F306" s="47"/>
      <c r="G306" s="47"/>
    </row>
    <row r="307" spans="1:7" ht="12.75">
      <c r="A307" s="46"/>
      <c r="B307" s="46"/>
      <c r="C307" s="47"/>
      <c r="D307" s="47"/>
      <c r="E307" s="47"/>
      <c r="F307" s="47"/>
      <c r="G307" s="47"/>
    </row>
    <row r="308" spans="1:7" ht="12.75">
      <c r="A308" s="46"/>
      <c r="B308" s="46"/>
      <c r="C308" s="47"/>
      <c r="D308" s="47"/>
      <c r="E308" s="47"/>
      <c r="F308" s="47"/>
      <c r="G308" s="47"/>
    </row>
    <row r="309" spans="1:7" ht="12.75">
      <c r="A309" s="46"/>
      <c r="B309" s="46"/>
      <c r="C309" s="47"/>
      <c r="D309" s="47"/>
      <c r="E309" s="47"/>
      <c r="F309" s="47"/>
      <c r="G309" s="47"/>
    </row>
    <row r="310" spans="1:7" ht="12.75">
      <c r="A310" s="46"/>
      <c r="B310" s="46"/>
      <c r="C310" s="47"/>
      <c r="D310" s="47"/>
      <c r="E310" s="47"/>
      <c r="F310" s="47"/>
      <c r="G310" s="47"/>
    </row>
    <row r="311" spans="1:7" ht="12.75">
      <c r="A311" s="46"/>
      <c r="B311" s="46"/>
      <c r="C311" s="47"/>
      <c r="D311" s="47"/>
      <c r="E311" s="47"/>
      <c r="F311" s="47"/>
      <c r="G311" s="47"/>
    </row>
    <row r="312" spans="1:7" ht="12.75">
      <c r="A312" s="46"/>
      <c r="B312" s="46"/>
      <c r="C312" s="47"/>
      <c r="D312" s="47"/>
      <c r="E312" s="47"/>
      <c r="F312" s="47"/>
      <c r="G312" s="47"/>
    </row>
    <row r="313" spans="1:7" ht="12.75">
      <c r="A313" s="46"/>
      <c r="B313" s="46"/>
      <c r="C313" s="47"/>
      <c r="D313" s="47"/>
      <c r="E313" s="47"/>
      <c r="F313" s="47"/>
      <c r="G313" s="47"/>
    </row>
    <row r="314" spans="1:7" ht="12.75">
      <c r="A314" s="46"/>
      <c r="B314" s="46"/>
      <c r="C314" s="47"/>
      <c r="D314" s="47"/>
      <c r="E314" s="47"/>
      <c r="F314" s="47"/>
      <c r="G314" s="47"/>
    </row>
    <row r="315" spans="1:7" ht="12.75">
      <c r="A315" s="46"/>
      <c r="B315" s="46"/>
      <c r="C315" s="47"/>
      <c r="D315" s="47"/>
      <c r="E315" s="47"/>
      <c r="F315" s="47"/>
      <c r="G315" s="47"/>
    </row>
    <row r="316" spans="1:7" ht="12.75">
      <c r="A316" s="46"/>
      <c r="B316" s="46"/>
      <c r="C316" s="47"/>
      <c r="D316" s="47"/>
      <c r="E316" s="47"/>
      <c r="F316" s="47"/>
      <c r="G316" s="47"/>
    </row>
    <row r="317" spans="1:7" ht="12.75">
      <c r="A317" s="46"/>
      <c r="B317" s="46"/>
      <c r="C317" s="47"/>
      <c r="D317" s="47"/>
      <c r="E317" s="47"/>
      <c r="F317" s="47"/>
      <c r="G317" s="47"/>
    </row>
    <row r="318" spans="1:7" ht="12.75">
      <c r="A318" s="46"/>
      <c r="B318" s="46"/>
      <c r="C318" s="47"/>
      <c r="D318" s="47"/>
      <c r="E318" s="47"/>
      <c r="F318" s="47"/>
      <c r="G318" s="47"/>
    </row>
    <row r="319" spans="1:7" ht="12.75">
      <c r="A319" s="46"/>
      <c r="B319" s="46"/>
      <c r="C319" s="47"/>
      <c r="D319" s="47"/>
      <c r="E319" s="47"/>
      <c r="F319" s="47"/>
      <c r="G319" s="47"/>
    </row>
    <row r="320" spans="1:7" ht="12.75">
      <c r="A320" s="46"/>
      <c r="B320" s="46"/>
      <c r="C320" s="47"/>
      <c r="D320" s="47"/>
      <c r="E320" s="47"/>
      <c r="F320" s="47"/>
      <c r="G320" s="47"/>
    </row>
    <row r="321" spans="1:7" ht="12.75">
      <c r="A321" s="46"/>
      <c r="B321" s="46"/>
      <c r="C321" s="47"/>
      <c r="D321" s="47"/>
      <c r="E321" s="47"/>
      <c r="F321" s="47"/>
      <c r="G321" s="47"/>
    </row>
    <row r="322" spans="1:7" ht="12.75">
      <c r="A322" s="46"/>
      <c r="B322" s="46"/>
      <c r="C322" s="47"/>
      <c r="D322" s="47"/>
      <c r="E322" s="47"/>
      <c r="F322" s="47"/>
      <c r="G322" s="47"/>
    </row>
    <row r="323" spans="1:7" ht="12.75">
      <c r="A323" s="46"/>
      <c r="B323" s="46"/>
      <c r="C323" s="47"/>
      <c r="D323" s="47"/>
      <c r="E323" s="47"/>
      <c r="F323" s="47"/>
      <c r="G323" s="47"/>
    </row>
    <row r="324" spans="1:7" ht="12.75">
      <c r="A324" s="46"/>
      <c r="B324" s="46"/>
      <c r="C324" s="47"/>
      <c r="D324" s="47"/>
      <c r="E324" s="47"/>
      <c r="F324" s="47"/>
      <c r="G324" s="47"/>
    </row>
    <row r="325" spans="1:7" ht="12.75">
      <c r="A325" s="46"/>
      <c r="B325" s="46"/>
      <c r="C325" s="47"/>
      <c r="D325" s="47"/>
      <c r="E325" s="47"/>
      <c r="F325" s="47"/>
      <c r="G325" s="47"/>
    </row>
    <row r="326" spans="1:7" ht="12.75">
      <c r="A326" s="46"/>
      <c r="B326" s="46"/>
      <c r="C326" s="47"/>
      <c r="D326" s="47"/>
      <c r="E326" s="47"/>
      <c r="F326" s="47"/>
      <c r="G326" s="47"/>
    </row>
    <row r="327" spans="1:7" ht="12.75">
      <c r="A327" s="46"/>
      <c r="B327" s="46"/>
      <c r="C327" s="47"/>
      <c r="D327" s="47"/>
      <c r="E327" s="47"/>
      <c r="F327" s="47"/>
      <c r="G327" s="47"/>
    </row>
    <row r="328" spans="1:7" ht="12.75">
      <c r="A328" s="46"/>
      <c r="B328" s="46"/>
      <c r="C328" s="47"/>
      <c r="D328" s="47"/>
      <c r="E328" s="47"/>
      <c r="F328" s="47"/>
      <c r="G328" s="47"/>
    </row>
    <row r="329" spans="1:7" ht="12.75">
      <c r="A329" s="46"/>
      <c r="B329" s="46"/>
      <c r="C329" s="47"/>
      <c r="D329" s="47"/>
      <c r="E329" s="47"/>
      <c r="F329" s="47"/>
      <c r="G329" s="47"/>
    </row>
    <row r="330" spans="1:7" ht="12.75">
      <c r="A330" s="46"/>
      <c r="B330" s="46"/>
      <c r="C330" s="47"/>
      <c r="D330" s="47"/>
      <c r="E330" s="47"/>
      <c r="F330" s="47"/>
      <c r="G330" s="47"/>
    </row>
    <row r="331" spans="1:7" ht="12.75">
      <c r="A331" s="46"/>
      <c r="B331" s="46"/>
      <c r="C331" s="47"/>
      <c r="D331" s="47"/>
      <c r="E331" s="47"/>
      <c r="F331" s="47"/>
      <c r="G331" s="47"/>
    </row>
    <row r="332" spans="1:7" ht="12.75">
      <c r="A332" s="46"/>
      <c r="B332" s="46"/>
      <c r="C332" s="47"/>
      <c r="D332" s="47"/>
      <c r="E332" s="47"/>
      <c r="F332" s="47"/>
      <c r="G332" s="47"/>
    </row>
    <row r="333" spans="1:7" ht="12.75">
      <c r="A333" s="46"/>
      <c r="B333" s="46"/>
      <c r="C333" s="47"/>
      <c r="D333" s="47"/>
      <c r="E333" s="47"/>
      <c r="F333" s="47"/>
      <c r="G333" s="47"/>
    </row>
    <row r="334" spans="1:7" ht="12.75">
      <c r="A334" s="46"/>
      <c r="B334" s="46"/>
      <c r="C334" s="47"/>
      <c r="D334" s="47"/>
      <c r="E334" s="47"/>
      <c r="F334" s="47"/>
      <c r="G334" s="47"/>
    </row>
    <row r="335" spans="1:7" ht="12.75">
      <c r="A335" s="46"/>
      <c r="B335" s="46"/>
      <c r="C335" s="47"/>
      <c r="D335" s="47"/>
      <c r="E335" s="47"/>
      <c r="F335" s="47"/>
      <c r="G335" s="47"/>
    </row>
    <row r="336" spans="1:7" ht="12.75">
      <c r="A336" s="46"/>
      <c r="B336" s="46"/>
      <c r="C336" s="47"/>
      <c r="D336" s="47"/>
      <c r="E336" s="47"/>
      <c r="F336" s="47"/>
      <c r="G336" s="47"/>
    </row>
    <row r="337" spans="1:7" ht="12.75">
      <c r="A337" s="46"/>
      <c r="B337" s="46"/>
      <c r="C337" s="47"/>
      <c r="D337" s="47"/>
      <c r="E337" s="47"/>
      <c r="F337" s="47"/>
      <c r="G337" s="47"/>
    </row>
    <row r="338" spans="1:7" ht="12.75">
      <c r="A338" s="46"/>
      <c r="B338" s="46"/>
      <c r="C338" s="47"/>
      <c r="D338" s="47"/>
      <c r="E338" s="47"/>
      <c r="F338" s="47"/>
      <c r="G338" s="47"/>
    </row>
    <row r="339" spans="1:7" ht="12.75">
      <c r="A339" s="46"/>
      <c r="B339" s="46"/>
      <c r="C339" s="47"/>
      <c r="D339" s="47"/>
      <c r="E339" s="47"/>
      <c r="F339" s="47"/>
      <c r="G339" s="47"/>
    </row>
    <row r="340" spans="1:7" ht="12.75">
      <c r="A340" s="46"/>
      <c r="B340" s="46"/>
      <c r="C340" s="47"/>
      <c r="D340" s="47"/>
      <c r="E340" s="47"/>
      <c r="F340" s="47"/>
      <c r="G340" s="47"/>
    </row>
    <row r="341" spans="1:7" ht="12.75">
      <c r="A341" s="46"/>
      <c r="B341" s="46"/>
      <c r="C341" s="47"/>
      <c r="D341" s="47"/>
      <c r="E341" s="47"/>
      <c r="F341" s="47"/>
      <c r="G341" s="47"/>
    </row>
    <row r="342" spans="1:7" ht="12.75">
      <c r="A342" s="46"/>
      <c r="B342" s="46"/>
      <c r="C342" s="47"/>
      <c r="D342" s="47"/>
      <c r="E342" s="47"/>
      <c r="F342" s="47"/>
      <c r="G342" s="47"/>
    </row>
    <row r="343" spans="1:7" ht="12.75">
      <c r="A343" s="46"/>
      <c r="B343" s="46"/>
      <c r="C343" s="47"/>
      <c r="D343" s="47"/>
      <c r="E343" s="47"/>
      <c r="F343" s="47"/>
      <c r="G343" s="47"/>
    </row>
    <row r="344" spans="1:7" ht="12.75">
      <c r="A344" s="46"/>
      <c r="B344" s="46"/>
      <c r="C344" s="47"/>
      <c r="D344" s="47"/>
      <c r="E344" s="47"/>
      <c r="F344" s="47"/>
      <c r="G344" s="47"/>
    </row>
    <row r="345" spans="1:7" ht="12.75">
      <c r="A345" s="46"/>
      <c r="B345" s="46"/>
      <c r="C345" s="47"/>
      <c r="D345" s="47"/>
      <c r="E345" s="47"/>
      <c r="F345" s="47"/>
      <c r="G345" s="47"/>
    </row>
    <row r="346" spans="1:7" ht="12.75">
      <c r="A346" s="46"/>
      <c r="B346" s="46"/>
      <c r="C346" s="47"/>
      <c r="D346" s="47"/>
      <c r="E346" s="47"/>
      <c r="F346" s="47"/>
      <c r="G346" s="47"/>
    </row>
    <row r="347" spans="1:7" ht="12.75">
      <c r="A347" s="46"/>
      <c r="B347" s="46"/>
      <c r="C347" s="47"/>
      <c r="D347" s="47"/>
      <c r="E347" s="47"/>
      <c r="F347" s="47"/>
      <c r="G347" s="47"/>
    </row>
    <row r="348" spans="1:7" ht="12.75">
      <c r="A348" s="46"/>
      <c r="B348" s="46"/>
      <c r="C348" s="47"/>
      <c r="D348" s="47"/>
      <c r="E348" s="47"/>
      <c r="F348" s="47"/>
      <c r="G348" s="47"/>
    </row>
    <row r="349" spans="1:7" ht="12.75">
      <c r="A349" s="46"/>
      <c r="B349" s="46"/>
      <c r="C349" s="47"/>
      <c r="D349" s="47"/>
      <c r="E349" s="47"/>
      <c r="F349" s="47"/>
      <c r="G349" s="47"/>
    </row>
    <row r="350" spans="1:7" ht="12.75">
      <c r="A350" s="46"/>
      <c r="B350" s="46"/>
      <c r="C350" s="47"/>
      <c r="D350" s="47"/>
      <c r="E350" s="47"/>
      <c r="F350" s="47"/>
      <c r="G350" s="47"/>
    </row>
    <row r="351" spans="1:7" ht="12.75">
      <c r="A351" s="46"/>
      <c r="B351" s="46"/>
      <c r="C351" s="47"/>
      <c r="D351" s="47"/>
      <c r="E351" s="47"/>
      <c r="F351" s="47"/>
      <c r="G351" s="47"/>
    </row>
    <row r="352" spans="1:7" ht="12.75">
      <c r="A352" s="46"/>
      <c r="B352" s="46"/>
      <c r="C352" s="47"/>
      <c r="D352" s="47"/>
      <c r="E352" s="47"/>
      <c r="F352" s="47"/>
      <c r="G352" s="47"/>
    </row>
    <row r="353" spans="1:7" ht="12.75">
      <c r="A353" s="46"/>
      <c r="B353" s="46"/>
      <c r="C353" s="47"/>
      <c r="D353" s="47"/>
      <c r="E353" s="47"/>
      <c r="F353" s="47"/>
      <c r="G353" s="47"/>
    </row>
    <row r="354" spans="1:7" ht="12.75">
      <c r="A354" s="46"/>
      <c r="B354" s="46"/>
      <c r="C354" s="47"/>
      <c r="D354" s="47"/>
      <c r="E354" s="47"/>
      <c r="F354" s="47"/>
      <c r="G354" s="47"/>
    </row>
    <row r="355" spans="1:7" ht="12.75">
      <c r="A355" s="46"/>
      <c r="B355" s="46"/>
      <c r="C355" s="47"/>
      <c r="D355" s="47"/>
      <c r="E355" s="47"/>
      <c r="F355" s="47"/>
      <c r="G355" s="47"/>
    </row>
    <row r="356" spans="1:7" ht="12.75">
      <c r="A356" s="46"/>
      <c r="B356" s="46"/>
      <c r="C356" s="47"/>
      <c r="D356" s="47"/>
      <c r="E356" s="47"/>
      <c r="F356" s="47"/>
      <c r="G356" s="47"/>
    </row>
    <row r="357" spans="1:7" ht="12.75">
      <c r="A357" s="46"/>
      <c r="B357" s="46"/>
      <c r="C357" s="47"/>
      <c r="D357" s="47"/>
      <c r="E357" s="47"/>
      <c r="F357" s="47"/>
      <c r="G357" s="47"/>
    </row>
    <row r="358" spans="1:7" ht="12.75">
      <c r="A358" s="46"/>
      <c r="B358" s="46"/>
      <c r="C358" s="47"/>
      <c r="D358" s="47"/>
      <c r="E358" s="47"/>
      <c r="F358" s="47"/>
      <c r="G358" s="47"/>
    </row>
    <row r="359" spans="1:7" ht="12.75">
      <c r="A359" s="46"/>
      <c r="B359" s="46"/>
      <c r="C359" s="47"/>
      <c r="D359" s="47"/>
      <c r="E359" s="47"/>
      <c r="F359" s="47"/>
      <c r="G359" s="47"/>
    </row>
    <row r="360" spans="1:7" ht="12.75">
      <c r="A360" s="46"/>
      <c r="B360" s="46"/>
      <c r="C360" s="47"/>
      <c r="D360" s="47"/>
      <c r="E360" s="47"/>
      <c r="F360" s="47"/>
      <c r="G360" s="47"/>
    </row>
    <row r="361" spans="1:7" ht="12.75">
      <c r="A361" s="46"/>
      <c r="B361" s="46"/>
      <c r="C361" s="47"/>
      <c r="D361" s="47"/>
      <c r="E361" s="47"/>
      <c r="F361" s="47"/>
      <c r="G361" s="47"/>
    </row>
    <row r="362" spans="1:7" ht="12.75">
      <c r="A362" s="46"/>
      <c r="B362" s="46"/>
      <c r="C362" s="47"/>
      <c r="D362" s="47"/>
      <c r="E362" s="47"/>
      <c r="F362" s="47"/>
      <c r="G362" s="47"/>
    </row>
    <row r="363" spans="1:7" ht="12.75">
      <c r="A363" s="46"/>
      <c r="B363" s="46"/>
      <c r="C363" s="47"/>
      <c r="D363" s="47"/>
      <c r="E363" s="47"/>
      <c r="F363" s="47"/>
      <c r="G363" s="47"/>
    </row>
    <row r="364" spans="1:7" ht="12.75">
      <c r="A364" s="46"/>
      <c r="B364" s="46"/>
      <c r="C364" s="47"/>
      <c r="D364" s="47"/>
      <c r="E364" s="47"/>
      <c r="F364" s="47"/>
      <c r="G364" s="47"/>
    </row>
    <row r="365" spans="1:7" ht="12.75">
      <c r="A365" s="46"/>
      <c r="B365" s="46"/>
      <c r="C365" s="47"/>
      <c r="D365" s="47"/>
      <c r="E365" s="47"/>
      <c r="F365" s="47"/>
      <c r="G365" s="47"/>
    </row>
    <row r="366" spans="1:7" ht="12.75">
      <c r="A366" s="46"/>
      <c r="B366" s="46"/>
      <c r="C366" s="47"/>
      <c r="D366" s="47"/>
      <c r="E366" s="47"/>
      <c r="F366" s="47"/>
      <c r="G366" s="47"/>
    </row>
    <row r="367" spans="1:7" ht="12.75">
      <c r="A367" s="46"/>
      <c r="B367" s="46"/>
      <c r="C367" s="47"/>
      <c r="D367" s="47"/>
      <c r="E367" s="47"/>
      <c r="F367" s="47"/>
      <c r="G367" s="47"/>
    </row>
    <row r="368" spans="1:7" ht="12.75">
      <c r="A368" s="46"/>
      <c r="B368" s="46"/>
      <c r="C368" s="47"/>
      <c r="D368" s="47"/>
      <c r="E368" s="47"/>
      <c r="F368" s="47"/>
      <c r="G368" s="47"/>
    </row>
    <row r="369" spans="1:7" ht="12.75">
      <c r="A369" s="46"/>
      <c r="B369" s="46"/>
      <c r="C369" s="47"/>
      <c r="D369" s="47"/>
      <c r="E369" s="47"/>
      <c r="F369" s="47"/>
      <c r="G369" s="47"/>
    </row>
    <row r="370" spans="1:7" ht="12.75">
      <c r="A370" s="46"/>
      <c r="B370" s="46"/>
      <c r="C370" s="47"/>
      <c r="D370" s="47"/>
      <c r="E370" s="47"/>
      <c r="F370" s="47"/>
      <c r="G370" s="47"/>
    </row>
    <row r="371" spans="1:7" ht="12.75">
      <c r="A371" s="46"/>
      <c r="B371" s="46"/>
      <c r="C371" s="47"/>
      <c r="D371" s="47"/>
      <c r="E371" s="47"/>
      <c r="F371" s="47"/>
      <c r="G371" s="47"/>
    </row>
    <row r="372" spans="1:7" ht="12.75">
      <c r="A372" s="46"/>
      <c r="B372" s="46"/>
      <c r="C372" s="47"/>
      <c r="D372" s="47"/>
      <c r="E372" s="47"/>
      <c r="F372" s="47"/>
      <c r="G372" s="47"/>
    </row>
    <row r="373" spans="1:7" ht="12.75">
      <c r="A373" s="46"/>
      <c r="B373" s="46"/>
      <c r="C373" s="47"/>
      <c r="D373" s="47"/>
      <c r="E373" s="47"/>
      <c r="F373" s="47"/>
      <c r="G373" s="47"/>
    </row>
    <row r="374" spans="1:7" ht="12.75">
      <c r="A374" s="46"/>
      <c r="B374" s="46"/>
      <c r="C374" s="47"/>
      <c r="D374" s="47"/>
      <c r="E374" s="47"/>
      <c r="F374" s="47"/>
      <c r="G374" s="47"/>
    </row>
    <row r="375" spans="1:7" ht="12.75">
      <c r="A375" s="46"/>
      <c r="B375" s="46"/>
      <c r="C375" s="47"/>
      <c r="D375" s="47"/>
      <c r="E375" s="47"/>
      <c r="F375" s="47"/>
      <c r="G375" s="47"/>
    </row>
    <row r="376" spans="1:7" ht="12.75">
      <c r="A376" s="46"/>
      <c r="B376" s="46"/>
      <c r="C376" s="47"/>
      <c r="D376" s="47"/>
      <c r="E376" s="47"/>
      <c r="F376" s="47"/>
      <c r="G376" s="47"/>
    </row>
    <row r="377" spans="1:7" ht="12.75">
      <c r="A377" s="46"/>
      <c r="B377" s="46"/>
      <c r="C377" s="47"/>
      <c r="D377" s="47"/>
      <c r="E377" s="47"/>
      <c r="F377" s="47"/>
      <c r="G377" s="47"/>
    </row>
    <row r="378" spans="1:7" ht="12.75">
      <c r="A378" s="46"/>
      <c r="B378" s="46"/>
      <c r="C378" s="47"/>
      <c r="D378" s="47"/>
      <c r="E378" s="47"/>
      <c r="F378" s="47"/>
      <c r="G378" s="47"/>
    </row>
    <row r="379" spans="1:7" ht="12.75">
      <c r="A379" s="46"/>
      <c r="B379" s="46"/>
      <c r="C379" s="47"/>
      <c r="D379" s="47"/>
      <c r="E379" s="47"/>
      <c r="F379" s="47"/>
      <c r="G379" s="47"/>
    </row>
    <row r="380" spans="1:7" ht="12.75">
      <c r="A380" s="46"/>
      <c r="B380" s="46"/>
      <c r="C380" s="47"/>
      <c r="D380" s="47"/>
      <c r="E380" s="47"/>
      <c r="F380" s="47"/>
      <c r="G380" s="47"/>
    </row>
    <row r="381" spans="1:7" ht="12.75">
      <c r="A381" s="46"/>
      <c r="B381" s="46"/>
      <c r="C381" s="47"/>
      <c r="D381" s="47"/>
      <c r="E381" s="47"/>
      <c r="F381" s="47"/>
      <c r="G381" s="47"/>
    </row>
    <row r="382" spans="1:7" ht="12.75">
      <c r="A382" s="46"/>
      <c r="B382" s="46"/>
      <c r="C382" s="47"/>
      <c r="D382" s="47"/>
      <c r="E382" s="47"/>
      <c r="F382" s="47"/>
      <c r="G382" s="47"/>
    </row>
    <row r="383" spans="1:7" ht="12.75">
      <c r="A383" s="46"/>
      <c r="B383" s="46"/>
      <c r="C383" s="47"/>
      <c r="D383" s="47"/>
      <c r="E383" s="47"/>
      <c r="F383" s="47"/>
      <c r="G383" s="47"/>
    </row>
    <row r="384" spans="1:7" ht="12.75">
      <c r="A384" s="46"/>
      <c r="B384" s="46"/>
      <c r="C384" s="47"/>
      <c r="D384" s="47"/>
      <c r="E384" s="47"/>
      <c r="F384" s="47"/>
      <c r="G384" s="47"/>
    </row>
    <row r="385" spans="1:7" ht="12.75">
      <c r="A385" s="46"/>
      <c r="B385" s="46"/>
      <c r="C385" s="47"/>
      <c r="D385" s="47"/>
      <c r="E385" s="47"/>
      <c r="F385" s="47"/>
      <c r="G385" s="47"/>
    </row>
    <row r="386" spans="1:7" ht="12.75">
      <c r="A386" s="46"/>
      <c r="B386" s="46"/>
      <c r="C386" s="47"/>
      <c r="D386" s="47"/>
      <c r="E386" s="47"/>
      <c r="F386" s="47"/>
      <c r="G386" s="47"/>
    </row>
    <row r="387" spans="1:7" ht="12.75">
      <c r="A387" s="46"/>
      <c r="B387" s="46"/>
      <c r="C387" s="47"/>
      <c r="D387" s="47"/>
      <c r="E387" s="47"/>
      <c r="F387" s="47"/>
      <c r="G387" s="47"/>
    </row>
    <row r="388" spans="1:7" ht="12.75">
      <c r="A388" s="46"/>
      <c r="B388" s="46"/>
      <c r="C388" s="47"/>
      <c r="D388" s="47"/>
      <c r="E388" s="47"/>
      <c r="F388" s="47"/>
      <c r="G388" s="47"/>
    </row>
    <row r="389" spans="1:7" ht="12.75">
      <c r="A389" s="46"/>
      <c r="B389" s="46"/>
      <c r="C389" s="47"/>
      <c r="D389" s="47"/>
      <c r="E389" s="47"/>
      <c r="F389" s="47"/>
      <c r="G389" s="47"/>
    </row>
    <row r="390" spans="1:7" ht="12.75">
      <c r="A390" s="46"/>
      <c r="B390" s="46"/>
      <c r="C390" s="47"/>
      <c r="D390" s="47"/>
      <c r="E390" s="47"/>
      <c r="F390" s="47"/>
      <c r="G390" s="47"/>
    </row>
    <row r="391" spans="1:7" ht="12.75">
      <c r="A391" s="46"/>
      <c r="B391" s="46"/>
      <c r="C391" s="47"/>
      <c r="D391" s="47"/>
      <c r="E391" s="47"/>
      <c r="F391" s="47"/>
      <c r="G391" s="47"/>
    </row>
    <row r="392" spans="3:7" ht="12.75">
      <c r="C392" s="41"/>
      <c r="D392" s="41"/>
      <c r="E392" s="41"/>
      <c r="F392" s="41"/>
      <c r="G392" s="41"/>
    </row>
    <row r="393" spans="1:7" ht="13.5" thickBot="1">
      <c r="A393" s="43" t="s">
        <v>260</v>
      </c>
      <c r="B393" s="43"/>
      <c r="C393" s="53" t="e">
        <f>#REF!/#REF!</f>
        <v>#REF!</v>
      </c>
      <c r="D393" s="53" t="e">
        <f>#REF!/#REF!</f>
        <v>#REF!</v>
      </c>
      <c r="E393" s="53" t="e">
        <f>#REF!/#REF!</f>
        <v>#REF!</v>
      </c>
      <c r="F393" s="53" t="e">
        <f>#REF!/#REF!</f>
        <v>#REF!</v>
      </c>
      <c r="G393" s="53" t="e">
        <f>#REF!/#REF!</f>
        <v>#REF!</v>
      </c>
    </row>
    <row r="394" ht="13.5" thickTop="1"/>
  </sheetData>
  <mergeCells count="2">
    <mergeCell ref="A1:G1"/>
    <mergeCell ref="A2:G2"/>
  </mergeCells>
  <printOptions horizontalCentered="1"/>
  <pageMargins left="0.5" right="0.5" top="0.25" bottom="0.65" header="0.4" footer="0.2"/>
  <pageSetup fitToHeight="1" fitToWidth="1" horizontalDpi="600" verticalDpi="600" orientation="landscape" scale="59" r:id="rId1"/>
  <headerFooter alignWithMargins="0">
    <oddFooter>&amp;LExhibit RMP____(CCP-3)&amp;CTab 3 - Page 16 of 20&amp;R&amp;F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paice</dc:creator>
  <cp:keywords/>
  <dc:description/>
  <cp:lastModifiedBy>sbintz</cp:lastModifiedBy>
  <cp:lastPrinted>2008-07-10T20:22:55Z</cp:lastPrinted>
  <dcterms:created xsi:type="dcterms:W3CDTF">1999-05-18T21:16:11Z</dcterms:created>
  <dcterms:modified xsi:type="dcterms:W3CDTF">2008-07-22T23:14:16Z</dcterms:modified>
  <cp:category>::ODMA\GRPWISE\ASPOSUPT.PUPSC.PUPSCDocs:58176.1</cp:category>
  <cp:version/>
  <cp:contentType/>
  <cp:contentStatus/>
</cp:coreProperties>
</file>