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codeName="ThisWorkbook" defaultThemeVersion="124226"/>
  <bookViews>
    <workbookView xWindow="0" yWindow="4845" windowWidth="19200" windowHeight="6930" tabRatio="940"/>
  </bookViews>
  <sheets>
    <sheet name="EBA Calculation" sheetId="19" r:id="rId1"/>
  </sheets>
  <definedNames>
    <definedName name="_Order1" hidden="1">255</definedName>
    <definedName name="_Order2" hidden="1">0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retail_CC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SAPBEXrevision" hidden="1">1</definedName>
    <definedName name="SAPBEXsysID" hidden="1">"BWP"</definedName>
    <definedName name="SAPBEXwbID" hidden="1">"44KU92Q9LH2VK4DK86GZ93AXN"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wrn.All._.Pages." hidden="1">{#N/A,#N/A,FALSE,"cover";#N/A,#N/A,FALSE,"lead sheet";#N/A,#N/A,FALSE,"Adj backup";#N/A,#N/A,FALSE,"t Accounts"}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</definedNames>
  <calcPr calcId="125725" iterate="1"/>
</workbook>
</file>

<file path=xl/calcChain.xml><?xml version="1.0" encoding="utf-8"?>
<calcChain xmlns="http://schemas.openxmlformats.org/spreadsheetml/2006/main">
  <c r="C58" i="19"/>
  <c r="C60"/>
  <c r="L59" l="1"/>
  <c r="L51"/>
  <c r="J42"/>
  <c r="J35"/>
  <c r="J47" s="1"/>
  <c r="J6"/>
  <c r="J16" l="1"/>
  <c r="I42" l="1"/>
  <c r="I35"/>
  <c r="I47" s="1"/>
  <c r="I6"/>
  <c r="I16" l="1"/>
  <c r="J28" l="1"/>
  <c r="J32"/>
  <c r="H35" l="1"/>
  <c r="H6"/>
  <c r="H42" l="1"/>
  <c r="H47"/>
  <c r="H16" l="1"/>
  <c r="H21" s="1"/>
  <c r="H23" s="1"/>
  <c r="G35" l="1"/>
  <c r="G47" s="1"/>
  <c r="L22" l="1"/>
  <c r="E35"/>
  <c r="E47" s="1"/>
  <c r="G42"/>
  <c r="G6"/>
  <c r="G16" l="1"/>
  <c r="J21" l="1"/>
  <c r="J23" s="1"/>
  <c r="J36" s="1"/>
  <c r="J46" s="1"/>
  <c r="I21"/>
  <c r="I23" s="1"/>
  <c r="G21"/>
  <c r="G23" s="1"/>
  <c r="L18"/>
  <c r="J48" l="1"/>
  <c r="J50" s="1"/>
  <c r="J52" s="1"/>
  <c r="J58" s="1"/>
  <c r="L41" l="1"/>
  <c r="L40"/>
  <c r="F35"/>
  <c r="L35" s="1"/>
  <c r="F6"/>
  <c r="L42" l="1"/>
  <c r="F42"/>
  <c r="F47"/>
  <c r="A10" l="1"/>
  <c r="L47"/>
  <c r="E42" l="1"/>
  <c r="L14"/>
  <c r="L15"/>
  <c r="L12" l="1"/>
  <c r="L13"/>
  <c r="E16" l="1"/>
  <c r="E21" l="1"/>
  <c r="E23" s="1"/>
  <c r="C15" l="1"/>
  <c r="C14"/>
  <c r="C13"/>
  <c r="C12"/>
  <c r="C11"/>
  <c r="C10"/>
  <c r="E28" l="1"/>
  <c r="E32"/>
  <c r="E36" l="1"/>
  <c r="E46" s="1"/>
  <c r="E48" l="1"/>
  <c r="E50" s="1"/>
  <c r="E52" l="1"/>
  <c r="E58" s="1"/>
  <c r="E60" l="1"/>
  <c r="E61" s="1"/>
  <c r="A11" l="1"/>
  <c r="A12" l="1"/>
  <c r="A13" l="1"/>
  <c r="A14" l="1"/>
  <c r="A15" s="1"/>
  <c r="A16" l="1"/>
  <c r="A18" l="1"/>
  <c r="C19" s="1"/>
  <c r="A19" l="1"/>
  <c r="A20" s="1"/>
  <c r="A21" s="1"/>
  <c r="C21" l="1"/>
  <c r="A22"/>
  <c r="C35" s="1"/>
  <c r="A23"/>
  <c r="C47"/>
  <c r="C23" l="1"/>
  <c r="A26"/>
  <c r="A27" l="1"/>
  <c r="C28" s="1"/>
  <c r="A28" l="1"/>
  <c r="A30" l="1"/>
  <c r="A31" s="1"/>
  <c r="A32" s="1"/>
  <c r="A34" s="1"/>
  <c r="C34" l="1"/>
  <c r="C32"/>
  <c r="A35"/>
  <c r="A36" s="1"/>
  <c r="C36" l="1"/>
  <c r="A40"/>
  <c r="A41" l="1"/>
  <c r="C42" s="1"/>
  <c r="A42" l="1"/>
  <c r="C46" l="1"/>
  <c r="A46"/>
  <c r="A47"/>
  <c r="A48" s="1"/>
  <c r="C50" l="1"/>
  <c r="A50"/>
  <c r="C48"/>
  <c r="A51" l="1"/>
  <c r="C52" s="1"/>
  <c r="A52" l="1"/>
  <c r="A56" l="1"/>
  <c r="A57" s="1"/>
  <c r="A58" l="1"/>
  <c r="A59" l="1"/>
  <c r="A60" l="1"/>
  <c r="A61" l="1"/>
  <c r="C57" s="1"/>
  <c r="C61"/>
  <c r="F57" l="1"/>
  <c r="L10" l="1"/>
  <c r="L11"/>
  <c r="F16" l="1"/>
  <c r="L16" s="1"/>
  <c r="L19" s="1"/>
  <c r="L21" s="1"/>
  <c r="F21" l="1"/>
  <c r="F23" s="1"/>
  <c r="L23" s="1"/>
  <c r="I32" l="1"/>
  <c r="I28"/>
  <c r="I36" s="1"/>
  <c r="I46" l="1"/>
  <c r="I48" s="1"/>
  <c r="I50" l="1"/>
  <c r="I52" s="1"/>
  <c r="I58" s="1"/>
  <c r="H32" l="1"/>
  <c r="H28" l="1"/>
  <c r="H36" s="1"/>
  <c r="H46" s="1"/>
  <c r="H48" s="1"/>
  <c r="H50" s="1"/>
  <c r="H52" s="1"/>
  <c r="H58" s="1"/>
  <c r="G32"/>
  <c r="G28" l="1"/>
  <c r="G36" s="1"/>
  <c r="G46" s="1"/>
  <c r="G48" s="1"/>
  <c r="G50" s="1"/>
  <c r="G52" s="1"/>
  <c r="G58" s="1"/>
  <c r="L30" l="1"/>
  <c r="L32" s="1"/>
  <c r="F32" l="1"/>
  <c r="L26"/>
  <c r="L28" s="1"/>
  <c r="F28" l="1"/>
  <c r="L34" s="1"/>
  <c r="L36" s="1"/>
  <c r="L46" s="1"/>
  <c r="F36" l="1"/>
  <c r="F46" s="1"/>
  <c r="F48" s="1"/>
  <c r="L48" s="1"/>
  <c r="L50" s="1"/>
  <c r="L52" s="1"/>
  <c r="F50" l="1"/>
  <c r="F52" s="1"/>
  <c r="F58" l="1"/>
  <c r="F60" l="1"/>
  <c r="L58"/>
  <c r="F61" l="1"/>
  <c r="G57" s="1"/>
  <c r="G60" s="1"/>
  <c r="G61" s="1"/>
  <c r="H57" s="1"/>
  <c r="H60" s="1"/>
  <c r="H61" s="1"/>
  <c r="I57" s="1"/>
  <c r="I60" s="1"/>
  <c r="I61" s="1"/>
  <c r="J57" s="1"/>
  <c r="J60" l="1"/>
  <c r="L60" s="1"/>
  <c r="L61" s="1"/>
  <c r="J61"/>
</calcChain>
</file>

<file path=xl/sharedStrings.xml><?xml version="1.0" encoding="utf-8"?>
<sst xmlns="http://schemas.openxmlformats.org/spreadsheetml/2006/main" count="60" uniqueCount="57">
  <si>
    <t>Total</t>
  </si>
  <si>
    <t>Utah EBA Base</t>
  </si>
  <si>
    <t>Line No.</t>
  </si>
  <si>
    <t>Deferral</t>
  </si>
  <si>
    <t>Energy Balancing Account</t>
  </si>
  <si>
    <t xml:space="preserve">Note: </t>
  </si>
  <si>
    <t>Utah Energy Balancing Account Mechanism</t>
  </si>
  <si>
    <t>Ferc 447 - Sales for Resale</t>
  </si>
  <si>
    <t>Ferc 555 - Purchased Power</t>
  </si>
  <si>
    <t>Ferc 501 - Fuel Consumed</t>
  </si>
  <si>
    <t>Ferc 547 - Fuel Natural Gas</t>
  </si>
  <si>
    <t>Ferc 503 - Other Fuel</t>
  </si>
  <si>
    <t>Actual $/MWh (Total Company)</t>
  </si>
  <si>
    <t>UT Actual NPC Before Wheeling Revenue</t>
  </si>
  <si>
    <t>Ferc 565 - Wheeling Expense</t>
  </si>
  <si>
    <t xml:space="preserve">Base:  </t>
  </si>
  <si>
    <t>Actuals:</t>
  </si>
  <si>
    <t>Reference</t>
  </si>
  <si>
    <t xml:space="preserve">UT Base $/MWh </t>
  </si>
  <si>
    <t>Actual Firm Wheeling Revenues (Total Company)</t>
  </si>
  <si>
    <t>Actual Non-Firm Wheeling Revenues (Total Company)</t>
  </si>
  <si>
    <t>Note 1</t>
  </si>
  <si>
    <t>Beginning EBA Balance</t>
  </si>
  <si>
    <t>Interest</t>
  </si>
  <si>
    <t>Ending EBA Balance</t>
  </si>
  <si>
    <t>Docket No. 09-035-15, March 2, 2011 Report and Order, Page 79</t>
  </si>
  <si>
    <t>Utah Base MWh</t>
  </si>
  <si>
    <t>Actual Unadjusted NPC (Total Company)</t>
  </si>
  <si>
    <t>System Load (Total Company MWh)</t>
  </si>
  <si>
    <t>Stipulated Scalar Energy Balancing Account Calculation</t>
  </si>
  <si>
    <t>Utah Allocation Scalar</t>
  </si>
  <si>
    <t>Settlement Stipulation</t>
  </si>
  <si>
    <t>Utah Actual $/MWh Before Wheeling Revenue</t>
  </si>
  <si>
    <t>Utah Jurisdictional Load (MWh)</t>
  </si>
  <si>
    <t>SG Factor</t>
  </si>
  <si>
    <t>Utah Actual Firm Wheeling Revenues</t>
  </si>
  <si>
    <t xml:space="preserve">SE Factor </t>
  </si>
  <si>
    <t>Utah Actual Non-Firm Wheeling Revenues</t>
  </si>
  <si>
    <t>UT Actual EBA Costs</t>
  </si>
  <si>
    <t>Exhibit B, Column (m)
Stipulation 10-035-124</t>
  </si>
  <si>
    <t>Exhibit B, Column (n)
Stipulation 10-035-124</t>
  </si>
  <si>
    <t>$/ MWH Differential</t>
  </si>
  <si>
    <t>Total Deferrable</t>
  </si>
  <si>
    <t>Incremental EBA Deferral at 70% Sharing</t>
  </si>
  <si>
    <t>Additional FERC ER11-3643 Revenues</t>
  </si>
  <si>
    <t xml:space="preserve">Incremental Deferral </t>
  </si>
  <si>
    <t>Monthly Interest Rate</t>
  </si>
  <si>
    <t>Incremental EBA Deferral</t>
  </si>
  <si>
    <t>EBA Revenues</t>
  </si>
  <si>
    <t>Actual EBA Deferral Rate $/MWh</t>
  </si>
  <si>
    <t>June 2012</t>
  </si>
  <si>
    <t>Actual Loads, Line 20
"Preliminary" Jan to Jun 2012</t>
  </si>
  <si>
    <t>Preliminary actual jurisdictional allocation factors have been updated to reflect the twelve-months ended June 2012</t>
  </si>
  <si>
    <t xml:space="preserve">Wheeling Revenues, ∑ Lines 1:32 </t>
  </si>
  <si>
    <t>Note 2, Actual Factors, Line 1</t>
  </si>
  <si>
    <t xml:space="preserve">Wheeling Revenues, ∑ Lines 33:34 </t>
  </si>
  <si>
    <t>Note 2, Actual Factors, Line 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</si>
</sst>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\-yy;@"/>
    <numFmt numFmtId="166" formatCode="0.000%"/>
    <numFmt numFmtId="167" formatCode="&quot;$&quot;###0;[Red]\(&quot;$&quot;###0\)"/>
    <numFmt numFmtId="168" formatCode="0.0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color indexed="39"/>
      <name val="Arial"/>
      <family val="2"/>
    </font>
    <font>
      <b/>
      <sz val="18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8"/>
      <name val="Helv"/>
    </font>
    <font>
      <b/>
      <sz val="8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0"/>
      <color rgb="FFFF000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4"/>
        <bgColor indexed="64"/>
      </patternFill>
    </fill>
  </fills>
  <borders count="10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5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" fontId="6" fillId="2" borderId="1" applyNumberFormat="0" applyProtection="0">
      <alignment vertical="center"/>
    </xf>
    <xf numFmtId="4" fontId="7" fillId="3" borderId="1" applyNumberFormat="0" applyProtection="0">
      <alignment vertical="center"/>
    </xf>
    <xf numFmtId="4" fontId="6" fillId="3" borderId="1" applyNumberFormat="0" applyProtection="0">
      <alignment vertical="center"/>
    </xf>
    <xf numFmtId="0" fontId="6" fillId="3" borderId="1" applyNumberFormat="0" applyProtection="0">
      <alignment horizontal="left" vertical="top" indent="1"/>
    </xf>
    <xf numFmtId="4" fontId="6" fillId="4" borderId="2" applyNumberFormat="0" applyProtection="0">
      <alignment vertical="center"/>
    </xf>
    <xf numFmtId="4" fontId="8" fillId="5" borderId="1" applyNumberFormat="0" applyProtection="0">
      <alignment horizontal="right" vertical="center"/>
    </xf>
    <xf numFmtId="4" fontId="8" fillId="6" borderId="1" applyNumberFormat="0" applyProtection="0">
      <alignment horizontal="right" vertical="center"/>
    </xf>
    <xf numFmtId="4" fontId="8" fillId="7" borderId="1" applyNumberFormat="0" applyProtection="0">
      <alignment horizontal="right" vertical="center"/>
    </xf>
    <xf numFmtId="4" fontId="8" fillId="8" borderId="1" applyNumberFormat="0" applyProtection="0">
      <alignment horizontal="right" vertical="center"/>
    </xf>
    <xf numFmtId="4" fontId="8" fillId="9" borderId="1" applyNumberFormat="0" applyProtection="0">
      <alignment horizontal="right" vertical="center"/>
    </xf>
    <xf numFmtId="4" fontId="8" fillId="10" borderId="1" applyNumberFormat="0" applyProtection="0">
      <alignment horizontal="right" vertical="center"/>
    </xf>
    <xf numFmtId="4" fontId="8" fillId="11" borderId="1" applyNumberFormat="0" applyProtection="0">
      <alignment horizontal="right" vertical="center"/>
    </xf>
    <xf numFmtId="4" fontId="8" fillId="12" borderId="1" applyNumberFormat="0" applyProtection="0">
      <alignment horizontal="right" vertical="center"/>
    </xf>
    <xf numFmtId="4" fontId="8" fillId="13" borderId="1" applyNumberFormat="0" applyProtection="0">
      <alignment horizontal="right" vertical="center"/>
    </xf>
    <xf numFmtId="4" fontId="6" fillId="14" borderId="3" applyNumberFormat="0" applyProtection="0">
      <alignment horizontal="left" vertical="center" indent="1"/>
    </xf>
    <xf numFmtId="4" fontId="8" fillId="15" borderId="0" applyNumberFormat="0" applyProtection="0">
      <alignment horizontal="left" vertical="center" indent="1"/>
    </xf>
    <xf numFmtId="4" fontId="9" fillId="16" borderId="0" applyNumberFormat="0" applyProtection="0">
      <alignment horizontal="left" vertical="center" indent="1"/>
    </xf>
    <xf numFmtId="4" fontId="8" fillId="17" borderId="1" applyNumberFormat="0" applyProtection="0">
      <alignment horizontal="right" vertical="center"/>
    </xf>
    <xf numFmtId="4" fontId="10" fillId="0" borderId="0" applyNumberFormat="0" applyProtection="0">
      <alignment horizontal="left" vertical="center" indent="1"/>
    </xf>
    <xf numFmtId="4" fontId="11" fillId="0" borderId="0" applyNumberFormat="0" applyProtection="0">
      <alignment horizontal="left" vertical="center" indent="1"/>
    </xf>
    <xf numFmtId="0" fontId="5" fillId="16" borderId="1" applyNumberFormat="0" applyProtection="0">
      <alignment horizontal="left" vertical="center" indent="1"/>
    </xf>
    <xf numFmtId="0" fontId="5" fillId="16" borderId="1" applyNumberFormat="0" applyProtection="0">
      <alignment horizontal="left" vertical="top" indent="1"/>
    </xf>
    <xf numFmtId="0" fontId="5" fillId="4" borderId="1" applyNumberFormat="0" applyProtection="0">
      <alignment horizontal="left" vertical="center" indent="1"/>
    </xf>
    <xf numFmtId="0" fontId="5" fillId="4" borderId="1" applyNumberFormat="0" applyProtection="0">
      <alignment horizontal="left" vertical="top" indent="1"/>
    </xf>
    <xf numFmtId="0" fontId="5" fillId="18" borderId="1" applyNumberFormat="0" applyProtection="0">
      <alignment horizontal="left" vertical="center" indent="1"/>
    </xf>
    <xf numFmtId="0" fontId="5" fillId="18" borderId="1" applyNumberFormat="0" applyProtection="0">
      <alignment horizontal="left" vertical="top" indent="1"/>
    </xf>
    <xf numFmtId="0" fontId="5" fillId="19" borderId="1" applyNumberFormat="0" applyProtection="0">
      <alignment horizontal="left" vertical="center" indent="1"/>
    </xf>
    <xf numFmtId="0" fontId="5" fillId="19" borderId="1" applyNumberFormat="0" applyProtection="0">
      <alignment horizontal="left" vertical="top" indent="1"/>
    </xf>
    <xf numFmtId="4" fontId="8" fillId="20" borderId="1" applyNumberFormat="0" applyProtection="0">
      <alignment vertical="center"/>
    </xf>
    <xf numFmtId="4" fontId="12" fillId="20" borderId="1" applyNumberFormat="0" applyProtection="0">
      <alignment vertical="center"/>
    </xf>
    <xf numFmtId="4" fontId="8" fillId="20" borderId="1" applyNumberFormat="0" applyProtection="0">
      <alignment horizontal="left" vertical="center" indent="1"/>
    </xf>
    <xf numFmtId="0" fontId="8" fillId="20" borderId="1" applyNumberFormat="0" applyProtection="0">
      <alignment horizontal="left" vertical="top" indent="1"/>
    </xf>
    <xf numFmtId="4" fontId="8" fillId="21" borderId="4" applyNumberFormat="0" applyProtection="0">
      <alignment horizontal="right" vertical="center"/>
    </xf>
    <xf numFmtId="4" fontId="12" fillId="15" borderId="1" applyNumberFormat="0" applyProtection="0">
      <alignment horizontal="right" vertical="center"/>
    </xf>
    <xf numFmtId="4" fontId="8" fillId="17" borderId="1" applyNumberFormat="0" applyProtection="0">
      <alignment horizontal="left" vertical="center" indent="1"/>
    </xf>
    <xf numFmtId="0" fontId="8" fillId="4" borderId="1" applyNumberFormat="0" applyProtection="0">
      <alignment horizontal="center" vertical="top"/>
    </xf>
    <xf numFmtId="4" fontId="13" fillId="0" borderId="0" applyNumberFormat="0" applyProtection="0">
      <alignment horizontal="left" vertical="center"/>
    </xf>
    <xf numFmtId="4" fontId="14" fillId="15" borderId="1" applyNumberFormat="0" applyProtection="0">
      <alignment horizontal="right" vertical="center"/>
    </xf>
    <xf numFmtId="44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167" fontId="16" fillId="0" borderId="0" applyFont="0" applyFill="0" applyBorder="0" applyProtection="0">
      <alignment horizontal="right"/>
    </xf>
    <xf numFmtId="5" fontId="5" fillId="0" borderId="0" applyFont="0" applyFill="0" applyBorder="0" applyAlignment="0" applyProtection="0"/>
    <xf numFmtId="14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168" fontId="17" fillId="0" borderId="0" applyNumberFormat="0" applyFill="0" applyBorder="0" applyAlignment="0" applyProtection="0"/>
    <xf numFmtId="0" fontId="18" fillId="0" borderId="7" applyNumberFormat="0" applyBorder="0" applyAlignment="0"/>
    <xf numFmtId="12" fontId="15" fillId="22" borderId="8">
      <alignment horizontal="left"/>
    </xf>
    <xf numFmtId="37" fontId="18" fillId="3" borderId="0" applyNumberFormat="0" applyBorder="0" applyAlignment="0" applyProtection="0"/>
    <xf numFmtId="37" fontId="18" fillId="0" borderId="0"/>
    <xf numFmtId="3" fontId="19" fillId="23" borderId="9" applyProtection="0"/>
    <xf numFmtId="0" fontId="5" fillId="0" borderId="0"/>
    <xf numFmtId="0" fontId="5" fillId="0" borderId="0"/>
  </cellStyleXfs>
  <cellXfs count="81">
    <xf numFmtId="0" fontId="0" fillId="0" borderId="0" xfId="0"/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4" fillId="0" borderId="6" xfId="0" applyFont="1" applyFill="1" applyBorder="1" applyAlignment="1">
      <alignment horizontal="center" wrapText="1"/>
    </xf>
    <xf numFmtId="165" fontId="4" fillId="0" borderId="6" xfId="0" applyNumberFormat="1" applyFont="1" applyFill="1" applyBorder="1" applyAlignment="1">
      <alignment horizontal="center"/>
    </xf>
    <xf numFmtId="165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NumberFormat="1" applyFont="1" applyFill="1" applyBorder="1" applyAlignment="1">
      <alignment horizontal="left" vertical="center"/>
    </xf>
    <xf numFmtId="0" fontId="3" fillId="0" borderId="0" xfId="2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2" applyNumberFormat="1" applyFont="1" applyFill="1" applyBorder="1"/>
    <xf numFmtId="0" fontId="4" fillId="0" borderId="0" xfId="0" applyFont="1" applyFill="1" applyBorder="1" applyAlignment="1">
      <alignment vertical="center"/>
    </xf>
    <xf numFmtId="0" fontId="5" fillId="0" borderId="0" xfId="2" applyNumberFormat="1" applyFont="1" applyFill="1" applyBorder="1" applyAlignment="1">
      <alignment vertical="center"/>
    </xf>
    <xf numFmtId="0" fontId="3" fillId="0" borderId="0" xfId="0" applyFont="1" applyFill="1" applyBorder="1"/>
    <xf numFmtId="164" fontId="3" fillId="0" borderId="5" xfId="1" applyNumberFormat="1" applyFont="1" applyFill="1" applyBorder="1"/>
    <xf numFmtId="0" fontId="3" fillId="0" borderId="0" xfId="0" applyFont="1" applyFill="1" applyAlignment="1">
      <alignment horizontal="left" vertical="center" wrapText="1"/>
    </xf>
    <xf numFmtId="10" fontId="3" fillId="0" borderId="0" xfId="0" applyNumberFormat="1" applyFont="1" applyFill="1" applyAlignment="1">
      <alignment horizontal="right" vertical="center"/>
    </xf>
    <xf numFmtId="164" fontId="3" fillId="0" borderId="0" xfId="1" applyNumberFormat="1" applyFont="1" applyFill="1" applyAlignment="1">
      <alignment horizontal="left" vertical="center" wrapText="1"/>
    </xf>
    <xf numFmtId="164" fontId="3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164" fontId="2" fillId="0" borderId="5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 vertical="center" wrapText="1"/>
    </xf>
    <xf numFmtId="0" fontId="3" fillId="0" borderId="0" xfId="2" applyNumberFormat="1" applyFont="1" applyFill="1" applyBorder="1" applyAlignment="1">
      <alignment horizontal="center" vertical="center"/>
    </xf>
    <xf numFmtId="0" fontId="3" fillId="0" borderId="0" xfId="2" applyNumberFormat="1" applyFont="1" applyFill="1" applyBorder="1" applyAlignment="1">
      <alignment horizontal="center"/>
    </xf>
    <xf numFmtId="164" fontId="3" fillId="0" borderId="0" xfId="1" applyNumberFormat="1" applyFont="1" applyFill="1" applyBorder="1"/>
    <xf numFmtId="0" fontId="2" fillId="0" borderId="0" xfId="0" applyFont="1" applyFill="1" applyBorder="1"/>
    <xf numFmtId="164" fontId="2" fillId="0" borderId="0" xfId="0" applyNumberFormat="1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horizontal="left" vertical="center" wrapText="1"/>
    </xf>
    <xf numFmtId="165" fontId="4" fillId="0" borderId="6" xfId="0" applyNumberFormat="1" applyFont="1" applyFill="1" applyBorder="1" applyAlignment="1">
      <alignment horizontal="right"/>
    </xf>
    <xf numFmtId="164" fontId="3" fillId="0" borderId="0" xfId="0" applyNumberFormat="1" applyFont="1" applyFill="1" applyAlignment="1">
      <alignment horizontal="right" vertical="center" wrapText="1"/>
    </xf>
    <xf numFmtId="164" fontId="2" fillId="0" borderId="5" xfId="0" applyNumberFormat="1" applyFont="1" applyFill="1" applyBorder="1" applyAlignment="1">
      <alignment horizontal="right" vertical="center" wrapText="1"/>
    </xf>
    <xf numFmtId="0" fontId="4" fillId="0" borderId="0" xfId="0" applyFont="1" applyFill="1"/>
    <xf numFmtId="164" fontId="3" fillId="0" borderId="0" xfId="1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/>
    </xf>
    <xf numFmtId="164" fontId="3" fillId="0" borderId="5" xfId="1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44" fontId="3" fillId="0" borderId="0" xfId="2" applyNumberFormat="1" applyFont="1" applyFill="1" applyAlignment="1">
      <alignment horizontal="right" vertical="center"/>
    </xf>
    <xf numFmtId="166" fontId="3" fillId="0" borderId="0" xfId="3" applyNumberFormat="1" applyFont="1" applyFill="1" applyAlignment="1">
      <alignment horizontal="right" vertical="center"/>
    </xf>
    <xf numFmtId="44" fontId="3" fillId="0" borderId="5" xfId="0" applyNumberFormat="1" applyFont="1" applyFill="1" applyBorder="1" applyAlignment="1">
      <alignment horizontal="right" vertical="center"/>
    </xf>
    <xf numFmtId="164" fontId="2" fillId="0" borderId="5" xfId="1" applyNumberFormat="1" applyFont="1" applyFill="1" applyBorder="1" applyAlignment="1">
      <alignment horizontal="right" vertical="center"/>
    </xf>
    <xf numFmtId="164" fontId="3" fillId="0" borderId="0" xfId="0" applyNumberFormat="1" applyFont="1" applyFill="1" applyAlignment="1">
      <alignment horizontal="right" vertical="center"/>
    </xf>
    <xf numFmtId="164" fontId="3" fillId="0" borderId="5" xfId="0" applyNumberFormat="1" applyFont="1" applyFill="1" applyBorder="1" applyAlignment="1">
      <alignment horizontal="right" vertical="center"/>
    </xf>
    <xf numFmtId="2" fontId="3" fillId="0" borderId="5" xfId="2" applyNumberFormat="1" applyFont="1" applyFill="1" applyBorder="1" applyAlignment="1">
      <alignment horizontal="right" vertical="center"/>
    </xf>
    <xf numFmtId="44" fontId="3" fillId="0" borderId="0" xfId="2" applyFont="1" applyFill="1" applyAlignment="1">
      <alignment horizontal="right"/>
    </xf>
    <xf numFmtId="44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>
      <alignment horizontal="right"/>
    </xf>
    <xf numFmtId="164" fontId="3" fillId="0" borderId="5" xfId="1" applyNumberFormat="1" applyFont="1" applyFill="1" applyBorder="1" applyAlignment="1">
      <alignment horizontal="right"/>
    </xf>
    <xf numFmtId="164" fontId="3" fillId="0" borderId="0" xfId="1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164" fontId="2" fillId="0" borderId="5" xfId="0" applyNumberFormat="1" applyFont="1" applyFill="1" applyBorder="1" applyAlignment="1">
      <alignment horizontal="right"/>
    </xf>
    <xf numFmtId="164" fontId="3" fillId="0" borderId="0" xfId="1" applyNumberFormat="1" applyFont="1" applyFill="1" applyAlignment="1">
      <alignment horizontal="right"/>
    </xf>
    <xf numFmtId="164" fontId="20" fillId="0" borderId="0" xfId="1" applyNumberFormat="1" applyFont="1" applyFill="1" applyAlignment="1">
      <alignment horizontal="right" vertical="center"/>
    </xf>
    <xf numFmtId="0" fontId="3" fillId="0" borderId="5" xfId="0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right" vertical="center"/>
    </xf>
    <xf numFmtId="2" fontId="3" fillId="0" borderId="5" xfId="0" applyNumberFormat="1" applyFont="1" applyFill="1" applyBorder="1" applyAlignment="1">
      <alignment horizontal="right" vertical="center"/>
    </xf>
    <xf numFmtId="164" fontId="3" fillId="0" borderId="0" xfId="0" applyNumberFormat="1" applyFont="1" applyFill="1" applyAlignment="1">
      <alignment vertical="center" wrapText="1"/>
    </xf>
    <xf numFmtId="0" fontId="4" fillId="0" borderId="0" xfId="0" quotePrefix="1" applyFont="1" applyFill="1"/>
    <xf numFmtId="0" fontId="3" fillId="0" borderId="6" xfId="0" applyFont="1" applyFill="1" applyBorder="1"/>
    <xf numFmtId="0" fontId="2" fillId="0" borderId="6" xfId="0" applyFont="1" applyFill="1" applyBorder="1" applyAlignment="1">
      <alignment horizontal="center"/>
    </xf>
    <xf numFmtId="43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left" vertical="center"/>
    </xf>
    <xf numFmtId="0" fontId="3" fillId="0" borderId="6" xfId="0" applyFont="1" applyFill="1" applyBorder="1" applyAlignment="1">
      <alignment horizontal="right" vertical="center"/>
    </xf>
    <xf numFmtId="0" fontId="20" fillId="0" borderId="0" xfId="0" applyFont="1" applyFill="1" applyAlignment="1">
      <alignment horizontal="left" vertical="center"/>
    </xf>
    <xf numFmtId="164" fontId="3" fillId="0" borderId="0" xfId="1" applyNumberFormat="1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44" fontId="3" fillId="0" borderId="0" xfId="0" applyNumberFormat="1" applyFont="1" applyFill="1"/>
    <xf numFmtId="164" fontId="3" fillId="0" borderId="0" xfId="0" applyNumberFormat="1" applyFont="1" applyFill="1"/>
    <xf numFmtId="0" fontId="3" fillId="0" borderId="5" xfId="0" applyFont="1" applyFill="1" applyBorder="1"/>
    <xf numFmtId="164" fontId="3" fillId="0" borderId="0" xfId="1" applyNumberFormat="1" applyFont="1" applyFill="1"/>
    <xf numFmtId="164" fontId="3" fillId="0" borderId="0" xfId="0" applyNumberFormat="1" applyFont="1" applyFill="1" applyBorder="1"/>
    <xf numFmtId="164" fontId="3" fillId="0" borderId="6" xfId="1" applyNumberFormat="1" applyFont="1" applyFill="1" applyBorder="1" applyAlignment="1">
      <alignment horizontal="right" vertical="center"/>
    </xf>
    <xf numFmtId="164" fontId="2" fillId="0" borderId="5" xfId="0" applyNumberFormat="1" applyFont="1" applyFill="1" applyBorder="1"/>
    <xf numFmtId="164" fontId="3" fillId="0" borderId="0" xfId="0" applyNumberFormat="1" applyFont="1" applyFill="1" applyAlignment="1">
      <alignment vertical="center"/>
    </xf>
    <xf numFmtId="0" fontId="2" fillId="0" borderId="5" xfId="0" applyFont="1" applyFill="1" applyBorder="1"/>
    <xf numFmtId="164" fontId="20" fillId="0" borderId="0" xfId="0" applyNumberFormat="1" applyFont="1" applyFill="1" applyAlignment="1">
      <alignment horizontal="right"/>
    </xf>
    <xf numFmtId="0" fontId="20" fillId="0" borderId="0" xfId="0" applyFont="1" applyFill="1" applyAlignment="1">
      <alignment horizontal="left"/>
    </xf>
  </cellXfs>
  <cellStyles count="59">
    <cellStyle name="Comma" xfId="1" builtinId="3"/>
    <cellStyle name="Comma 2" xfId="4"/>
    <cellStyle name="Comma0" xfId="46"/>
    <cellStyle name="Currency" xfId="2" builtinId="4"/>
    <cellStyle name="Currency 2" xfId="45"/>
    <cellStyle name="Currency No Comma" xfId="47"/>
    <cellStyle name="Currency0" xfId="48"/>
    <cellStyle name="Date" xfId="49"/>
    <cellStyle name="Fixed" xfId="50"/>
    <cellStyle name="MCP" xfId="51"/>
    <cellStyle name="noninput" xfId="52"/>
    <cellStyle name="Normal" xfId="0" builtinId="0"/>
    <cellStyle name="Normal 10" xfId="57"/>
    <cellStyle name="Normal 13" xfId="58"/>
    <cellStyle name="Normal 2" xfId="5"/>
    <cellStyle name="Password" xfId="53"/>
    <cellStyle name="Percent" xfId="3" builtinId="5"/>
    <cellStyle name="Percent 2" xfId="6"/>
    <cellStyle name="SAPBEXaggData" xfId="7"/>
    <cellStyle name="SAPBEXaggDataEmph" xfId="8"/>
    <cellStyle name="SAPBEXaggItem" xfId="9"/>
    <cellStyle name="SAPBEXaggItemX" xfId="10"/>
    <cellStyle name="SAPBEXchaText" xfId="11"/>
    <cellStyle name="SAPBEXexcBad7" xfId="12"/>
    <cellStyle name="SAPBEXexcBad8" xfId="13"/>
    <cellStyle name="SAPBEXexcBad9" xfId="14"/>
    <cellStyle name="SAPBEXexcCritical4" xfId="15"/>
    <cellStyle name="SAPBEXexcCritical5" xfId="16"/>
    <cellStyle name="SAPBEXexcCritical6" xfId="17"/>
    <cellStyle name="SAPBEXexcGood1" xfId="18"/>
    <cellStyle name="SAPBEXexcGood2" xfId="19"/>
    <cellStyle name="SAPBEXexcGood3" xfId="20"/>
    <cellStyle name="SAPBEXfilterDrill" xfId="21"/>
    <cellStyle name="SAPBEXfilterItem" xfId="22"/>
    <cellStyle name="SAPBEXfilterText" xfId="23"/>
    <cellStyle name="SAPBEXformats" xfId="24"/>
    <cellStyle name="SAPBEXheaderItem" xfId="25"/>
    <cellStyle name="SAPBEXheaderText" xfId="26"/>
    <cellStyle name="SAPBEXHLevel0" xfId="27"/>
    <cellStyle name="SAPBEXHLevel0X" xfId="28"/>
    <cellStyle name="SAPBEXHLevel1" xfId="29"/>
    <cellStyle name="SAPBEXHLevel1X" xfId="30"/>
    <cellStyle name="SAPBEXHLevel2" xfId="31"/>
    <cellStyle name="SAPBEXHLevel2X" xfId="32"/>
    <cellStyle name="SAPBEXHLevel3" xfId="33"/>
    <cellStyle name="SAPBEXHLevel3X" xfId="34"/>
    <cellStyle name="SAPBEXresData" xfId="35"/>
    <cellStyle name="SAPBEXresDataEmph" xfId="36"/>
    <cellStyle name="SAPBEXresItem" xfId="37"/>
    <cellStyle name="SAPBEXresItemX" xfId="38"/>
    <cellStyle name="SAPBEXstdData" xfId="39"/>
    <cellStyle name="SAPBEXstdDataEmph" xfId="40"/>
    <cellStyle name="SAPBEXstdItem" xfId="41"/>
    <cellStyle name="SAPBEXstdItemX" xfId="42"/>
    <cellStyle name="SAPBEXtitle" xfId="43"/>
    <cellStyle name="SAPBEXundefined" xfId="44"/>
    <cellStyle name="Unprot" xfId="54"/>
    <cellStyle name="Unprot$" xfId="55"/>
    <cellStyle name="Unprotect" xfId="56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66"/>
  <sheetViews>
    <sheetView tabSelected="1" view="pageBreakPreview" zoomScale="60" zoomScaleNormal="77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C36" sqref="C36"/>
    </sheetView>
  </sheetViews>
  <sheetFormatPr defaultRowHeight="12.75"/>
  <cols>
    <col min="1" max="1" width="5.7109375" style="2" customWidth="1"/>
    <col min="2" max="2" width="44.7109375" style="25" customWidth="1"/>
    <col min="3" max="3" width="34.85546875" style="24" customWidth="1"/>
    <col min="4" max="4" width="1.28515625" style="24" customWidth="1"/>
    <col min="5" max="10" width="19.5703125" style="38" customWidth="1"/>
    <col min="11" max="11" width="1.140625" style="25" customWidth="1"/>
    <col min="12" max="12" width="17" style="25" bestFit="1" customWidth="1"/>
    <col min="13" max="13" width="15" style="25" bestFit="1" customWidth="1"/>
    <col min="14" max="14" width="11.140625" style="25" bestFit="1" customWidth="1"/>
    <col min="15" max="16" width="11.42578125" style="25" bestFit="1" customWidth="1"/>
    <col min="17" max="17" width="9.140625" style="25"/>
    <col min="18" max="18" width="11.42578125" style="25" bestFit="1" customWidth="1"/>
    <col min="19" max="16384" width="9.140625" style="25"/>
  </cols>
  <sheetData>
    <row r="1" spans="1:12">
      <c r="A1" s="36" t="s">
        <v>6</v>
      </c>
    </row>
    <row r="2" spans="1:12">
      <c r="A2" s="61" t="s">
        <v>50</v>
      </c>
    </row>
    <row r="3" spans="1:12">
      <c r="A3" s="36" t="s">
        <v>29</v>
      </c>
    </row>
    <row r="5" spans="1:12">
      <c r="A5" s="1"/>
    </row>
    <row r="6" spans="1:12" ht="25.5">
      <c r="A6" s="3" t="s">
        <v>2</v>
      </c>
      <c r="B6" s="62"/>
      <c r="C6" s="63" t="s">
        <v>17</v>
      </c>
      <c r="D6" s="63"/>
      <c r="E6" s="33">
        <v>40909</v>
      </c>
      <c r="F6" s="33">
        <f>EDATE(E6,1)</f>
        <v>40940</v>
      </c>
      <c r="G6" s="33">
        <f>EDATE(F6,1)</f>
        <v>40969</v>
      </c>
      <c r="H6" s="33">
        <f>EDATE(G6,1)</f>
        <v>41000</v>
      </c>
      <c r="I6" s="33">
        <f>EDATE(H6,1)</f>
        <v>41030</v>
      </c>
      <c r="J6" s="33">
        <f>EDATE(I6,1)</f>
        <v>41061</v>
      </c>
      <c r="K6" s="5"/>
      <c r="L6" s="4" t="s">
        <v>0</v>
      </c>
    </row>
    <row r="7" spans="1:12">
      <c r="A7" s="6"/>
    </row>
    <row r="8" spans="1:12">
      <c r="A8" s="7" t="s">
        <v>16</v>
      </c>
    </row>
    <row r="9" spans="1:12">
      <c r="A9" s="8"/>
      <c r="I9" s="50"/>
      <c r="J9" s="64"/>
    </row>
    <row r="10" spans="1:12" s="65" customFormat="1">
      <c r="A10" s="8">
        <f>+MAX($A$1:A8)+1</f>
        <v>1</v>
      </c>
      <c r="B10" s="65" t="s">
        <v>7</v>
      </c>
      <c r="C10" s="8" t="str">
        <f>"C&amp;T Database Accounts "</f>
        <v xml:space="preserve">C&amp;T Database Accounts </v>
      </c>
      <c r="D10" s="8"/>
      <c r="E10" s="37">
        <v>-32991768.34</v>
      </c>
      <c r="F10" s="37">
        <v>-29232114.449999999</v>
      </c>
      <c r="G10" s="37">
        <v>-24551522.810000002</v>
      </c>
      <c r="H10" s="37">
        <v>-16393798.870000001</v>
      </c>
      <c r="I10" s="37">
        <v>-18586794.390000001</v>
      </c>
      <c r="J10" s="37">
        <v>-16684996.799999997</v>
      </c>
      <c r="K10" s="40"/>
      <c r="L10" s="45">
        <f t="shared" ref="L10:L16" si="0">SUM(E10:J10)</f>
        <v>-138440995.66</v>
      </c>
    </row>
    <row r="11" spans="1:12" s="65" customFormat="1">
      <c r="A11" s="8">
        <f>+MAX($A$1:A10)+1</f>
        <v>2</v>
      </c>
      <c r="B11" s="65" t="s">
        <v>8</v>
      </c>
      <c r="C11" s="8" t="str">
        <f>"C&amp;T Database Accounts "</f>
        <v xml:space="preserve">C&amp;T Database Accounts </v>
      </c>
      <c r="D11" s="8"/>
      <c r="E11" s="37">
        <v>42987349.529999994</v>
      </c>
      <c r="F11" s="37">
        <v>34461782.12999998</v>
      </c>
      <c r="G11" s="37">
        <v>41284592.760000005</v>
      </c>
      <c r="H11" s="37">
        <v>39037662.06000001</v>
      </c>
      <c r="I11" s="37">
        <v>42328733.039999999</v>
      </c>
      <c r="J11" s="37">
        <v>42544570.049999982</v>
      </c>
      <c r="K11" s="40"/>
      <c r="L11" s="45">
        <f t="shared" si="0"/>
        <v>242644689.56999996</v>
      </c>
    </row>
    <row r="12" spans="1:12" s="65" customFormat="1">
      <c r="A12" s="8">
        <f>+MAX($A$1:A11)+1</f>
        <v>3</v>
      </c>
      <c r="B12" s="65" t="s">
        <v>14</v>
      </c>
      <c r="C12" s="8" t="str">
        <f>"C&amp;T Database Accounts "</f>
        <v xml:space="preserve">C&amp;T Database Accounts </v>
      </c>
      <c r="D12" s="8"/>
      <c r="E12" s="37">
        <v>12075640.85</v>
      </c>
      <c r="F12" s="37">
        <v>12037829.41</v>
      </c>
      <c r="G12" s="37">
        <v>11657378.890000001</v>
      </c>
      <c r="H12" s="37">
        <v>11899935.890000001</v>
      </c>
      <c r="I12" s="37">
        <v>11755006.130000001</v>
      </c>
      <c r="J12" s="37">
        <v>12343536.200000001</v>
      </c>
      <c r="K12" s="40"/>
      <c r="L12" s="45">
        <f t="shared" si="0"/>
        <v>71769327.370000005</v>
      </c>
    </row>
    <row r="13" spans="1:12" s="65" customFormat="1">
      <c r="A13" s="8">
        <f>+MAX($A$1:A12)+1</f>
        <v>4</v>
      </c>
      <c r="B13" s="65" t="s">
        <v>9</v>
      </c>
      <c r="C13" s="8" t="str">
        <f>"Fuel Accounts"</f>
        <v>Fuel Accounts</v>
      </c>
      <c r="D13" s="8"/>
      <c r="E13" s="37">
        <v>63418923.319999993</v>
      </c>
      <c r="F13" s="37">
        <v>60811791.500000007</v>
      </c>
      <c r="G13" s="37">
        <v>56087989.730000012</v>
      </c>
      <c r="H13" s="37">
        <v>49455114.68</v>
      </c>
      <c r="I13" s="37">
        <v>51867190.950000003</v>
      </c>
      <c r="J13" s="37">
        <v>51004256.910000004</v>
      </c>
      <c r="K13" s="40"/>
      <c r="L13" s="45">
        <f t="shared" si="0"/>
        <v>332645267.09000003</v>
      </c>
    </row>
    <row r="14" spans="1:12" s="65" customFormat="1">
      <c r="A14" s="8">
        <f>+MAX($A$1:A13)+1</f>
        <v>5</v>
      </c>
      <c r="B14" s="65" t="s">
        <v>11</v>
      </c>
      <c r="C14" s="8" t="str">
        <f>"Fuel Accounts"</f>
        <v>Fuel Accounts</v>
      </c>
      <c r="D14" s="8"/>
      <c r="E14" s="37">
        <v>270095.89</v>
      </c>
      <c r="F14" s="37">
        <v>314658.39</v>
      </c>
      <c r="G14" s="37">
        <v>255334.39999999999</v>
      </c>
      <c r="H14" s="37">
        <v>258269.06</v>
      </c>
      <c r="I14" s="37">
        <v>335525.77</v>
      </c>
      <c r="J14" s="37">
        <v>338675.57</v>
      </c>
      <c r="K14" s="40"/>
      <c r="L14" s="45">
        <f t="shared" si="0"/>
        <v>1772559.08</v>
      </c>
    </row>
    <row r="15" spans="1:12" s="65" customFormat="1">
      <c r="A15" s="8">
        <f>+MAX($A$1:A14)+1</f>
        <v>6</v>
      </c>
      <c r="B15" s="65" t="s">
        <v>10</v>
      </c>
      <c r="C15" s="8" t="str">
        <f>"Fuel Accounts"</f>
        <v>Fuel Accounts</v>
      </c>
      <c r="D15" s="8"/>
      <c r="E15" s="37">
        <v>33470767.259999998</v>
      </c>
      <c r="F15" s="37">
        <v>33304637.549999997</v>
      </c>
      <c r="G15" s="37">
        <v>28931197.630000003</v>
      </c>
      <c r="H15" s="37">
        <v>27107326.5</v>
      </c>
      <c r="I15" s="37">
        <v>31779176.659999996</v>
      </c>
      <c r="J15" s="37">
        <v>33889540.199999996</v>
      </c>
      <c r="K15" s="66"/>
      <c r="L15" s="45">
        <f t="shared" si="0"/>
        <v>188482645.79999998</v>
      </c>
    </row>
    <row r="16" spans="1:12" s="65" customFormat="1">
      <c r="A16" s="8">
        <f>+MAX($A$1:A15)+1</f>
        <v>7</v>
      </c>
      <c r="B16" s="65" t="s">
        <v>27</v>
      </c>
      <c r="C16" s="8"/>
      <c r="D16" s="8"/>
      <c r="E16" s="39">
        <f t="shared" ref="E16:J16" si="1">SUM(E10:E15)</f>
        <v>119231008.50999999</v>
      </c>
      <c r="F16" s="39">
        <f t="shared" si="1"/>
        <v>111698584.52999999</v>
      </c>
      <c r="G16" s="39">
        <f t="shared" si="1"/>
        <v>113664970.60000002</v>
      </c>
      <c r="H16" s="39">
        <f t="shared" si="1"/>
        <v>111364509.32000002</v>
      </c>
      <c r="I16" s="39">
        <f t="shared" si="1"/>
        <v>119478838.16</v>
      </c>
      <c r="J16" s="39">
        <f t="shared" si="1"/>
        <v>123435582.12999997</v>
      </c>
      <c r="K16" s="40"/>
      <c r="L16" s="46">
        <f t="shared" si="0"/>
        <v>698873493.25</v>
      </c>
    </row>
    <row r="17" spans="1:13" s="65" customFormat="1">
      <c r="A17" s="8"/>
      <c r="C17" s="8"/>
      <c r="D17" s="8"/>
      <c r="E17" s="40"/>
      <c r="F17" s="40"/>
      <c r="G17" s="40"/>
      <c r="H17" s="40"/>
      <c r="I17" s="40"/>
      <c r="J17" s="40"/>
      <c r="K17" s="40"/>
      <c r="L17" s="40"/>
    </row>
    <row r="18" spans="1:13" s="65" customFormat="1" ht="25.5">
      <c r="A18" s="8">
        <f>+MAX($A$1:A17)+1</f>
        <v>8</v>
      </c>
      <c r="B18" s="9" t="s">
        <v>28</v>
      </c>
      <c r="C18" s="26" t="s">
        <v>51</v>
      </c>
      <c r="D18" s="26"/>
      <c r="E18" s="37">
        <v>5247529.1326139262</v>
      </c>
      <c r="F18" s="37">
        <v>4805325.0403155731</v>
      </c>
      <c r="G18" s="37">
        <v>4783128.8819289571</v>
      </c>
      <c r="H18" s="37">
        <v>4365330.6285403417</v>
      </c>
      <c r="I18" s="37">
        <v>4666764.0960389329</v>
      </c>
      <c r="J18" s="37">
        <v>4988986.2017386742</v>
      </c>
      <c r="K18" s="40"/>
      <c r="L18" s="45">
        <f>SUM(E18:J18)</f>
        <v>28857063.981176406</v>
      </c>
      <c r="M18" s="67"/>
    </row>
    <row r="19" spans="1:13" s="65" customFormat="1">
      <c r="A19" s="8">
        <f>+MAX($A$1:A18)+1</f>
        <v>9</v>
      </c>
      <c r="B19" s="9" t="s">
        <v>12</v>
      </c>
      <c r="C19" s="26" t="str">
        <f>"Line "&amp;$A$16&amp;" / Line "&amp;$A$18&amp;""</f>
        <v>Line 7 / Line 8</v>
      </c>
      <c r="D19" s="26"/>
      <c r="E19" s="41">
        <v>22.721361901350328</v>
      </c>
      <c r="F19" s="41">
        <v>23.244751102760901</v>
      </c>
      <c r="G19" s="41">
        <v>23.76372734371331</v>
      </c>
      <c r="H19" s="41">
        <v>25.511128204563409</v>
      </c>
      <c r="I19" s="41">
        <v>25.602073664150183</v>
      </c>
      <c r="J19" s="41">
        <v>24.741616260029414</v>
      </c>
      <c r="K19" s="40"/>
      <c r="L19" s="41">
        <f>L16/L18</f>
        <v>24.218454576871657</v>
      </c>
    </row>
    <row r="20" spans="1:13" s="65" customFormat="1">
      <c r="A20" s="8">
        <f>+MAX($A$1:A19)+1</f>
        <v>10</v>
      </c>
      <c r="B20" s="9" t="s">
        <v>30</v>
      </c>
      <c r="C20" s="26" t="s">
        <v>31</v>
      </c>
      <c r="D20" s="26"/>
      <c r="E20" s="42">
        <v>1.0001400489293799</v>
      </c>
      <c r="F20" s="42">
        <v>1.0001400489293799</v>
      </c>
      <c r="G20" s="42">
        <v>1.0001400489293799</v>
      </c>
      <c r="H20" s="42">
        <v>1.0001400489293799</v>
      </c>
      <c r="I20" s="42">
        <v>1.0001400489293799</v>
      </c>
      <c r="J20" s="42">
        <v>1.0001400489293799</v>
      </c>
      <c r="K20" s="40"/>
      <c r="L20" s="42">
        <v>1.0001400489293799</v>
      </c>
    </row>
    <row r="21" spans="1:13" s="65" customFormat="1">
      <c r="A21" s="8">
        <f>+MAX($A$1:A20)+1</f>
        <v>11</v>
      </c>
      <c r="B21" s="10" t="s">
        <v>32</v>
      </c>
      <c r="C21" s="26" t="str">
        <f>"Line "&amp;$A$19&amp;" * Line "&amp;$A$20&amp;""</f>
        <v>Line 9 * Line 10</v>
      </c>
      <c r="D21" s="26"/>
      <c r="E21" s="43">
        <f t="shared" ref="E21:J21" si="2">E19*E20</f>
        <v>22.724544003758666</v>
      </c>
      <c r="F21" s="43">
        <f t="shared" si="2"/>
        <v>23.248006505266545</v>
      </c>
      <c r="G21" s="43">
        <f t="shared" si="2"/>
        <v>23.767055428285872</v>
      </c>
      <c r="H21" s="43">
        <f t="shared" si="2"/>
        <v>25.514701010755733</v>
      </c>
      <c r="I21" s="43">
        <f t="shared" si="2"/>
        <v>25.605659207156751</v>
      </c>
      <c r="J21" s="43">
        <f t="shared" si="2"/>
        <v>24.745081296897759</v>
      </c>
      <c r="K21" s="57"/>
      <c r="L21" s="43">
        <f>L19*L20</f>
        <v>24.221846345506385</v>
      </c>
    </row>
    <row r="22" spans="1:13" s="65" customFormat="1" ht="25.5">
      <c r="A22" s="8">
        <f>+MAX($A$1:A21)+1</f>
        <v>12</v>
      </c>
      <c r="B22" s="11" t="s">
        <v>33</v>
      </c>
      <c r="C22" s="26" t="s">
        <v>51</v>
      </c>
      <c r="D22" s="26"/>
      <c r="E22" s="37">
        <v>2135722.3382263784</v>
      </c>
      <c r="F22" s="37">
        <v>1990766.4142629681</v>
      </c>
      <c r="G22" s="37">
        <v>1962501.6356598628</v>
      </c>
      <c r="H22" s="37">
        <v>1878199.0239261934</v>
      </c>
      <c r="I22" s="37">
        <v>1985361.0509107779</v>
      </c>
      <c r="J22" s="37">
        <v>2235976.3494721786</v>
      </c>
      <c r="K22" s="40"/>
      <c r="L22" s="45">
        <f>SUM(E22:J22)</f>
        <v>12188526.812458359</v>
      </c>
      <c r="M22" s="67"/>
    </row>
    <row r="23" spans="1:13" s="65" customFormat="1">
      <c r="A23" s="8">
        <f>+MAX($A$1:A22)+1</f>
        <v>13</v>
      </c>
      <c r="B23" s="10" t="s">
        <v>13</v>
      </c>
      <c r="C23" s="26" t="str">
        <f>"Line "&amp;$A$21&amp;" * Line "&amp;$A$22&amp;""</f>
        <v>Line 11 * Line 12</v>
      </c>
      <c r="D23" s="26"/>
      <c r="E23" s="44">
        <f t="shared" ref="E23:J23" si="3">E21*E22</f>
        <v>48533316.254835688</v>
      </c>
      <c r="F23" s="44">
        <f t="shared" si="3"/>
        <v>46281350.549251638</v>
      </c>
      <c r="G23" s="44">
        <f t="shared" si="3"/>
        <v>46642885.152829647</v>
      </c>
      <c r="H23" s="44">
        <f t="shared" si="3"/>
        <v>47921686.534170076</v>
      </c>
      <c r="I23" s="44">
        <f t="shared" si="3"/>
        <v>50836478.47278396</v>
      </c>
      <c r="J23" s="44">
        <f t="shared" si="3"/>
        <v>55329416.545629732</v>
      </c>
      <c r="K23" s="58"/>
      <c r="L23" s="44">
        <f>SUM(E23:J23)</f>
        <v>295545133.50950074</v>
      </c>
      <c r="M23" s="68"/>
    </row>
    <row r="24" spans="1:13" s="65" customFormat="1">
      <c r="A24" s="8"/>
      <c r="C24" s="8"/>
      <c r="D24" s="8"/>
      <c r="E24" s="40"/>
      <c r="F24" s="40"/>
      <c r="G24" s="40"/>
      <c r="H24" s="40"/>
      <c r="I24" s="40"/>
      <c r="J24" s="40"/>
      <c r="K24" s="40"/>
      <c r="L24" s="40"/>
    </row>
    <row r="25" spans="1:13" s="65" customFormat="1">
      <c r="A25" s="8"/>
      <c r="C25" s="8"/>
      <c r="D25" s="8"/>
      <c r="E25" s="40"/>
      <c r="F25" s="40"/>
      <c r="G25" s="37"/>
      <c r="H25" s="40"/>
      <c r="I25" s="40"/>
      <c r="J25" s="40"/>
      <c r="K25" s="40"/>
      <c r="L25" s="40"/>
    </row>
    <row r="26" spans="1:13" s="65" customFormat="1">
      <c r="A26" s="8">
        <f>+MAX($A$1:A25)+1</f>
        <v>14</v>
      </c>
      <c r="B26" s="10" t="s">
        <v>19</v>
      </c>
      <c r="C26" s="27" t="s">
        <v>53</v>
      </c>
      <c r="D26" s="27"/>
      <c r="E26" s="37">
        <v>-4823122.5899999989</v>
      </c>
      <c r="F26" s="37">
        <v>-4366701.47</v>
      </c>
      <c r="G26" s="37">
        <v>-4669809.8999999994</v>
      </c>
      <c r="H26" s="37">
        <v>-5139467.620000001</v>
      </c>
      <c r="I26" s="37">
        <v>-5350138.0199999996</v>
      </c>
      <c r="J26" s="37">
        <v>-6081596.4500000011</v>
      </c>
      <c r="K26" s="40"/>
      <c r="L26" s="45">
        <f>SUM(E26:J26)</f>
        <v>-30430836.049999997</v>
      </c>
    </row>
    <row r="27" spans="1:13" s="65" customFormat="1">
      <c r="A27" s="8">
        <f>+MAX($A$1:A26)+1</f>
        <v>15</v>
      </c>
      <c r="B27" s="10" t="s">
        <v>34</v>
      </c>
      <c r="C27" s="27" t="s">
        <v>54</v>
      </c>
      <c r="D27" s="27"/>
      <c r="E27" s="42">
        <v>0.43092065712759053</v>
      </c>
      <c r="F27" s="42">
        <v>0.43092065712759053</v>
      </c>
      <c r="G27" s="42">
        <v>0.43092065712759053</v>
      </c>
      <c r="H27" s="42">
        <v>0.43092065712759053</v>
      </c>
      <c r="I27" s="42">
        <v>0.43092065712759053</v>
      </c>
      <c r="J27" s="42">
        <v>0.43092065712759053</v>
      </c>
      <c r="K27" s="40"/>
      <c r="L27" s="42">
        <v>0.43092065712759053</v>
      </c>
    </row>
    <row r="28" spans="1:13" s="65" customFormat="1">
      <c r="A28" s="8">
        <f>+MAX($A$1:A27)+1</f>
        <v>16</v>
      </c>
      <c r="B28" s="10" t="s">
        <v>35</v>
      </c>
      <c r="C28" s="26" t="str">
        <f>"Line "&amp;$A$26&amp;" * Line "&amp;$A$27&amp;""</f>
        <v>Line 14 * Line 15</v>
      </c>
      <c r="D28" s="26"/>
      <c r="E28" s="45">
        <f t="shared" ref="E28:J28" si="4">E26*E27</f>
        <v>-2078383.155889726</v>
      </c>
      <c r="F28" s="45">
        <f t="shared" si="4"/>
        <v>-1881701.8669324154</v>
      </c>
      <c r="G28" s="45">
        <f t="shared" si="4"/>
        <v>-2012317.5507689277</v>
      </c>
      <c r="H28" s="45">
        <f t="shared" si="4"/>
        <v>-2214702.7640963742</v>
      </c>
      <c r="I28" s="45">
        <f t="shared" si="4"/>
        <v>-2305484.9913017061</v>
      </c>
      <c r="J28" s="45">
        <f t="shared" si="4"/>
        <v>-2620685.5386188221</v>
      </c>
      <c r="K28" s="45"/>
      <c r="L28" s="45">
        <f>L26*L27</f>
        <v>-13113275.86760797</v>
      </c>
    </row>
    <row r="29" spans="1:13" s="65" customFormat="1">
      <c r="A29" s="8"/>
      <c r="B29" s="10"/>
      <c r="C29" s="27"/>
      <c r="D29" s="27"/>
      <c r="E29" s="56"/>
      <c r="F29" s="56"/>
      <c r="G29" s="56"/>
      <c r="H29" s="40"/>
      <c r="I29" s="40"/>
      <c r="J29" s="40"/>
      <c r="K29" s="40"/>
      <c r="L29" s="40"/>
    </row>
    <row r="30" spans="1:13" s="65" customFormat="1">
      <c r="A30" s="8">
        <f>+MAX($A$1:A29)+1</f>
        <v>17</v>
      </c>
      <c r="B30" s="10" t="s">
        <v>20</v>
      </c>
      <c r="C30" s="27" t="s">
        <v>55</v>
      </c>
      <c r="D30" s="27"/>
      <c r="E30" s="37">
        <v>-403066.30999999994</v>
      </c>
      <c r="F30" s="37">
        <v>-411884.77999999997</v>
      </c>
      <c r="G30" s="37">
        <v>-716016.64000000013</v>
      </c>
      <c r="H30" s="37">
        <v>-1168567.2299999997</v>
      </c>
      <c r="I30" s="37">
        <v>-2198941.9500000002</v>
      </c>
      <c r="J30" s="37">
        <v>-2027903.1000000003</v>
      </c>
      <c r="K30" s="40"/>
      <c r="L30" s="45">
        <f>SUM(E30:J30)</f>
        <v>-6926380.0100000007</v>
      </c>
    </row>
    <row r="31" spans="1:13" s="65" customFormat="1">
      <c r="A31" s="8">
        <f>+MAX($A$1:A30)+1</f>
        <v>18</v>
      </c>
      <c r="B31" s="10" t="s">
        <v>36</v>
      </c>
      <c r="C31" s="27" t="s">
        <v>56</v>
      </c>
      <c r="D31" s="27"/>
      <c r="E31" s="42">
        <v>0.42464365562439838</v>
      </c>
      <c r="F31" s="42">
        <v>0.42464365562439838</v>
      </c>
      <c r="G31" s="42">
        <v>0.42464365562439838</v>
      </c>
      <c r="H31" s="42">
        <v>0.42464365562439838</v>
      </c>
      <c r="I31" s="42">
        <v>0.42464365562439838</v>
      </c>
      <c r="J31" s="42">
        <v>0.42464365562439838</v>
      </c>
      <c r="K31" s="40"/>
      <c r="L31" s="42">
        <v>0.42464365562439838</v>
      </c>
    </row>
    <row r="32" spans="1:13" s="65" customFormat="1">
      <c r="A32" s="8">
        <f>+MAX($A$1:A31)+1</f>
        <v>19</v>
      </c>
      <c r="B32" s="10" t="s">
        <v>37</v>
      </c>
      <c r="C32" s="26" t="str">
        <f>"Line "&amp;$A$30&amp;" * Line "&amp;$A$31&amp;""</f>
        <v>Line 17 * Line 18</v>
      </c>
      <c r="D32" s="26"/>
      <c r="E32" s="46">
        <f t="shared" ref="E32:J32" si="5">E30*E31</f>
        <v>-171159.55133743698</v>
      </c>
      <c r="F32" s="46">
        <f t="shared" si="5"/>
        <v>-174904.25867525107</v>
      </c>
      <c r="G32" s="46">
        <f t="shared" si="5"/>
        <v>-304051.92349749891</v>
      </c>
      <c r="H32" s="46">
        <f t="shared" si="5"/>
        <v>-496224.66039007704</v>
      </c>
      <c r="I32" s="46">
        <f t="shared" si="5"/>
        <v>-933766.7481538431</v>
      </c>
      <c r="J32" s="46">
        <f t="shared" si="5"/>
        <v>-861136.18563605007</v>
      </c>
      <c r="K32" s="46"/>
      <c r="L32" s="46">
        <f>L30*L31</f>
        <v>-2941243.3276901571</v>
      </c>
    </row>
    <row r="33" spans="1:13" s="65" customFormat="1">
      <c r="A33" s="8"/>
      <c r="B33" s="10"/>
      <c r="C33" s="27"/>
      <c r="D33" s="27"/>
      <c r="E33" s="40"/>
      <c r="F33" s="40"/>
      <c r="G33" s="40"/>
      <c r="H33" s="40"/>
      <c r="I33" s="40"/>
      <c r="J33" s="40"/>
      <c r="K33" s="40"/>
      <c r="L33" s="40"/>
    </row>
    <row r="34" spans="1:13" s="65" customFormat="1">
      <c r="A34" s="8">
        <f>+MAX($A$1:A33)+1</f>
        <v>20</v>
      </c>
      <c r="B34" s="10" t="s">
        <v>38</v>
      </c>
      <c r="C34" s="26" t="str">
        <f>"∑ Lines "&amp;$A$23&amp;", "&amp;$A$28&amp;", "&amp;$A$32&amp;""</f>
        <v>∑ Lines 13, 16, 19</v>
      </c>
      <c r="D34" s="26"/>
      <c r="E34" s="45">
        <v>46283773.547608525</v>
      </c>
      <c r="F34" s="45">
        <v>44224744.423643976</v>
      </c>
      <c r="G34" s="45">
        <v>44326515.678563222</v>
      </c>
      <c r="H34" s="45">
        <v>45210759.109683625</v>
      </c>
      <c r="I34" s="45">
        <v>47597226.733328409</v>
      </c>
      <c r="J34" s="45">
        <v>51847594.821374856</v>
      </c>
      <c r="K34" s="45"/>
      <c r="L34" s="45">
        <f>SUM(E34:J34)</f>
        <v>279490614.31420261</v>
      </c>
    </row>
    <row r="35" spans="1:13" s="65" customFormat="1">
      <c r="A35" s="8">
        <f>+MAX($A$1:A34)+1</f>
        <v>21</v>
      </c>
      <c r="B35" s="11" t="s">
        <v>33</v>
      </c>
      <c r="C35" s="26" t="str">
        <f>"Line "&amp;$A$22&amp;" "</f>
        <v xml:space="preserve">Line 12 </v>
      </c>
      <c r="D35" s="26"/>
      <c r="E35" s="45">
        <f t="shared" ref="E35:J35" si="6">E22</f>
        <v>2135722.3382263784</v>
      </c>
      <c r="F35" s="45">
        <f t="shared" si="6"/>
        <v>1990766.4142629681</v>
      </c>
      <c r="G35" s="45">
        <f t="shared" si="6"/>
        <v>1962501.6356598628</v>
      </c>
      <c r="H35" s="45">
        <f t="shared" si="6"/>
        <v>1878199.0239261934</v>
      </c>
      <c r="I35" s="45">
        <f t="shared" si="6"/>
        <v>1985361.0509107779</v>
      </c>
      <c r="J35" s="45">
        <f t="shared" si="6"/>
        <v>2235976.3494721786</v>
      </c>
      <c r="K35" s="40"/>
      <c r="L35" s="45">
        <f>SUM(E35:J35)</f>
        <v>12188526.812458359</v>
      </c>
    </row>
    <row r="36" spans="1:13" s="65" customFormat="1">
      <c r="A36" s="8">
        <f>+MAX($A$1:A35)+1</f>
        <v>22</v>
      </c>
      <c r="B36" s="10" t="s">
        <v>49</v>
      </c>
      <c r="C36" s="26" t="str">
        <f>"Line "&amp;$A$34&amp;" / Line "&amp;$A$35&amp;""</f>
        <v>Line 20 / Line 21</v>
      </c>
      <c r="D36" s="26"/>
      <c r="E36" s="47">
        <f t="shared" ref="E36:J36" si="7">E34/E35</f>
        <v>21.671250386436057</v>
      </c>
      <c r="F36" s="47">
        <f t="shared" si="7"/>
        <v>22.214933960505402</v>
      </c>
      <c r="G36" s="47">
        <f t="shared" si="7"/>
        <v>22.58674075635054</v>
      </c>
      <c r="H36" s="47">
        <f t="shared" si="7"/>
        <v>24.071335643213629</v>
      </c>
      <c r="I36" s="47">
        <f t="shared" si="7"/>
        <v>23.974091116320299</v>
      </c>
      <c r="J36" s="47">
        <f t="shared" si="7"/>
        <v>23.187899475597728</v>
      </c>
      <c r="K36" s="59"/>
      <c r="L36" s="47">
        <f>L34/L35</f>
        <v>22.930631290774581</v>
      </c>
    </row>
    <row r="37" spans="1:13">
      <c r="A37" s="8"/>
      <c r="B37" s="12"/>
      <c r="C37" s="28"/>
      <c r="D37" s="28"/>
      <c r="E37" s="48"/>
      <c r="F37" s="48"/>
      <c r="G37" s="48"/>
      <c r="H37" s="48"/>
      <c r="I37" s="48"/>
      <c r="J37" s="48"/>
      <c r="K37" s="38"/>
      <c r="L37" s="48"/>
    </row>
    <row r="38" spans="1:13">
      <c r="A38" s="13" t="s">
        <v>15</v>
      </c>
      <c r="K38" s="38"/>
      <c r="L38" s="38"/>
    </row>
    <row r="39" spans="1:13">
      <c r="A39" s="13"/>
      <c r="K39" s="38"/>
      <c r="L39" s="38"/>
    </row>
    <row r="40" spans="1:13" s="69" customFormat="1" ht="25.5">
      <c r="A40" s="8">
        <f>+MAX($A$1:A39)+1</f>
        <v>23</v>
      </c>
      <c r="B40" s="21" t="s">
        <v>1</v>
      </c>
      <c r="C40" s="26" t="s">
        <v>39</v>
      </c>
      <c r="D40" s="26"/>
      <c r="E40" s="37">
        <v>49093582.245067477</v>
      </c>
      <c r="F40" s="37">
        <v>45514242.872541614</v>
      </c>
      <c r="G40" s="37">
        <v>47084234.773429327</v>
      </c>
      <c r="H40" s="37">
        <v>47782596.381180435</v>
      </c>
      <c r="I40" s="37">
        <v>50207111.285991743</v>
      </c>
      <c r="J40" s="37">
        <v>50451314.015273675</v>
      </c>
      <c r="K40" s="40"/>
      <c r="L40" s="45">
        <f>SUM(E40:J40)</f>
        <v>290133081.5734843</v>
      </c>
    </row>
    <row r="41" spans="1:13" s="69" customFormat="1" ht="25.5">
      <c r="A41" s="8">
        <f>+MAX($A$1:A40)+1</f>
        <v>24</v>
      </c>
      <c r="B41" s="69" t="s">
        <v>26</v>
      </c>
      <c r="C41" s="26" t="s">
        <v>40</v>
      </c>
      <c r="D41" s="26"/>
      <c r="E41" s="37">
        <v>2214779</v>
      </c>
      <c r="F41" s="37">
        <v>2061687</v>
      </c>
      <c r="G41" s="37">
        <v>2151583</v>
      </c>
      <c r="H41" s="37">
        <v>2067721</v>
      </c>
      <c r="I41" s="37">
        <v>2144934</v>
      </c>
      <c r="J41" s="37">
        <v>2247828</v>
      </c>
      <c r="K41" s="40"/>
      <c r="L41" s="45">
        <f>SUM(E41:J41)</f>
        <v>12888532</v>
      </c>
    </row>
    <row r="42" spans="1:13" s="69" customFormat="1">
      <c r="A42" s="8">
        <f>+MAX($A$1:A41)+1</f>
        <v>25</v>
      </c>
      <c r="B42" s="14" t="s">
        <v>18</v>
      </c>
      <c r="C42" s="26" t="str">
        <f>"Line "&amp;$A$40&amp;" / Line "&amp;$A$41&amp;""</f>
        <v>Line 23 / Line 24</v>
      </c>
      <c r="D42" s="26"/>
      <c r="E42" s="47">
        <f t="shared" ref="E42:J42" si="8">E40/E41</f>
        <v>22.166357115119602</v>
      </c>
      <c r="F42" s="47">
        <f t="shared" si="8"/>
        <v>22.076213737847507</v>
      </c>
      <c r="G42" s="47">
        <f t="shared" si="8"/>
        <v>21.883531694305692</v>
      </c>
      <c r="H42" s="47">
        <f t="shared" si="8"/>
        <v>23.108821925772595</v>
      </c>
      <c r="I42" s="47">
        <f t="shared" si="8"/>
        <v>23.407298912689967</v>
      </c>
      <c r="J42" s="47">
        <f t="shared" si="8"/>
        <v>22.444472626586052</v>
      </c>
      <c r="K42" s="59"/>
      <c r="L42" s="47">
        <f>L40/L41</f>
        <v>22.51094861489922</v>
      </c>
    </row>
    <row r="43" spans="1:13">
      <c r="A43" s="8"/>
    </row>
    <row r="44" spans="1:13">
      <c r="A44" s="7" t="s">
        <v>3</v>
      </c>
    </row>
    <row r="45" spans="1:13">
      <c r="A45" s="7"/>
    </row>
    <row r="46" spans="1:13">
      <c r="A46" s="8">
        <f>+MAX($A$1:A45)+1</f>
        <v>26</v>
      </c>
      <c r="B46" s="12" t="s">
        <v>41</v>
      </c>
      <c r="C46" s="26" t="str">
        <f>"Line "&amp;$A$36&amp;" - Line "&amp;$A$42&amp;""</f>
        <v>Line 22 - Line 25</v>
      </c>
      <c r="D46" s="26"/>
      <c r="E46" s="49">
        <f>E36-E42</f>
        <v>-0.49510672868354533</v>
      </c>
      <c r="F46" s="49">
        <f t="shared" ref="F46:J46" si="9">F36-F42</f>
        <v>0.13872022265789496</v>
      </c>
      <c r="G46" s="49">
        <f t="shared" si="9"/>
        <v>0.70320906204484857</v>
      </c>
      <c r="H46" s="49">
        <f t="shared" si="9"/>
        <v>0.96251371744103409</v>
      </c>
      <c r="I46" s="49">
        <f t="shared" si="9"/>
        <v>0.56679220363033167</v>
      </c>
      <c r="J46" s="49">
        <f t="shared" si="9"/>
        <v>0.74342684901167644</v>
      </c>
      <c r="L46" s="70">
        <f>L36-L42</f>
        <v>0.4196826758753609</v>
      </c>
    </row>
    <row r="47" spans="1:13">
      <c r="A47" s="8">
        <f>+MAX($A$1:A46)+1</f>
        <v>27</v>
      </c>
      <c r="B47" s="15" t="s">
        <v>33</v>
      </c>
      <c r="C47" s="26" t="str">
        <f>"Line "&amp;$A$22&amp;" "</f>
        <v xml:space="preserve">Line 12 </v>
      </c>
      <c r="D47" s="26"/>
      <c r="E47" s="50">
        <f>E35</f>
        <v>2135722.3382263784</v>
      </c>
      <c r="F47" s="50">
        <f t="shared" ref="F47:J47" si="10">F35</f>
        <v>1990766.4142629681</v>
      </c>
      <c r="G47" s="50">
        <f t="shared" si="10"/>
        <v>1962501.6356598628</v>
      </c>
      <c r="H47" s="50">
        <f t="shared" si="10"/>
        <v>1878199.0239261934</v>
      </c>
      <c r="I47" s="50">
        <f t="shared" si="10"/>
        <v>1985361.0509107779</v>
      </c>
      <c r="J47" s="50">
        <f t="shared" si="10"/>
        <v>2235976.3494721786</v>
      </c>
      <c r="L47" s="71">
        <f>SUM(E47:J47)</f>
        <v>12188526.812458359</v>
      </c>
    </row>
    <row r="48" spans="1:13">
      <c r="A48" s="8">
        <f>+MAX($A$1:A47)+1</f>
        <v>28</v>
      </c>
      <c r="B48" s="15" t="s">
        <v>42</v>
      </c>
      <c r="C48" s="26" t="str">
        <f>"Line "&amp;$A$46&amp;" * Line "&amp;$A$47&amp;""</f>
        <v>Line 26 * Line 27</v>
      </c>
      <c r="D48" s="26"/>
      <c r="E48" s="51">
        <f t="shared" ref="E48:J48" si="11">E46*E47</f>
        <v>-1057410.5002556345</v>
      </c>
      <c r="F48" s="51">
        <f t="shared" si="11"/>
        <v>276159.56024641811</v>
      </c>
      <c r="G48" s="51">
        <f t="shared" si="11"/>
        <v>1380048.9344738533</v>
      </c>
      <c r="H48" s="51">
        <f t="shared" si="11"/>
        <v>1807792.324613322</v>
      </c>
      <c r="I48" s="51">
        <f t="shared" si="11"/>
        <v>1125287.1650475508</v>
      </c>
      <c r="J48" s="51">
        <f t="shared" si="11"/>
        <v>1662284.8519527328</v>
      </c>
      <c r="K48" s="72"/>
      <c r="L48" s="16">
        <f>SUM(E48:J48)</f>
        <v>5194162.3360782424</v>
      </c>
      <c r="M48" s="73"/>
    </row>
    <row r="49" spans="1:18">
      <c r="A49" s="8"/>
      <c r="B49" s="15"/>
      <c r="C49" s="26"/>
      <c r="D49" s="26"/>
      <c r="E49" s="52"/>
      <c r="F49" s="52"/>
      <c r="G49" s="52"/>
      <c r="H49" s="52"/>
      <c r="I49" s="52"/>
      <c r="J49" s="52"/>
      <c r="K49" s="15"/>
      <c r="L49" s="29"/>
      <c r="M49" s="73"/>
    </row>
    <row r="50" spans="1:18">
      <c r="A50" s="8">
        <f>+MAX($A$1:A49)+1</f>
        <v>29</v>
      </c>
      <c r="B50" s="15" t="s">
        <v>43</v>
      </c>
      <c r="C50" s="26" t="str">
        <f>"Line "&amp;$A$48&amp;" * 70%"</f>
        <v>Line 28 * 70%</v>
      </c>
      <c r="D50" s="26"/>
      <c r="E50" s="53">
        <f>E48*0.7</f>
        <v>-740187.35017894418</v>
      </c>
      <c r="F50" s="53">
        <f t="shared" ref="F50:J50" si="12">F48*0.7</f>
        <v>193311.69217249268</v>
      </c>
      <c r="G50" s="53">
        <f t="shared" si="12"/>
        <v>966034.25413169723</v>
      </c>
      <c r="H50" s="53">
        <f t="shared" si="12"/>
        <v>1265454.6272293252</v>
      </c>
      <c r="I50" s="53">
        <f t="shared" si="12"/>
        <v>787701.01553328556</v>
      </c>
      <c r="J50" s="53">
        <f t="shared" si="12"/>
        <v>1163599.3963669129</v>
      </c>
      <c r="K50" s="74"/>
      <c r="L50" s="74">
        <f>L48*0.7</f>
        <v>3635913.6352547696</v>
      </c>
    </row>
    <row r="51" spans="1:18">
      <c r="A51" s="8">
        <f>+MAX($A$1:A50)+1</f>
        <v>30</v>
      </c>
      <c r="B51" s="15" t="s">
        <v>44</v>
      </c>
      <c r="C51" s="26"/>
      <c r="D51" s="26"/>
      <c r="E51" s="37">
        <v>0</v>
      </c>
      <c r="F51" s="37">
        <v>0</v>
      </c>
      <c r="G51" s="37">
        <v>0</v>
      </c>
      <c r="H51" s="75">
        <v>0</v>
      </c>
      <c r="I51" s="75">
        <v>0</v>
      </c>
      <c r="J51" s="75">
        <v>0</v>
      </c>
      <c r="K51" s="74"/>
      <c r="L51" s="74">
        <f>SUM(E51:J51)</f>
        <v>0</v>
      </c>
    </row>
    <row r="52" spans="1:18">
      <c r="A52" s="8">
        <f>+MAX($A$1:A51)+1</f>
        <v>31</v>
      </c>
      <c r="B52" s="30" t="s">
        <v>45</v>
      </c>
      <c r="C52" s="26" t="str">
        <f>"∑ Lines "&amp;$A$50&amp;":"&amp;$A$51&amp;""</f>
        <v>∑ Lines 29:30</v>
      </c>
      <c r="D52" s="26"/>
      <c r="E52" s="54">
        <f t="shared" ref="E52:J52" si="13">SUM(E50:E51)</f>
        <v>-740187.35017894418</v>
      </c>
      <c r="F52" s="54">
        <f t="shared" si="13"/>
        <v>193311.69217249268</v>
      </c>
      <c r="G52" s="54">
        <f t="shared" si="13"/>
        <v>966034.25413169723</v>
      </c>
      <c r="H52" s="54">
        <f t="shared" si="13"/>
        <v>1265454.6272293252</v>
      </c>
      <c r="I52" s="54">
        <f t="shared" si="13"/>
        <v>787701.01553328556</v>
      </c>
      <c r="J52" s="54">
        <f t="shared" si="13"/>
        <v>1163599.3963669129</v>
      </c>
      <c r="K52" s="74"/>
      <c r="L52" s="76">
        <f>SUM(L50:L51)</f>
        <v>3635913.6352547696</v>
      </c>
    </row>
    <row r="53" spans="1:18">
      <c r="A53" s="8"/>
    </row>
    <row r="54" spans="1:18">
      <c r="A54" s="7" t="s">
        <v>4</v>
      </c>
    </row>
    <row r="55" spans="1:18">
      <c r="A55" s="8"/>
    </row>
    <row r="56" spans="1:18">
      <c r="A56" s="8">
        <f>+MAX($A$1:A55)+1</f>
        <v>32</v>
      </c>
      <c r="B56" s="17" t="s">
        <v>46</v>
      </c>
      <c r="C56" s="26" t="s">
        <v>21</v>
      </c>
      <c r="D56" s="26"/>
      <c r="E56" s="18">
        <v>5.0000000000000001E-3</v>
      </c>
      <c r="F56" s="18">
        <v>5.0000000000000001E-3</v>
      </c>
      <c r="G56" s="18">
        <v>5.0000000000000001E-3</v>
      </c>
      <c r="H56" s="18">
        <v>5.0000000000000001E-3</v>
      </c>
      <c r="I56" s="18">
        <v>5.0000000000000001E-3</v>
      </c>
      <c r="J56" s="18">
        <v>5.0000000000000001E-3</v>
      </c>
      <c r="N56" s="18"/>
      <c r="O56" s="18"/>
      <c r="P56" s="18"/>
    </row>
    <row r="57" spans="1:18">
      <c r="A57" s="8">
        <f>+MAX($A$1:A56)+1</f>
        <v>33</v>
      </c>
      <c r="B57" s="17" t="s">
        <v>22</v>
      </c>
      <c r="C57" s="26" t="str">
        <f>"Prior Month Line "&amp;$A$61&amp;""</f>
        <v>Prior Month Line 37</v>
      </c>
      <c r="D57" s="26"/>
      <c r="E57" s="55"/>
      <c r="F57" s="55">
        <f>E61</f>
        <v>-742037.8185543915</v>
      </c>
      <c r="G57" s="55">
        <f>F61</f>
        <v>-551953.03624423954</v>
      </c>
      <c r="H57" s="55">
        <f>G61</f>
        <v>413736.53834156576</v>
      </c>
      <c r="I57" s="55">
        <f>H61</f>
        <v>1684423.4848306722</v>
      </c>
      <c r="J57" s="55">
        <f>I61</f>
        <v>2482515.8703269442</v>
      </c>
      <c r="L57" s="20"/>
      <c r="N57" s="19"/>
      <c r="O57" s="73"/>
      <c r="P57" s="73"/>
    </row>
    <row r="58" spans="1:18">
      <c r="A58" s="8">
        <f>+MAX($A$1:A57)+1</f>
        <v>34</v>
      </c>
      <c r="B58" s="17" t="s">
        <v>47</v>
      </c>
      <c r="C58" s="26" t="str">
        <f>"Line "&amp;$A$50</f>
        <v>Line 29</v>
      </c>
      <c r="D58" s="26"/>
      <c r="E58" s="34">
        <f>E52</f>
        <v>-740187.35017894418</v>
      </c>
      <c r="F58" s="34">
        <f>F52</f>
        <v>193311.69217249268</v>
      </c>
      <c r="G58" s="34">
        <f t="shared" ref="G58:J58" si="14">G52</f>
        <v>966034.25413169723</v>
      </c>
      <c r="H58" s="34">
        <f t="shared" si="14"/>
        <v>1265454.6272293252</v>
      </c>
      <c r="I58" s="34">
        <f t="shared" si="14"/>
        <v>787701.01553328556</v>
      </c>
      <c r="J58" s="34">
        <f t="shared" si="14"/>
        <v>1163599.3963669129</v>
      </c>
      <c r="L58" s="20">
        <f>SUM(E58:J58)</f>
        <v>3635913.6352547696</v>
      </c>
      <c r="N58" s="20"/>
      <c r="O58" s="20"/>
      <c r="P58" s="20"/>
      <c r="R58" s="20"/>
    </row>
    <row r="59" spans="1:18">
      <c r="A59" s="8">
        <f>+MAX($A$1:A58)+1</f>
        <v>35</v>
      </c>
      <c r="B59" s="17" t="s">
        <v>48</v>
      </c>
      <c r="C59" s="26"/>
      <c r="D59" s="26"/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L59" s="20">
        <f>SUM(E59:J59)</f>
        <v>0</v>
      </c>
      <c r="N59" s="20"/>
      <c r="O59" s="20"/>
      <c r="P59" s="20"/>
      <c r="R59" s="20"/>
    </row>
    <row r="60" spans="1:18">
      <c r="A60" s="8">
        <f>+MAX($A$1:A59)+1</f>
        <v>36</v>
      </c>
      <c r="B60" s="21" t="s">
        <v>23</v>
      </c>
      <c r="C60" s="26" t="str">
        <f>"Line "&amp;$A$56&amp;" * ( ∑ Lines "&amp;$A$57&amp;":"&amp;$A$58&amp;" x 50% )"</f>
        <v>Line 32 * ( ∑ Lines 33:34 x 50% )</v>
      </c>
      <c r="D60" s="26"/>
      <c r="E60" s="60">
        <f t="shared" ref="E60:J60" si="15">E56*(E57+E58*0.5)</f>
        <v>-1850.4683754473606</v>
      </c>
      <c r="F60" s="60">
        <f t="shared" si="15"/>
        <v>-3226.9098623407262</v>
      </c>
      <c r="G60" s="60">
        <f t="shared" si="15"/>
        <v>-344.6795458919546</v>
      </c>
      <c r="H60" s="60">
        <f t="shared" si="15"/>
        <v>5232.3192597811421</v>
      </c>
      <c r="I60" s="60">
        <f t="shared" si="15"/>
        <v>10391.369962986575</v>
      </c>
      <c r="J60" s="60">
        <f t="shared" si="15"/>
        <v>15321.577842552004</v>
      </c>
      <c r="K60" s="69"/>
      <c r="L60" s="77">
        <f>SUM(E60:J60)</f>
        <v>25523.20928163968</v>
      </c>
      <c r="N60" s="32"/>
      <c r="O60" s="32"/>
      <c r="P60" s="32"/>
      <c r="Q60" s="15"/>
      <c r="R60" s="74"/>
    </row>
    <row r="61" spans="1:18">
      <c r="A61" s="8">
        <f>+MAX($A$1:A60)+1</f>
        <v>37</v>
      </c>
      <c r="B61" s="22" t="s">
        <v>24</v>
      </c>
      <c r="C61" s="26" t="str">
        <f>"∑ Lines "&amp;$A$57&amp;":"&amp;$A$60&amp;""</f>
        <v>∑ Lines 33:36</v>
      </c>
      <c r="D61" s="26"/>
      <c r="E61" s="35">
        <f>SUM(E57:E60)</f>
        <v>-742037.8185543915</v>
      </c>
      <c r="F61" s="35">
        <f>SUM(F57:F60)</f>
        <v>-551953.03624423954</v>
      </c>
      <c r="G61" s="35">
        <f t="shared" ref="G61:J61" si="16">SUM(G57:G60)</f>
        <v>413736.53834156576</v>
      </c>
      <c r="H61" s="35">
        <f t="shared" si="16"/>
        <v>1684423.4848306722</v>
      </c>
      <c r="I61" s="35">
        <f t="shared" si="16"/>
        <v>2482515.8703269442</v>
      </c>
      <c r="J61" s="35">
        <f t="shared" si="16"/>
        <v>3661436.8445364092</v>
      </c>
      <c r="K61" s="78"/>
      <c r="L61" s="23">
        <f>SUM(L57:L60)</f>
        <v>3661436.8445364092</v>
      </c>
      <c r="N61" s="31"/>
      <c r="O61" s="31"/>
      <c r="P61" s="31"/>
      <c r="Q61" s="30"/>
      <c r="R61" s="31"/>
    </row>
    <row r="62" spans="1:18">
      <c r="A62" s="24"/>
    </row>
    <row r="63" spans="1:18">
      <c r="A63" s="24"/>
      <c r="I63" s="79"/>
      <c r="J63" s="80"/>
      <c r="L63" s="73"/>
    </row>
    <row r="64" spans="1:18">
      <c r="A64" s="25" t="s">
        <v>5</v>
      </c>
      <c r="I64" s="79"/>
      <c r="J64" s="80"/>
    </row>
    <row r="65" spans="1:2">
      <c r="A65" s="25">
        <v>1</v>
      </c>
      <c r="B65" s="1" t="s">
        <v>25</v>
      </c>
    </row>
    <row r="66" spans="1:2">
      <c r="A66" s="25">
        <v>2</v>
      </c>
      <c r="B66" s="25" t="s">
        <v>52</v>
      </c>
    </row>
  </sheetData>
  <pageMargins left="0.7" right="0.7" top="0.75" bottom="0.75" header="0.3" footer="0.3"/>
  <pageSetup scale="55" fitToHeight="0" orientation="landscape" r:id="rId1"/>
  <headerFooter scaleWithDoc="0" alignWithMargins="0">
    <oddFooter>&amp;L&amp;"Arial,Regular"&amp;10&amp;F (&amp;A)&amp;R&amp;"Arial,Regular"&amp;10Page &amp;P of &amp;N</oddFooter>
  </headerFooter>
  <rowBreaks count="1" manualBreakCount="1">
    <brk id="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EBA Calculation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2012-02-13T23:57:17Z</dcterms:created>
  <dcterms:modified xsi:type="dcterms:W3CDTF">2012-09-12T16:53:11Z</dcterms:modified>
</cp:coreProperties>
</file>