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00 thru 10\09docs\0903515\"/>
    </mc:Choice>
  </mc:AlternateContent>
  <bookViews>
    <workbookView xWindow="0" yWindow="0" windowWidth="19200" windowHeight="10995" firstSheet="11" activeTab="16"/>
  </bookViews>
  <sheets>
    <sheet name="2004 IRP UPDATE" sheetId="10" r:id="rId1"/>
    <sheet name="2007 IRP" sheetId="9" r:id="rId2"/>
    <sheet name="2007 IRP UPDATE JUNE 08" sheetId="12" r:id="rId3"/>
    <sheet name="Duvall Testimony - Lakeside" sheetId="2" r:id="rId4"/>
    <sheet name="2008 IRP w Lake Side 2" sheetId="11" r:id="rId5"/>
    <sheet name="2008 IRP - May 2009" sheetId="3" r:id="rId6"/>
    <sheet name="2008 IRP Update - Mar 2010" sheetId="18" r:id="rId7"/>
    <sheet name="2011 IRP - Mar 2011" sheetId="20" r:id="rId8"/>
    <sheet name="2011 IRP Update" sheetId="21" r:id="rId9"/>
    <sheet name="2013 IRP" sheetId="22" r:id="rId10"/>
    <sheet name="2013 IRP Apr 2013" sheetId="24" r:id="rId11"/>
    <sheet name="2013 IRP Update" sheetId="25" r:id="rId12"/>
    <sheet name="2015 IRP" sheetId="26" r:id="rId13"/>
    <sheet name="2015 IRP Update" sheetId="32" r:id="rId14"/>
    <sheet name="Change" sheetId="31" r:id="rId15"/>
    <sheet name="2017 IRP" sheetId="33" r:id="rId16"/>
    <sheet name="Load" sheetId="30" r:id="rId17"/>
  </sheets>
  <definedNames>
    <definedName name="_xlnm.Print_Area" localSheetId="2">'2007 IRP UPDATE JUNE 08'!$A$1:$K$57</definedName>
    <definedName name="Target_Margin" localSheetId="0">'2004 IRP UPDATE'!$M$3</definedName>
    <definedName name="Target_Margin" localSheetId="1">'2007 IRP'!$M$3</definedName>
    <definedName name="Target_Margin" localSheetId="2">'2007 IRP UPDATE JUNE 08'!$M$3</definedName>
    <definedName name="Target_Margin" localSheetId="5">'2008 IRP - May 2009'!$L$2</definedName>
    <definedName name="Target_Margin" localSheetId="6">'2008 IRP Update - Mar 2010'!$L$2</definedName>
    <definedName name="Target_Margin" localSheetId="4">'2008 IRP w Lake Side 2'!$L$3</definedName>
    <definedName name="Target_Margin" localSheetId="3">'Duvall Testimony - Lakeside'!$N$3</definedName>
  </definedNames>
  <calcPr calcId="152511" calcMode="manual" iterate="1" iterateCount="1"/>
</workbook>
</file>

<file path=xl/calcChain.xml><?xml version="1.0" encoding="utf-8"?>
<calcChain xmlns="http://schemas.openxmlformats.org/spreadsheetml/2006/main">
  <c r="R97" i="30" l="1"/>
  <c r="Q97" i="30"/>
  <c r="P97" i="30"/>
  <c r="O97" i="30"/>
  <c r="N97" i="30"/>
  <c r="M97" i="30"/>
  <c r="L97" i="30"/>
  <c r="K97" i="30"/>
  <c r="J97" i="30"/>
  <c r="A97" i="30"/>
  <c r="A96" i="30"/>
  <c r="Q94" i="30"/>
  <c r="P94" i="30"/>
  <c r="O94" i="30"/>
  <c r="N94" i="30"/>
  <c r="M94" i="30"/>
  <c r="L94" i="30"/>
  <c r="K94" i="30"/>
  <c r="J94" i="30"/>
  <c r="I94" i="30"/>
  <c r="A94" i="30"/>
  <c r="A93" i="30"/>
  <c r="P91" i="30"/>
  <c r="O91" i="30"/>
  <c r="N91" i="30"/>
  <c r="M91" i="30"/>
  <c r="L91" i="30"/>
  <c r="K91" i="30"/>
  <c r="J91" i="30"/>
  <c r="I91" i="30"/>
  <c r="H91" i="30"/>
  <c r="O88" i="30"/>
  <c r="N88" i="30"/>
  <c r="M88" i="30"/>
  <c r="L88" i="30"/>
  <c r="K88" i="30"/>
  <c r="J88" i="30"/>
  <c r="I88" i="30"/>
  <c r="H88" i="30"/>
  <c r="G88" i="30"/>
  <c r="A88" i="30"/>
  <c r="A87" i="30"/>
  <c r="N85" i="30"/>
  <c r="M85" i="30"/>
  <c r="L85" i="30"/>
  <c r="K85" i="30"/>
  <c r="J85" i="30"/>
  <c r="I85" i="30"/>
  <c r="H85" i="30"/>
  <c r="G85" i="30"/>
  <c r="F85" i="30"/>
  <c r="A85" i="30"/>
  <c r="A84" i="30"/>
  <c r="M82" i="30"/>
  <c r="L82" i="30"/>
  <c r="K82" i="30"/>
  <c r="J82" i="30"/>
  <c r="I82" i="30"/>
  <c r="H82" i="30"/>
  <c r="G82" i="30"/>
  <c r="F82" i="30"/>
  <c r="E82" i="30"/>
  <c r="A82" i="30"/>
  <c r="A81" i="30"/>
  <c r="L79" i="30"/>
  <c r="K79" i="30"/>
  <c r="J79" i="30"/>
  <c r="I79" i="30"/>
  <c r="H79" i="30"/>
  <c r="G79" i="30"/>
  <c r="F79" i="30"/>
  <c r="E79" i="30"/>
  <c r="D79" i="30"/>
  <c r="A79" i="30"/>
  <c r="A78" i="30"/>
  <c r="K76" i="30"/>
  <c r="J76" i="30"/>
  <c r="I76" i="30"/>
  <c r="H76" i="30"/>
  <c r="G76" i="30"/>
  <c r="F76" i="30"/>
  <c r="E76" i="30"/>
  <c r="D76" i="30"/>
  <c r="C76" i="30"/>
  <c r="A76" i="30"/>
  <c r="A75" i="30"/>
  <c r="V68" i="30"/>
  <c r="U68" i="30"/>
  <c r="T68" i="30"/>
  <c r="S68" i="30"/>
  <c r="R68" i="30"/>
  <c r="Q68" i="30"/>
  <c r="P68" i="30"/>
  <c r="O68" i="30"/>
  <c r="N68" i="30"/>
  <c r="M68" i="30"/>
  <c r="A68" i="30"/>
  <c r="V67" i="30"/>
  <c r="U67" i="30"/>
  <c r="T67" i="30"/>
  <c r="S67" i="30"/>
  <c r="R67" i="30"/>
  <c r="Q67" i="30"/>
  <c r="P67" i="30"/>
  <c r="O67" i="30"/>
  <c r="N67" i="30"/>
  <c r="M67" i="30"/>
  <c r="A67" i="30"/>
  <c r="V66" i="30"/>
  <c r="U66" i="30"/>
  <c r="T66" i="30"/>
  <c r="S66" i="30"/>
  <c r="R66" i="30"/>
  <c r="Q66" i="30"/>
  <c r="P66" i="30"/>
  <c r="O66" i="30"/>
  <c r="N66" i="30"/>
  <c r="M66" i="30"/>
  <c r="A66" i="30"/>
  <c r="U63" i="30"/>
  <c r="T63" i="30"/>
  <c r="S63" i="30"/>
  <c r="R63" i="30"/>
  <c r="Q63" i="30"/>
  <c r="P63" i="30"/>
  <c r="O63" i="30"/>
  <c r="N63" i="30"/>
  <c r="M63" i="30"/>
  <c r="L63" i="30"/>
  <c r="A63" i="30"/>
  <c r="U62" i="30"/>
  <c r="T62" i="30"/>
  <c r="S62" i="30"/>
  <c r="R62" i="30"/>
  <c r="Q62" i="30"/>
  <c r="P62" i="30"/>
  <c r="O62" i="30"/>
  <c r="N62" i="30"/>
  <c r="M62" i="30"/>
  <c r="L62" i="30"/>
  <c r="A62" i="30"/>
  <c r="U61" i="30"/>
  <c r="T61" i="30"/>
  <c r="S61" i="30"/>
  <c r="R61" i="30"/>
  <c r="Q61" i="30"/>
  <c r="P61" i="30"/>
  <c r="O61" i="30"/>
  <c r="N61" i="30"/>
  <c r="M61" i="30"/>
  <c r="L61" i="30"/>
  <c r="A61" i="30"/>
  <c r="T58" i="30"/>
  <c r="S58" i="30"/>
  <c r="R58" i="30"/>
  <c r="Q58" i="30"/>
  <c r="P58" i="30"/>
  <c r="O58" i="30"/>
  <c r="N58" i="30"/>
  <c r="M58" i="30"/>
  <c r="L58" i="30"/>
  <c r="K58" i="30"/>
  <c r="T57" i="30"/>
  <c r="S57" i="30"/>
  <c r="R57" i="30"/>
  <c r="Q57" i="30"/>
  <c r="P57" i="30"/>
  <c r="O57" i="30"/>
  <c r="N57" i="30"/>
  <c r="M57" i="30"/>
  <c r="L57" i="30"/>
  <c r="K57" i="30"/>
  <c r="T56" i="30"/>
  <c r="S56" i="30"/>
  <c r="R56" i="30"/>
  <c r="Q56" i="30"/>
  <c r="P56" i="30"/>
  <c r="O56" i="30"/>
  <c r="N56" i="30"/>
  <c r="M56" i="30"/>
  <c r="L56" i="30"/>
  <c r="K56" i="30"/>
  <c r="S53" i="30"/>
  <c r="R53" i="30"/>
  <c r="Q53" i="30"/>
  <c r="P53" i="30"/>
  <c r="O53" i="30"/>
  <c r="N53" i="30"/>
  <c r="M53" i="30"/>
  <c r="L53" i="30"/>
  <c r="K53" i="30"/>
  <c r="J53" i="30"/>
  <c r="S52" i="30"/>
  <c r="R52" i="30"/>
  <c r="Q52" i="30"/>
  <c r="P52" i="30"/>
  <c r="O52" i="30"/>
  <c r="N52" i="30"/>
  <c r="M52" i="30"/>
  <c r="L52" i="30"/>
  <c r="K52" i="30"/>
  <c r="J52" i="30"/>
  <c r="S51" i="30"/>
  <c r="R51" i="30"/>
  <c r="Q51" i="30"/>
  <c r="P51" i="30"/>
  <c r="O51" i="30"/>
  <c r="N51" i="30"/>
  <c r="M51" i="30"/>
  <c r="L51" i="30"/>
  <c r="K51" i="30"/>
  <c r="J51" i="30"/>
  <c r="R47" i="30"/>
  <c r="Q47" i="30"/>
  <c r="P47" i="30"/>
  <c r="O47" i="30"/>
  <c r="N47" i="30"/>
  <c r="M47" i="30"/>
  <c r="L47" i="30"/>
  <c r="K47" i="30"/>
  <c r="J47" i="30"/>
  <c r="I47" i="30"/>
  <c r="R46" i="30"/>
  <c r="Q46" i="30"/>
  <c r="P46" i="30"/>
  <c r="O46" i="30"/>
  <c r="N46" i="30"/>
  <c r="M46" i="30"/>
  <c r="L46" i="30"/>
  <c r="K46" i="30"/>
  <c r="J46" i="30"/>
  <c r="I46" i="30"/>
  <c r="R45" i="30"/>
  <c r="Q45" i="30"/>
  <c r="P45" i="30"/>
  <c r="O45" i="30"/>
  <c r="N45" i="30"/>
  <c r="M45" i="30"/>
  <c r="L45" i="30"/>
  <c r="K45" i="30"/>
  <c r="J45" i="30"/>
  <c r="I45" i="30"/>
  <c r="R42" i="30"/>
  <c r="Q42" i="30"/>
  <c r="P42" i="30"/>
  <c r="O42" i="30"/>
  <c r="N42" i="30"/>
  <c r="M42" i="30"/>
  <c r="L42" i="30"/>
  <c r="K42" i="30"/>
  <c r="J42" i="30"/>
  <c r="I42" i="30"/>
  <c r="R41" i="30"/>
  <c r="Q41" i="30"/>
  <c r="P41" i="30"/>
  <c r="O41" i="30"/>
  <c r="N41" i="30"/>
  <c r="M41" i="30"/>
  <c r="L41" i="30"/>
  <c r="K41" i="30"/>
  <c r="J41" i="30"/>
  <c r="I41" i="30"/>
  <c r="R40" i="30"/>
  <c r="Q40" i="30"/>
  <c r="P40" i="30"/>
  <c r="O40" i="30"/>
  <c r="N40" i="30"/>
  <c r="M40" i="30"/>
  <c r="L40" i="30"/>
  <c r="K40" i="30"/>
  <c r="J40" i="30"/>
  <c r="I40" i="30"/>
  <c r="Q37" i="30"/>
  <c r="P37" i="30"/>
  <c r="O37" i="30"/>
  <c r="N37" i="30"/>
  <c r="M37" i="30"/>
  <c r="L37" i="30"/>
  <c r="K37" i="30"/>
  <c r="J37" i="30"/>
  <c r="I37" i="30"/>
  <c r="H37" i="30"/>
  <c r="Q36" i="30"/>
  <c r="P36" i="30"/>
  <c r="O36" i="30"/>
  <c r="N36" i="30"/>
  <c r="M36" i="30"/>
  <c r="L36" i="30"/>
  <c r="K36" i="30"/>
  <c r="J36" i="30"/>
  <c r="I36" i="30"/>
  <c r="H36" i="30"/>
  <c r="Q35" i="30"/>
  <c r="P35" i="30"/>
  <c r="O35" i="30"/>
  <c r="N35" i="30"/>
  <c r="M35" i="30"/>
  <c r="L35" i="30"/>
  <c r="K35" i="30"/>
  <c r="J35" i="30"/>
  <c r="I35" i="30"/>
  <c r="H35" i="30"/>
  <c r="P32" i="30"/>
  <c r="O32" i="30"/>
  <c r="N32" i="30"/>
  <c r="M32" i="30"/>
  <c r="L32" i="30"/>
  <c r="K32" i="30"/>
  <c r="J32" i="30"/>
  <c r="I32" i="30"/>
  <c r="H32" i="30"/>
  <c r="G32" i="30"/>
  <c r="P31" i="30"/>
  <c r="O31" i="30"/>
  <c r="N31" i="30"/>
  <c r="M31" i="30"/>
  <c r="L31" i="30"/>
  <c r="K31" i="30"/>
  <c r="J31" i="30"/>
  <c r="I31" i="30"/>
  <c r="H31" i="30"/>
  <c r="G31" i="30"/>
  <c r="P30" i="30"/>
  <c r="O30" i="30"/>
  <c r="N30" i="30"/>
  <c r="M30" i="30"/>
  <c r="L30" i="30"/>
  <c r="K30" i="30"/>
  <c r="J30" i="30"/>
  <c r="I30" i="30"/>
  <c r="H30" i="30"/>
  <c r="G30" i="30"/>
  <c r="O27" i="30"/>
  <c r="N27" i="30"/>
  <c r="M27" i="30"/>
  <c r="L27" i="30"/>
  <c r="K27" i="30"/>
  <c r="J27" i="30"/>
  <c r="I27" i="30"/>
  <c r="H27" i="30"/>
  <c r="G27" i="30"/>
  <c r="F27" i="30"/>
  <c r="O26" i="30"/>
  <c r="N26" i="30"/>
  <c r="M26" i="30"/>
  <c r="L26" i="30"/>
  <c r="K26" i="30"/>
  <c r="J26" i="30"/>
  <c r="I26" i="30"/>
  <c r="H26" i="30"/>
  <c r="G26" i="30"/>
  <c r="F26" i="30"/>
  <c r="O25" i="30"/>
  <c r="N25" i="30"/>
  <c r="M25" i="30"/>
  <c r="L25" i="30"/>
  <c r="K25" i="30"/>
  <c r="J25" i="30"/>
  <c r="I25" i="30"/>
  <c r="H25" i="30"/>
  <c r="G25" i="30"/>
  <c r="F25" i="30"/>
  <c r="N22" i="30"/>
  <c r="M22" i="30"/>
  <c r="L22" i="30"/>
  <c r="K22" i="30"/>
  <c r="J22" i="30"/>
  <c r="I22" i="30"/>
  <c r="H22" i="30"/>
  <c r="G22" i="30"/>
  <c r="F22" i="30"/>
  <c r="E22" i="30"/>
  <c r="N21" i="30"/>
  <c r="M21" i="30"/>
  <c r="L21" i="30"/>
  <c r="K21" i="30"/>
  <c r="J21" i="30"/>
  <c r="I21" i="30"/>
  <c r="H21" i="30"/>
  <c r="G21" i="30"/>
  <c r="F21" i="30"/>
  <c r="E21" i="30"/>
  <c r="N20" i="30"/>
  <c r="M20" i="30"/>
  <c r="L20" i="30"/>
  <c r="K20" i="30"/>
  <c r="J20" i="30"/>
  <c r="I20" i="30"/>
  <c r="H20" i="30"/>
  <c r="G20" i="30"/>
  <c r="F20" i="30"/>
  <c r="E20" i="30"/>
  <c r="M17" i="30"/>
  <c r="L17" i="30"/>
  <c r="K17" i="30"/>
  <c r="J17" i="30"/>
  <c r="I17" i="30"/>
  <c r="H17" i="30"/>
  <c r="G17" i="30"/>
  <c r="F17" i="30"/>
  <c r="E17" i="30"/>
  <c r="D17" i="30"/>
  <c r="M16" i="30"/>
  <c r="L16" i="30"/>
  <c r="K16" i="30"/>
  <c r="J16" i="30"/>
  <c r="I16" i="30"/>
  <c r="H16" i="30"/>
  <c r="G16" i="30"/>
  <c r="F16" i="30"/>
  <c r="E16" i="30"/>
  <c r="D16" i="30"/>
  <c r="M15" i="30"/>
  <c r="L15" i="30"/>
  <c r="K15" i="30"/>
  <c r="J15" i="30"/>
  <c r="I15" i="30"/>
  <c r="H15" i="30"/>
  <c r="G15" i="30"/>
  <c r="F15" i="30"/>
  <c r="E15" i="30"/>
  <c r="D15" i="30"/>
  <c r="L12" i="30"/>
  <c r="K12" i="30"/>
  <c r="J12" i="30"/>
  <c r="I12" i="30"/>
  <c r="H12" i="30"/>
  <c r="G12" i="30"/>
  <c r="F12" i="30"/>
  <c r="E12" i="30"/>
  <c r="D12" i="30"/>
  <c r="C12" i="30"/>
  <c r="L11" i="30"/>
  <c r="K11" i="30"/>
  <c r="J11" i="30"/>
  <c r="I11" i="30"/>
  <c r="H11" i="30"/>
  <c r="G11" i="30"/>
  <c r="F11" i="30"/>
  <c r="E11" i="30"/>
  <c r="D11" i="30"/>
  <c r="C11" i="30"/>
  <c r="L10" i="30"/>
  <c r="K10" i="30"/>
  <c r="J10" i="30"/>
  <c r="I10" i="30"/>
  <c r="H10" i="30"/>
  <c r="G10" i="30"/>
  <c r="F10" i="30"/>
  <c r="E10" i="30"/>
  <c r="D10" i="30"/>
  <c r="C10" i="30"/>
  <c r="K7" i="30"/>
  <c r="J7" i="30"/>
  <c r="I7" i="30"/>
  <c r="H7" i="30"/>
  <c r="G7" i="30"/>
  <c r="F7" i="30"/>
  <c r="E7" i="30"/>
  <c r="D7" i="30"/>
  <c r="C7" i="30"/>
  <c r="B7" i="30"/>
  <c r="A7" i="30"/>
  <c r="K6" i="30"/>
  <c r="J6" i="30"/>
  <c r="I6" i="30"/>
  <c r="H6" i="30"/>
  <c r="G6" i="30"/>
  <c r="F6" i="30"/>
  <c r="E6" i="30"/>
  <c r="D6" i="30"/>
  <c r="C6" i="30"/>
  <c r="B6" i="30"/>
  <c r="K5" i="30"/>
  <c r="J5" i="30"/>
  <c r="I5" i="30"/>
  <c r="H5" i="30"/>
  <c r="G5" i="30"/>
  <c r="F5" i="30"/>
  <c r="E5" i="30"/>
  <c r="D5" i="30"/>
  <c r="C5" i="30"/>
  <c r="B5" i="30"/>
  <c r="V3" i="30"/>
  <c r="U3" i="30"/>
  <c r="T3" i="30"/>
  <c r="S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M105" i="33"/>
  <c r="L105" i="33"/>
  <c r="K105" i="33"/>
  <c r="J105" i="33"/>
  <c r="I105" i="33"/>
  <c r="H105" i="33"/>
  <c r="G105" i="33"/>
  <c r="F105" i="33"/>
  <c r="E105" i="33"/>
  <c r="D105" i="33"/>
  <c r="M102" i="33"/>
  <c r="L102" i="33"/>
  <c r="K102" i="33"/>
  <c r="J102" i="33"/>
  <c r="I102" i="33"/>
  <c r="H102" i="33"/>
  <c r="G102" i="33"/>
  <c r="F102" i="33"/>
  <c r="E102" i="33"/>
  <c r="O98" i="33"/>
  <c r="M98" i="33"/>
  <c r="L98" i="33"/>
  <c r="K98" i="33"/>
  <c r="J98" i="33"/>
  <c r="I98" i="33"/>
  <c r="H98" i="33"/>
  <c r="G98" i="33"/>
  <c r="F98" i="33"/>
  <c r="E98" i="33"/>
  <c r="O97" i="33"/>
  <c r="M97" i="33"/>
  <c r="L97" i="33"/>
  <c r="K97" i="33"/>
  <c r="J97" i="33"/>
  <c r="I97" i="33"/>
  <c r="H97" i="33"/>
  <c r="G97" i="33"/>
  <c r="F97" i="33"/>
  <c r="E97" i="33"/>
  <c r="D97" i="33"/>
  <c r="M95" i="33"/>
  <c r="L95" i="33"/>
  <c r="K95" i="33"/>
  <c r="J95" i="33"/>
  <c r="I95" i="33"/>
  <c r="H95" i="33"/>
  <c r="G95" i="33"/>
  <c r="F95" i="33"/>
  <c r="E95" i="33"/>
  <c r="M93" i="33"/>
  <c r="L93" i="33"/>
  <c r="K93" i="33"/>
  <c r="J93" i="33"/>
  <c r="I93" i="33"/>
  <c r="H93" i="33"/>
  <c r="G93" i="33"/>
  <c r="F93" i="33"/>
  <c r="E93" i="33"/>
  <c r="M92" i="33"/>
  <c r="L92" i="33"/>
  <c r="K92" i="33"/>
  <c r="J92" i="33"/>
  <c r="I92" i="33"/>
  <c r="H92" i="33"/>
  <c r="G92" i="33"/>
  <c r="F92" i="33"/>
  <c r="E92" i="33"/>
  <c r="M91" i="33"/>
  <c r="L91" i="33"/>
  <c r="K91" i="33"/>
  <c r="J91" i="33"/>
  <c r="I91" i="33"/>
  <c r="H91" i="33"/>
  <c r="G91" i="33"/>
  <c r="F91" i="33"/>
  <c r="E91" i="33"/>
  <c r="D91" i="33"/>
  <c r="A91" i="33"/>
  <c r="M89" i="33"/>
  <c r="L89" i="33"/>
  <c r="K89" i="33"/>
  <c r="J89" i="33"/>
  <c r="I89" i="33"/>
  <c r="H89" i="33"/>
  <c r="G89" i="33"/>
  <c r="F89" i="33"/>
  <c r="E89" i="33"/>
  <c r="M88" i="33"/>
  <c r="L88" i="33"/>
  <c r="K88" i="33"/>
  <c r="J88" i="33"/>
  <c r="I88" i="33"/>
  <c r="H88" i="33"/>
  <c r="G88" i="33"/>
  <c r="F88" i="33"/>
  <c r="E88" i="33"/>
  <c r="M87" i="33"/>
  <c r="L87" i="33"/>
  <c r="K87" i="33"/>
  <c r="J87" i="33"/>
  <c r="I87" i="33"/>
  <c r="H87" i="33"/>
  <c r="G87" i="33"/>
  <c r="F87" i="33"/>
  <c r="E87" i="33"/>
  <c r="D87" i="33"/>
  <c r="A87" i="33"/>
  <c r="M85" i="33"/>
  <c r="L85" i="33"/>
  <c r="K85" i="33"/>
  <c r="J85" i="33"/>
  <c r="I85" i="33"/>
  <c r="H85" i="33"/>
  <c r="G85" i="33"/>
  <c r="F85" i="33"/>
  <c r="E85" i="33"/>
  <c r="M84" i="33"/>
  <c r="L84" i="33"/>
  <c r="K84" i="33"/>
  <c r="J84" i="33"/>
  <c r="I84" i="33"/>
  <c r="H84" i="33"/>
  <c r="G84" i="33"/>
  <c r="F84" i="33"/>
  <c r="E84" i="33"/>
  <c r="D84" i="33"/>
  <c r="A84" i="33"/>
  <c r="M82" i="33"/>
  <c r="L82" i="33"/>
  <c r="K82" i="33"/>
  <c r="J82" i="33"/>
  <c r="I82" i="33"/>
  <c r="H82" i="33"/>
  <c r="G82" i="33"/>
  <c r="F82" i="33"/>
  <c r="E82" i="33"/>
  <c r="M81" i="33"/>
  <c r="L81" i="33"/>
  <c r="K81" i="33"/>
  <c r="J81" i="33"/>
  <c r="I81" i="33"/>
  <c r="H81" i="33"/>
  <c r="G81" i="33"/>
  <c r="F81" i="33"/>
  <c r="E81" i="33"/>
  <c r="D81" i="33"/>
  <c r="A81" i="33"/>
  <c r="M79" i="33"/>
  <c r="L79" i="33"/>
  <c r="K79" i="33"/>
  <c r="J79" i="33"/>
  <c r="I79" i="33"/>
  <c r="H79" i="33"/>
  <c r="G79" i="33"/>
  <c r="F79" i="33"/>
  <c r="E79" i="33"/>
  <c r="M78" i="33"/>
  <c r="L78" i="33"/>
  <c r="K78" i="33"/>
  <c r="J78" i="33"/>
  <c r="I78" i="33"/>
  <c r="H78" i="33"/>
  <c r="G78" i="33"/>
  <c r="F78" i="33"/>
  <c r="E78" i="33"/>
  <c r="D78" i="33"/>
  <c r="A78" i="33"/>
  <c r="M76" i="33"/>
  <c r="L76" i="33"/>
  <c r="K76" i="33"/>
  <c r="J76" i="33"/>
  <c r="I76" i="33"/>
  <c r="H76" i="33"/>
  <c r="G76" i="33"/>
  <c r="F76" i="33"/>
  <c r="E76" i="33"/>
  <c r="M75" i="33"/>
  <c r="L75" i="33"/>
  <c r="K75" i="33"/>
  <c r="J75" i="33"/>
  <c r="I75" i="33"/>
  <c r="H75" i="33"/>
  <c r="G75" i="33"/>
  <c r="F75" i="33"/>
  <c r="E75" i="33"/>
  <c r="D75" i="33"/>
  <c r="A75" i="33"/>
  <c r="M74" i="33"/>
  <c r="L74" i="33"/>
  <c r="K74" i="33"/>
  <c r="J74" i="33"/>
  <c r="I74" i="33"/>
  <c r="H74" i="33"/>
  <c r="G74" i="33"/>
  <c r="F74" i="33"/>
  <c r="E74" i="33"/>
  <c r="D74" i="33"/>
  <c r="Z73" i="33"/>
  <c r="Y73" i="33"/>
  <c r="X73" i="33"/>
  <c r="W73" i="33"/>
  <c r="V73" i="33"/>
  <c r="U73" i="33"/>
  <c r="T73" i="33"/>
  <c r="S73" i="33"/>
  <c r="Z72" i="33"/>
  <c r="Y72" i="33"/>
  <c r="X72" i="33"/>
  <c r="W72" i="33"/>
  <c r="V72" i="33"/>
  <c r="U72" i="33"/>
  <c r="T72" i="33"/>
  <c r="S72" i="33"/>
  <c r="R72" i="33"/>
  <c r="Q72" i="33"/>
  <c r="M70" i="33"/>
  <c r="L70" i="33"/>
  <c r="K70" i="33"/>
  <c r="J70" i="33"/>
  <c r="I70" i="33"/>
  <c r="H70" i="33"/>
  <c r="G70" i="33"/>
  <c r="F70" i="33"/>
  <c r="E70" i="33"/>
  <c r="M68" i="33"/>
  <c r="L68" i="33"/>
  <c r="K68" i="33"/>
  <c r="J68" i="33"/>
  <c r="I68" i="33"/>
  <c r="H68" i="33"/>
  <c r="G68" i="33"/>
  <c r="F68" i="33"/>
  <c r="E68" i="33"/>
  <c r="M66" i="33"/>
  <c r="L66" i="33"/>
  <c r="K66" i="33"/>
  <c r="J66" i="33"/>
  <c r="I66" i="33"/>
  <c r="H66" i="33"/>
  <c r="G66" i="33"/>
  <c r="F66" i="33"/>
  <c r="E66" i="33"/>
  <c r="D66" i="33"/>
  <c r="M65" i="33"/>
  <c r="L65" i="33"/>
  <c r="K65" i="33"/>
  <c r="J65" i="33"/>
  <c r="I65" i="33"/>
  <c r="H65" i="33"/>
  <c r="G65" i="33"/>
  <c r="F65" i="33"/>
  <c r="E65" i="33"/>
  <c r="D65" i="33"/>
  <c r="M64" i="33"/>
  <c r="L64" i="33"/>
  <c r="K64" i="33"/>
  <c r="J64" i="33"/>
  <c r="I64" i="33"/>
  <c r="H64" i="33"/>
  <c r="G64" i="33"/>
  <c r="F64" i="33"/>
  <c r="E64" i="33"/>
  <c r="D64" i="33"/>
  <c r="M63" i="33"/>
  <c r="L63" i="33"/>
  <c r="K63" i="33"/>
  <c r="J63" i="33"/>
  <c r="I63" i="33"/>
  <c r="H63" i="33"/>
  <c r="G63" i="33"/>
  <c r="F63" i="33"/>
  <c r="E63" i="33"/>
  <c r="D63" i="33"/>
  <c r="M62" i="33"/>
  <c r="L62" i="33"/>
  <c r="K62" i="33"/>
  <c r="J62" i="33"/>
  <c r="I62" i="33"/>
  <c r="H62" i="33"/>
  <c r="G62" i="33"/>
  <c r="F62" i="33"/>
  <c r="E62" i="33"/>
  <c r="D62" i="33"/>
  <c r="N61" i="33"/>
  <c r="M61" i="33"/>
  <c r="L61" i="33"/>
  <c r="K61" i="33"/>
  <c r="J61" i="33"/>
  <c r="I61" i="33"/>
  <c r="H61" i="33"/>
  <c r="G61" i="33"/>
  <c r="F61" i="33"/>
  <c r="E61" i="33"/>
  <c r="D61" i="33"/>
  <c r="M60" i="33"/>
  <c r="L60" i="33"/>
  <c r="K60" i="33"/>
  <c r="J60" i="33"/>
  <c r="I60" i="33"/>
  <c r="H60" i="33"/>
  <c r="G60" i="33"/>
  <c r="F60" i="33"/>
  <c r="E60" i="33"/>
  <c r="D60" i="33"/>
  <c r="N59" i="33"/>
  <c r="M59" i="33"/>
  <c r="L59" i="33"/>
  <c r="K59" i="33"/>
  <c r="J59" i="33"/>
  <c r="I59" i="33"/>
  <c r="H59" i="33"/>
  <c r="G59" i="33"/>
  <c r="F59" i="33"/>
  <c r="E59" i="33"/>
  <c r="D59" i="33"/>
  <c r="M55" i="33"/>
  <c r="L55" i="33"/>
  <c r="K55" i="33"/>
  <c r="J55" i="33"/>
  <c r="I55" i="33"/>
  <c r="H55" i="33"/>
  <c r="G55" i="33"/>
  <c r="F55" i="33"/>
  <c r="E55" i="33"/>
  <c r="D55" i="33"/>
  <c r="M54" i="33"/>
  <c r="L54" i="33"/>
  <c r="K54" i="33"/>
  <c r="J54" i="33"/>
  <c r="I54" i="33"/>
  <c r="H54" i="33"/>
  <c r="G54" i="33"/>
  <c r="F54" i="33"/>
  <c r="E54" i="33"/>
  <c r="D54" i="33"/>
  <c r="M53" i="33"/>
  <c r="L53" i="33"/>
  <c r="K53" i="33"/>
  <c r="J53" i="33"/>
  <c r="I53" i="33"/>
  <c r="H53" i="33"/>
  <c r="G53" i="33"/>
  <c r="F53" i="33"/>
  <c r="E53" i="33"/>
  <c r="D53" i="33"/>
  <c r="AA50" i="33"/>
  <c r="Z50" i="33"/>
  <c r="Y50" i="33"/>
  <c r="X50" i="33"/>
  <c r="W50" i="33"/>
  <c r="V50" i="33"/>
  <c r="U50" i="33"/>
  <c r="T50" i="33"/>
  <c r="S50" i="33"/>
  <c r="AA49" i="33"/>
  <c r="Z49" i="33"/>
  <c r="Y49" i="33"/>
  <c r="X49" i="33"/>
  <c r="W49" i="33"/>
  <c r="V49" i="33"/>
  <c r="U49" i="33"/>
  <c r="T49" i="33"/>
  <c r="S49" i="33"/>
  <c r="R49" i="33"/>
  <c r="O49" i="33"/>
  <c r="M49" i="33"/>
  <c r="L49" i="33"/>
  <c r="K49" i="33"/>
  <c r="J49" i="33"/>
  <c r="I49" i="33"/>
  <c r="H49" i="33"/>
  <c r="G49" i="33"/>
  <c r="F49" i="33"/>
  <c r="E49" i="33"/>
  <c r="D49" i="33"/>
  <c r="M48" i="33"/>
  <c r="L48" i="33"/>
  <c r="K48" i="33"/>
  <c r="J48" i="33"/>
  <c r="I48" i="33"/>
  <c r="H48" i="33"/>
  <c r="G48" i="33"/>
  <c r="F48" i="33"/>
  <c r="E48" i="33"/>
  <c r="AA47" i="33"/>
  <c r="Z47" i="33"/>
  <c r="Y47" i="33"/>
  <c r="X47" i="33"/>
  <c r="W47" i="33"/>
  <c r="V47" i="33"/>
  <c r="U47" i="33"/>
  <c r="T47" i="33"/>
  <c r="S47" i="33"/>
  <c r="AA45" i="33"/>
  <c r="Z45" i="33"/>
  <c r="Y45" i="33"/>
  <c r="X45" i="33"/>
  <c r="W45" i="33"/>
  <c r="V45" i="33"/>
  <c r="U45" i="33"/>
  <c r="T45" i="33"/>
  <c r="S45" i="33"/>
  <c r="R45" i="33"/>
  <c r="O45" i="33"/>
  <c r="AA43" i="33"/>
  <c r="Z43" i="33"/>
  <c r="Y43" i="33"/>
  <c r="X43" i="33"/>
  <c r="W43" i="33"/>
  <c r="V43" i="33"/>
  <c r="U43" i="33"/>
  <c r="T43" i="33"/>
  <c r="S43" i="33"/>
  <c r="M43" i="33"/>
  <c r="L43" i="33"/>
  <c r="K43" i="33"/>
  <c r="J43" i="33"/>
  <c r="I43" i="33"/>
  <c r="H43" i="33"/>
  <c r="G43" i="33"/>
  <c r="F43" i="33"/>
  <c r="E43" i="33"/>
  <c r="D43" i="33"/>
  <c r="AA42" i="33"/>
  <c r="Z42" i="33"/>
  <c r="Y42" i="33"/>
  <c r="X42" i="33"/>
  <c r="W42" i="33"/>
  <c r="V42" i="33"/>
  <c r="U42" i="33"/>
  <c r="T42" i="33"/>
  <c r="S42" i="33"/>
  <c r="R42" i="33"/>
  <c r="O42" i="33"/>
  <c r="M41" i="33"/>
  <c r="L41" i="33"/>
  <c r="K41" i="33"/>
  <c r="J41" i="33"/>
  <c r="I41" i="33"/>
  <c r="H41" i="33"/>
  <c r="G41" i="33"/>
  <c r="F41" i="33"/>
  <c r="E41" i="33"/>
  <c r="AA40" i="33"/>
  <c r="Z40" i="33"/>
  <c r="Y40" i="33"/>
  <c r="X40" i="33"/>
  <c r="W40" i="33"/>
  <c r="V40" i="33"/>
  <c r="U40" i="33"/>
  <c r="T40" i="33"/>
  <c r="S40" i="33"/>
  <c r="R40" i="33"/>
  <c r="M34" i="33"/>
  <c r="L34" i="33"/>
  <c r="K34" i="33"/>
  <c r="J34" i="33"/>
  <c r="I34" i="33"/>
  <c r="H34" i="33"/>
  <c r="G34" i="33"/>
  <c r="F34" i="33"/>
  <c r="E34" i="33"/>
  <c r="M29" i="33"/>
  <c r="L29" i="33"/>
  <c r="K29" i="33"/>
  <c r="J29" i="33"/>
  <c r="I29" i="33"/>
  <c r="H29" i="33"/>
  <c r="G29" i="33"/>
  <c r="F29" i="33"/>
  <c r="E29" i="33"/>
  <c r="D29" i="33"/>
  <c r="M28" i="33"/>
  <c r="L28" i="33"/>
  <c r="K28" i="33"/>
  <c r="J28" i="33"/>
  <c r="I28" i="33"/>
  <c r="H28" i="33"/>
  <c r="G28" i="33"/>
  <c r="F28" i="33"/>
  <c r="E28" i="33"/>
  <c r="D28" i="33"/>
  <c r="M24" i="33"/>
  <c r="L24" i="33"/>
  <c r="K24" i="33"/>
  <c r="J24" i="33"/>
  <c r="I24" i="33"/>
  <c r="H24" i="33"/>
  <c r="G24" i="33"/>
  <c r="F24" i="33"/>
  <c r="E24" i="33"/>
  <c r="D24" i="33"/>
  <c r="M23" i="33"/>
  <c r="L23" i="33"/>
  <c r="K23" i="33"/>
  <c r="J23" i="33"/>
  <c r="I23" i="33"/>
  <c r="H23" i="33"/>
  <c r="G23" i="33"/>
  <c r="F23" i="33"/>
  <c r="E23" i="33"/>
  <c r="M18" i="33"/>
  <c r="L18" i="33"/>
  <c r="K18" i="33"/>
  <c r="J18" i="33"/>
  <c r="I18" i="33"/>
  <c r="H18" i="33"/>
  <c r="G18" i="33"/>
  <c r="F18" i="33"/>
  <c r="E18" i="33"/>
  <c r="D18" i="33"/>
  <c r="M16" i="33"/>
  <c r="L16" i="33"/>
  <c r="K16" i="33"/>
  <c r="J16" i="33"/>
  <c r="I16" i="33"/>
  <c r="H16" i="33"/>
  <c r="G16" i="33"/>
  <c r="F16" i="33"/>
  <c r="M7" i="33"/>
  <c r="L7" i="33"/>
  <c r="K7" i="33"/>
  <c r="J7" i="33"/>
  <c r="I7" i="33"/>
  <c r="H7" i="33"/>
  <c r="G7" i="33"/>
  <c r="F7" i="33"/>
  <c r="E7" i="33"/>
  <c r="L60" i="31"/>
  <c r="K60" i="31"/>
  <c r="J60" i="31"/>
  <c r="I60" i="31"/>
  <c r="H60" i="31"/>
  <c r="G60" i="31"/>
  <c r="F60" i="31"/>
  <c r="E60" i="31"/>
  <c r="D60" i="31"/>
  <c r="L59" i="31"/>
  <c r="K59" i="31"/>
  <c r="J59" i="31"/>
  <c r="I59" i="31"/>
  <c r="H59" i="31"/>
  <c r="G59" i="31"/>
  <c r="F59" i="31"/>
  <c r="E59" i="31"/>
  <c r="D59" i="31"/>
  <c r="L58" i="31"/>
  <c r="K58" i="31"/>
  <c r="J58" i="31"/>
  <c r="I58" i="31"/>
  <c r="H58" i="31"/>
  <c r="G58" i="31"/>
  <c r="F58" i="31"/>
  <c r="E58" i="31"/>
  <c r="D58" i="31"/>
  <c r="L57" i="31"/>
  <c r="K57" i="31"/>
  <c r="J57" i="31"/>
  <c r="I57" i="31"/>
  <c r="H57" i="31"/>
  <c r="G57" i="31"/>
  <c r="F57" i="31"/>
  <c r="E57" i="31"/>
  <c r="D57" i="31"/>
  <c r="L56" i="31"/>
  <c r="K56" i="31"/>
  <c r="J56" i="31"/>
  <c r="I56" i="31"/>
  <c r="H56" i="31"/>
  <c r="G56" i="31"/>
  <c r="F56" i="31"/>
  <c r="E56" i="31"/>
  <c r="D56" i="31"/>
  <c r="L55" i="31"/>
  <c r="K55" i="31"/>
  <c r="J55" i="31"/>
  <c r="I55" i="31"/>
  <c r="H55" i="31"/>
  <c r="G55" i="31"/>
  <c r="F55" i="31"/>
  <c r="E55" i="31"/>
  <c r="D55" i="31"/>
  <c r="L51" i="31"/>
  <c r="K51" i="31"/>
  <c r="J51" i="31"/>
  <c r="I51" i="31"/>
  <c r="H51" i="31"/>
  <c r="G51" i="31"/>
  <c r="F51" i="31"/>
  <c r="E51" i="31"/>
  <c r="D51" i="31"/>
  <c r="L50" i="31"/>
  <c r="K50" i="31"/>
  <c r="J50" i="31"/>
  <c r="I50" i="31"/>
  <c r="H50" i="31"/>
  <c r="G50" i="31"/>
  <c r="F50" i="31"/>
  <c r="E50" i="31"/>
  <c r="D50" i="31"/>
  <c r="L48" i="31"/>
  <c r="K48" i="31"/>
  <c r="J48" i="31"/>
  <c r="I48" i="31"/>
  <c r="H48" i="31"/>
  <c r="G48" i="31"/>
  <c r="F48" i="31"/>
  <c r="E48" i="31"/>
  <c r="D48" i="31"/>
  <c r="L46" i="31"/>
  <c r="K46" i="31"/>
  <c r="J46" i="31"/>
  <c r="I46" i="31"/>
  <c r="H46" i="31"/>
  <c r="G46" i="31"/>
  <c r="F46" i="31"/>
  <c r="E46" i="31"/>
  <c r="D46" i="31"/>
  <c r="L45" i="31"/>
  <c r="K45" i="31"/>
  <c r="J45" i="31"/>
  <c r="I45" i="31"/>
  <c r="H45" i="31"/>
  <c r="G45" i="31"/>
  <c r="F45" i="31"/>
  <c r="E45" i="31"/>
  <c r="D45" i="31"/>
  <c r="L44" i="31"/>
  <c r="K44" i="31"/>
  <c r="J44" i="31"/>
  <c r="I44" i="31"/>
  <c r="H44" i="31"/>
  <c r="G44" i="31"/>
  <c r="F44" i="31"/>
  <c r="E44" i="31"/>
  <c r="D44" i="31"/>
  <c r="L43" i="31"/>
  <c r="K43" i="31"/>
  <c r="J43" i="31"/>
  <c r="I43" i="31"/>
  <c r="H43" i="31"/>
  <c r="G43" i="31"/>
  <c r="F43" i="31"/>
  <c r="E43" i="31"/>
  <c r="D43" i="31"/>
  <c r="L41" i="31"/>
  <c r="K41" i="31"/>
  <c r="J41" i="31"/>
  <c r="I41" i="31"/>
  <c r="H41" i="31"/>
  <c r="G41" i="31"/>
  <c r="F41" i="31"/>
  <c r="E41" i="31"/>
  <c r="D41" i="31"/>
  <c r="L39" i="31"/>
  <c r="K39" i="31"/>
  <c r="J39" i="31"/>
  <c r="I39" i="31"/>
  <c r="H39" i="31"/>
  <c r="G39" i="31"/>
  <c r="F39" i="31"/>
  <c r="E39" i="31"/>
  <c r="D39" i="31"/>
  <c r="L38" i="31"/>
  <c r="K38" i="31"/>
  <c r="J38" i="31"/>
  <c r="I38" i="31"/>
  <c r="H38" i="31"/>
  <c r="G38" i="31"/>
  <c r="F38" i="31"/>
  <c r="E38" i="31"/>
  <c r="D38" i="31"/>
  <c r="L37" i="31"/>
  <c r="K37" i="31"/>
  <c r="J37" i="31"/>
  <c r="I37" i="31"/>
  <c r="H37" i="31"/>
  <c r="G37" i="31"/>
  <c r="F37" i="31"/>
  <c r="E37" i="31"/>
  <c r="D37" i="31"/>
  <c r="L36" i="31"/>
  <c r="K36" i="31"/>
  <c r="J36" i="31"/>
  <c r="I36" i="31"/>
  <c r="H36" i="31"/>
  <c r="G36" i="31"/>
  <c r="F36" i="31"/>
  <c r="E36" i="31"/>
  <c r="D36" i="31"/>
  <c r="L35" i="31"/>
  <c r="K35" i="31"/>
  <c r="J35" i="31"/>
  <c r="I35" i="31"/>
  <c r="H35" i="31"/>
  <c r="G35" i="31"/>
  <c r="F35" i="31"/>
  <c r="E35" i="31"/>
  <c r="D35" i="31"/>
  <c r="L34" i="31"/>
  <c r="K34" i="31"/>
  <c r="J34" i="31"/>
  <c r="I34" i="31"/>
  <c r="H34" i="31"/>
  <c r="G34" i="31"/>
  <c r="F34" i="31"/>
  <c r="E34" i="31"/>
  <c r="D34" i="31"/>
  <c r="L33" i="31"/>
  <c r="K33" i="31"/>
  <c r="J33" i="31"/>
  <c r="I33" i="31"/>
  <c r="H33" i="31"/>
  <c r="G33" i="31"/>
  <c r="F33" i="31"/>
  <c r="E33" i="31"/>
  <c r="D33" i="31"/>
  <c r="L32" i="31"/>
  <c r="K32" i="31"/>
  <c r="J32" i="31"/>
  <c r="I32" i="31"/>
  <c r="H32" i="31"/>
  <c r="G32" i="31"/>
  <c r="F32" i="31"/>
  <c r="E32" i="31"/>
  <c r="D32" i="31"/>
  <c r="L28" i="31"/>
  <c r="K28" i="31"/>
  <c r="J28" i="31"/>
  <c r="I28" i="31"/>
  <c r="H28" i="31"/>
  <c r="G28" i="31"/>
  <c r="F28" i="31"/>
  <c r="E28" i="31"/>
  <c r="D28" i="31"/>
  <c r="L27" i="31"/>
  <c r="K27" i="31"/>
  <c r="J27" i="31"/>
  <c r="I27" i="31"/>
  <c r="H27" i="31"/>
  <c r="G27" i="31"/>
  <c r="F27" i="31"/>
  <c r="E27" i="31"/>
  <c r="D27" i="31"/>
  <c r="L25" i="31"/>
  <c r="K25" i="31"/>
  <c r="J25" i="31"/>
  <c r="I25" i="31"/>
  <c r="H25" i="31"/>
  <c r="G25" i="31"/>
  <c r="F25" i="31"/>
  <c r="E25" i="31"/>
  <c r="D25" i="31"/>
  <c r="L23" i="31"/>
  <c r="K23" i="31"/>
  <c r="J23" i="31"/>
  <c r="I23" i="31"/>
  <c r="H23" i="31"/>
  <c r="G23" i="31"/>
  <c r="F23" i="31"/>
  <c r="E23" i="31"/>
  <c r="D23" i="31"/>
  <c r="L22" i="31"/>
  <c r="K22" i="31"/>
  <c r="J22" i="31"/>
  <c r="I22" i="31"/>
  <c r="H22" i="31"/>
  <c r="G22" i="31"/>
  <c r="F22" i="31"/>
  <c r="E22" i="31"/>
  <c r="D22" i="31"/>
  <c r="L21" i="31"/>
  <c r="K21" i="31"/>
  <c r="J21" i="31"/>
  <c r="I21" i="31"/>
  <c r="H21" i="31"/>
  <c r="G21" i="31"/>
  <c r="F21" i="31"/>
  <c r="E21" i="31"/>
  <c r="D21" i="31"/>
  <c r="L20" i="31"/>
  <c r="K20" i="31"/>
  <c r="J20" i="31"/>
  <c r="I20" i="31"/>
  <c r="H20" i="31"/>
  <c r="G20" i="31"/>
  <c r="F20" i="31"/>
  <c r="E20" i="31"/>
  <c r="D20" i="31"/>
  <c r="L18" i="31"/>
  <c r="K18" i="31"/>
  <c r="J18" i="31"/>
  <c r="I18" i="31"/>
  <c r="H18" i="31"/>
  <c r="G18" i="31"/>
  <c r="F18" i="31"/>
  <c r="E18" i="31"/>
  <c r="D18" i="31"/>
  <c r="L16" i="31"/>
  <c r="K16" i="31"/>
  <c r="J16" i="31"/>
  <c r="I16" i="31"/>
  <c r="H16" i="31"/>
  <c r="G16" i="31"/>
  <c r="F16" i="31"/>
  <c r="E16" i="31"/>
  <c r="D16" i="31"/>
  <c r="L15" i="31"/>
  <c r="K15" i="31"/>
  <c r="J15" i="31"/>
  <c r="I15" i="31"/>
  <c r="H15" i="31"/>
  <c r="G15" i="31"/>
  <c r="F15" i="31"/>
  <c r="E15" i="31"/>
  <c r="D15" i="31"/>
  <c r="L14" i="31"/>
  <c r="K14" i="31"/>
  <c r="J14" i="31"/>
  <c r="I14" i="31"/>
  <c r="H14" i="31"/>
  <c r="G14" i="31"/>
  <c r="F14" i="31"/>
  <c r="E14" i="31"/>
  <c r="D14" i="31"/>
  <c r="L13" i="31"/>
  <c r="K13" i="31"/>
  <c r="J13" i="31"/>
  <c r="I13" i="31"/>
  <c r="H13" i="31"/>
  <c r="G13" i="31"/>
  <c r="F13" i="31"/>
  <c r="E13" i="31"/>
  <c r="D13" i="31"/>
  <c r="L12" i="31"/>
  <c r="K12" i="31"/>
  <c r="J12" i="31"/>
  <c r="I12" i="31"/>
  <c r="H12" i="31"/>
  <c r="G12" i="31"/>
  <c r="F12" i="31"/>
  <c r="E12" i="31"/>
  <c r="D12" i="31"/>
  <c r="L11" i="31"/>
  <c r="K11" i="31"/>
  <c r="J11" i="31"/>
  <c r="I11" i="31"/>
  <c r="H11" i="31"/>
  <c r="G11" i="31"/>
  <c r="F11" i="31"/>
  <c r="E11" i="31"/>
  <c r="D11" i="31"/>
  <c r="L10" i="31"/>
  <c r="K10" i="31"/>
  <c r="J10" i="31"/>
  <c r="I10" i="31"/>
  <c r="H10" i="31"/>
  <c r="G10" i="31"/>
  <c r="F10" i="31"/>
  <c r="E10" i="31"/>
  <c r="D10" i="31"/>
  <c r="L9" i="31"/>
  <c r="K9" i="31"/>
  <c r="J9" i="31"/>
  <c r="I9" i="31"/>
  <c r="H9" i="31"/>
  <c r="G9" i="31"/>
  <c r="F9" i="31"/>
  <c r="E9" i="31"/>
  <c r="D9" i="31"/>
  <c r="M7" i="31"/>
  <c r="L7" i="31"/>
  <c r="K7" i="31"/>
  <c r="J7" i="31"/>
  <c r="I7" i="31"/>
  <c r="H7" i="31"/>
  <c r="G7" i="31"/>
  <c r="F7" i="31"/>
  <c r="E7" i="31"/>
  <c r="M103" i="32"/>
  <c r="L103" i="32"/>
  <c r="K103" i="32"/>
  <c r="J103" i="32"/>
  <c r="I103" i="32"/>
  <c r="H103" i="32"/>
  <c r="G103" i="32"/>
  <c r="F103" i="32"/>
  <c r="E103" i="32"/>
  <c r="D103" i="32"/>
  <c r="M100" i="32"/>
  <c r="L100" i="32"/>
  <c r="K100" i="32"/>
  <c r="J100" i="32"/>
  <c r="I100" i="32"/>
  <c r="H100" i="32"/>
  <c r="G100" i="32"/>
  <c r="F100" i="32"/>
  <c r="E100" i="32"/>
  <c r="O96" i="32"/>
  <c r="M96" i="32"/>
  <c r="L96" i="32"/>
  <c r="K96" i="32"/>
  <c r="J96" i="32"/>
  <c r="I96" i="32"/>
  <c r="H96" i="32"/>
  <c r="G96" i="32"/>
  <c r="F96" i="32"/>
  <c r="E96" i="32"/>
  <c r="O95" i="32"/>
  <c r="M95" i="32"/>
  <c r="L95" i="32"/>
  <c r="K95" i="32"/>
  <c r="J95" i="32"/>
  <c r="I95" i="32"/>
  <c r="H95" i="32"/>
  <c r="G95" i="32"/>
  <c r="F95" i="32"/>
  <c r="E95" i="32"/>
  <c r="D95" i="32"/>
  <c r="M93" i="32"/>
  <c r="L93" i="32"/>
  <c r="K93" i="32"/>
  <c r="J93" i="32"/>
  <c r="I93" i="32"/>
  <c r="H93" i="32"/>
  <c r="G93" i="32"/>
  <c r="F93" i="32"/>
  <c r="E93" i="32"/>
  <c r="M91" i="32"/>
  <c r="L91" i="32"/>
  <c r="K91" i="32"/>
  <c r="J91" i="32"/>
  <c r="I91" i="32"/>
  <c r="H91" i="32"/>
  <c r="G91" i="32"/>
  <c r="F91" i="32"/>
  <c r="E91" i="32"/>
  <c r="M90" i="32"/>
  <c r="L90" i="32"/>
  <c r="K90" i="32"/>
  <c r="J90" i="32"/>
  <c r="I90" i="32"/>
  <c r="H90" i="32"/>
  <c r="G90" i="32"/>
  <c r="F90" i="32"/>
  <c r="E90" i="32"/>
  <c r="M89" i="32"/>
  <c r="L89" i="32"/>
  <c r="K89" i="32"/>
  <c r="J89" i="32"/>
  <c r="I89" i="32"/>
  <c r="H89" i="32"/>
  <c r="G89" i="32"/>
  <c r="F89" i="32"/>
  <c r="E89" i="32"/>
  <c r="D89" i="32"/>
  <c r="A89" i="32"/>
  <c r="M87" i="32"/>
  <c r="L87" i="32"/>
  <c r="K87" i="32"/>
  <c r="J87" i="32"/>
  <c r="I87" i="32"/>
  <c r="H87" i="32"/>
  <c r="G87" i="32"/>
  <c r="F87" i="32"/>
  <c r="E87" i="32"/>
  <c r="M86" i="32"/>
  <c r="L86" i="32"/>
  <c r="K86" i="32"/>
  <c r="J86" i="32"/>
  <c r="I86" i="32"/>
  <c r="H86" i="32"/>
  <c r="G86" i="32"/>
  <c r="F86" i="32"/>
  <c r="E86" i="32"/>
  <c r="M85" i="32"/>
  <c r="L85" i="32"/>
  <c r="K85" i="32"/>
  <c r="J85" i="32"/>
  <c r="I85" i="32"/>
  <c r="H85" i="32"/>
  <c r="G85" i="32"/>
  <c r="F85" i="32"/>
  <c r="E85" i="32"/>
  <c r="D85" i="32"/>
  <c r="A85" i="32"/>
  <c r="M83" i="32"/>
  <c r="L83" i="32"/>
  <c r="K83" i="32"/>
  <c r="J83" i="32"/>
  <c r="I83" i="32"/>
  <c r="H83" i="32"/>
  <c r="G83" i="32"/>
  <c r="F83" i="32"/>
  <c r="E83" i="32"/>
  <c r="M82" i="32"/>
  <c r="L82" i="32"/>
  <c r="K82" i="32"/>
  <c r="J82" i="32"/>
  <c r="I82" i="32"/>
  <c r="H82" i="32"/>
  <c r="G82" i="32"/>
  <c r="F82" i="32"/>
  <c r="E82" i="32"/>
  <c r="D82" i="32"/>
  <c r="A82" i="32"/>
  <c r="M80" i="32"/>
  <c r="L80" i="32"/>
  <c r="K80" i="32"/>
  <c r="J80" i="32"/>
  <c r="I80" i="32"/>
  <c r="H80" i="32"/>
  <c r="G80" i="32"/>
  <c r="F80" i="32"/>
  <c r="E80" i="32"/>
  <c r="M79" i="32"/>
  <c r="L79" i="32"/>
  <c r="K79" i="32"/>
  <c r="J79" i="32"/>
  <c r="I79" i="32"/>
  <c r="H79" i="32"/>
  <c r="G79" i="32"/>
  <c r="F79" i="32"/>
  <c r="E79" i="32"/>
  <c r="D79" i="32"/>
  <c r="A79" i="32"/>
  <c r="M77" i="32"/>
  <c r="L77" i="32"/>
  <c r="K77" i="32"/>
  <c r="J77" i="32"/>
  <c r="I77" i="32"/>
  <c r="H77" i="32"/>
  <c r="G77" i="32"/>
  <c r="F77" i="32"/>
  <c r="E77" i="32"/>
  <c r="M76" i="32"/>
  <c r="L76" i="32"/>
  <c r="K76" i="32"/>
  <c r="J76" i="32"/>
  <c r="I76" i="32"/>
  <c r="H76" i="32"/>
  <c r="G76" i="32"/>
  <c r="F76" i="32"/>
  <c r="E76" i="32"/>
  <c r="D76" i="32"/>
  <c r="A76" i="32"/>
  <c r="M74" i="32"/>
  <c r="L74" i="32"/>
  <c r="K74" i="32"/>
  <c r="J74" i="32"/>
  <c r="I74" i="32"/>
  <c r="H74" i="32"/>
  <c r="G74" i="32"/>
  <c r="F74" i="32"/>
  <c r="E74" i="32"/>
  <c r="M73" i="32"/>
  <c r="L73" i="32"/>
  <c r="K73" i="32"/>
  <c r="J73" i="32"/>
  <c r="I73" i="32"/>
  <c r="H73" i="32"/>
  <c r="G73" i="32"/>
  <c r="F73" i="32"/>
  <c r="E73" i="32"/>
  <c r="D73" i="32"/>
  <c r="A73" i="32"/>
  <c r="M72" i="32"/>
  <c r="L72" i="32"/>
  <c r="K72" i="32"/>
  <c r="J72" i="32"/>
  <c r="I72" i="32"/>
  <c r="H72" i="32"/>
  <c r="G72" i="32"/>
  <c r="F72" i="32"/>
  <c r="E72" i="32"/>
  <c r="D72" i="32"/>
  <c r="Z71" i="32"/>
  <c r="Y71" i="32"/>
  <c r="X71" i="32"/>
  <c r="W71" i="32"/>
  <c r="V71" i="32"/>
  <c r="U71" i="32"/>
  <c r="T71" i="32"/>
  <c r="S71" i="32"/>
  <c r="Z70" i="32"/>
  <c r="Y70" i="32"/>
  <c r="X70" i="32"/>
  <c r="W70" i="32"/>
  <c r="V70" i="32"/>
  <c r="U70" i="32"/>
  <c r="T70" i="32"/>
  <c r="S70" i="32"/>
  <c r="R70" i="32"/>
  <c r="Q70" i="32"/>
  <c r="M68" i="32"/>
  <c r="L68" i="32"/>
  <c r="K68" i="32"/>
  <c r="J68" i="32"/>
  <c r="I68" i="32"/>
  <c r="H68" i="32"/>
  <c r="G68" i="32"/>
  <c r="F68" i="32"/>
  <c r="E68" i="32"/>
  <c r="M66" i="32"/>
  <c r="L66" i="32"/>
  <c r="K66" i="32"/>
  <c r="J66" i="32"/>
  <c r="I66" i="32"/>
  <c r="H66" i="32"/>
  <c r="G66" i="32"/>
  <c r="F66" i="32"/>
  <c r="E66" i="32"/>
  <c r="M64" i="32"/>
  <c r="L64" i="32"/>
  <c r="K64" i="32"/>
  <c r="J64" i="32"/>
  <c r="I64" i="32"/>
  <c r="H64" i="32"/>
  <c r="G64" i="32"/>
  <c r="F64" i="32"/>
  <c r="E64" i="32"/>
  <c r="D64" i="32"/>
  <c r="M63" i="32"/>
  <c r="L63" i="32"/>
  <c r="K63" i="32"/>
  <c r="J63" i="32"/>
  <c r="I63" i="32"/>
  <c r="H63" i="32"/>
  <c r="G63" i="32"/>
  <c r="F63" i="32"/>
  <c r="E63" i="32"/>
  <c r="D63" i="32"/>
  <c r="M62" i="32"/>
  <c r="L62" i="32"/>
  <c r="K62" i="32"/>
  <c r="J62" i="32"/>
  <c r="I62" i="32"/>
  <c r="H62" i="32"/>
  <c r="G62" i="32"/>
  <c r="F62" i="32"/>
  <c r="E62" i="32"/>
  <c r="D62" i="32"/>
  <c r="M61" i="32"/>
  <c r="L61" i="32"/>
  <c r="K61" i="32"/>
  <c r="J61" i="32"/>
  <c r="I61" i="32"/>
  <c r="H61" i="32"/>
  <c r="G61" i="32"/>
  <c r="F61" i="32"/>
  <c r="E61" i="32"/>
  <c r="D61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D59" i="32"/>
  <c r="M58" i="32"/>
  <c r="L58" i="32"/>
  <c r="K58" i="32"/>
  <c r="J58" i="32"/>
  <c r="I58" i="32"/>
  <c r="H58" i="32"/>
  <c r="G58" i="32"/>
  <c r="F58" i="32"/>
  <c r="E58" i="32"/>
  <c r="D58" i="32"/>
  <c r="N57" i="32"/>
  <c r="M57" i="32"/>
  <c r="L57" i="32"/>
  <c r="K57" i="32"/>
  <c r="J57" i="32"/>
  <c r="I57" i="32"/>
  <c r="H57" i="32"/>
  <c r="G57" i="32"/>
  <c r="F57" i="32"/>
  <c r="E57" i="32"/>
  <c r="D57" i="32"/>
  <c r="M53" i="32"/>
  <c r="L53" i="32"/>
  <c r="K53" i="32"/>
  <c r="J53" i="32"/>
  <c r="I53" i="32"/>
  <c r="H53" i="32"/>
  <c r="G53" i="32"/>
  <c r="F53" i="32"/>
  <c r="E53" i="32"/>
  <c r="D53" i="32"/>
  <c r="M52" i="32"/>
  <c r="L52" i="32"/>
  <c r="K52" i="32"/>
  <c r="J52" i="32"/>
  <c r="I52" i="32"/>
  <c r="H52" i="32"/>
  <c r="G52" i="32"/>
  <c r="F52" i="32"/>
  <c r="E52" i="32"/>
  <c r="D52" i="32"/>
  <c r="M51" i="32"/>
  <c r="L51" i="32"/>
  <c r="K51" i="32"/>
  <c r="J51" i="32"/>
  <c r="I51" i="32"/>
  <c r="H51" i="32"/>
  <c r="G51" i="32"/>
  <c r="F51" i="32"/>
  <c r="E51" i="32"/>
  <c r="D51" i="32"/>
  <c r="AA48" i="32"/>
  <c r="Z48" i="32"/>
  <c r="Y48" i="32"/>
  <c r="X48" i="32"/>
  <c r="W48" i="32"/>
  <c r="V48" i="32"/>
  <c r="U48" i="32"/>
  <c r="T48" i="32"/>
  <c r="S48" i="32"/>
  <c r="AA47" i="32"/>
  <c r="Z47" i="32"/>
  <c r="Y47" i="32"/>
  <c r="X47" i="32"/>
  <c r="W47" i="32"/>
  <c r="V47" i="32"/>
  <c r="U47" i="32"/>
  <c r="T47" i="32"/>
  <c r="S47" i="32"/>
  <c r="R47" i="32"/>
  <c r="O47" i="32"/>
  <c r="M47" i="32"/>
  <c r="L47" i="32"/>
  <c r="K47" i="32"/>
  <c r="J47" i="32"/>
  <c r="I47" i="32"/>
  <c r="H47" i="32"/>
  <c r="G47" i="32"/>
  <c r="F47" i="32"/>
  <c r="E47" i="32"/>
  <c r="D47" i="32"/>
  <c r="M46" i="32"/>
  <c r="L46" i="32"/>
  <c r="K46" i="32"/>
  <c r="J46" i="32"/>
  <c r="I46" i="32"/>
  <c r="H46" i="32"/>
  <c r="G46" i="32"/>
  <c r="F46" i="32"/>
  <c r="E46" i="32"/>
  <c r="AA45" i="32"/>
  <c r="Z45" i="32"/>
  <c r="Y45" i="32"/>
  <c r="X45" i="32"/>
  <c r="W45" i="32"/>
  <c r="V45" i="32"/>
  <c r="U45" i="32"/>
  <c r="T45" i="32"/>
  <c r="S45" i="32"/>
  <c r="AA44" i="32"/>
  <c r="Z44" i="32"/>
  <c r="Y44" i="32"/>
  <c r="X44" i="32"/>
  <c r="W44" i="32"/>
  <c r="V44" i="32"/>
  <c r="U44" i="32"/>
  <c r="T44" i="32"/>
  <c r="S44" i="32"/>
  <c r="R44" i="32"/>
  <c r="O44" i="32"/>
  <c r="AA42" i="32"/>
  <c r="Z42" i="32"/>
  <c r="Y42" i="32"/>
  <c r="X42" i="32"/>
  <c r="W42" i="32"/>
  <c r="V42" i="32"/>
  <c r="U42" i="32"/>
  <c r="T42" i="32"/>
  <c r="S42" i="32"/>
  <c r="M42" i="32"/>
  <c r="L42" i="32"/>
  <c r="K42" i="32"/>
  <c r="J42" i="32"/>
  <c r="I42" i="32"/>
  <c r="H42" i="32"/>
  <c r="G42" i="32"/>
  <c r="F42" i="32"/>
  <c r="E42" i="32"/>
  <c r="D42" i="32"/>
  <c r="AA41" i="32"/>
  <c r="Z41" i="32"/>
  <c r="Y41" i="32"/>
  <c r="X41" i="32"/>
  <c r="W41" i="32"/>
  <c r="V41" i="32"/>
  <c r="U41" i="32"/>
  <c r="T41" i="32"/>
  <c r="S41" i="32"/>
  <c r="R41" i="32"/>
  <c r="O41" i="32"/>
  <c r="M40" i="32"/>
  <c r="L40" i="32"/>
  <c r="K40" i="32"/>
  <c r="J40" i="32"/>
  <c r="I40" i="32"/>
  <c r="H40" i="32"/>
  <c r="G40" i="32"/>
  <c r="F40" i="32"/>
  <c r="E40" i="32"/>
  <c r="AA39" i="32"/>
  <c r="Z39" i="32"/>
  <c r="Y39" i="32"/>
  <c r="X39" i="32"/>
  <c r="W39" i="32"/>
  <c r="V39" i="32"/>
  <c r="U39" i="32"/>
  <c r="T39" i="32"/>
  <c r="S39" i="32"/>
  <c r="R39" i="32"/>
  <c r="M29" i="32"/>
  <c r="L29" i="32"/>
  <c r="K29" i="32"/>
  <c r="J29" i="32"/>
  <c r="I29" i="32"/>
  <c r="H29" i="32"/>
  <c r="G29" i="32"/>
  <c r="F29" i="32"/>
  <c r="E29" i="32"/>
  <c r="D29" i="32"/>
  <c r="M28" i="32"/>
  <c r="L28" i="32"/>
  <c r="K28" i="32"/>
  <c r="J28" i="32"/>
  <c r="I28" i="32"/>
  <c r="H28" i="32"/>
  <c r="G28" i="32"/>
  <c r="F28" i="32"/>
  <c r="E28" i="32"/>
  <c r="D28" i="32"/>
  <c r="M27" i="32"/>
  <c r="L27" i="32"/>
  <c r="K27" i="32"/>
  <c r="J27" i="32"/>
  <c r="I27" i="32"/>
  <c r="H27" i="32"/>
  <c r="G27" i="32"/>
  <c r="F27" i="32"/>
  <c r="E27" i="32"/>
  <c r="D27" i="32"/>
  <c r="M23" i="32"/>
  <c r="L23" i="32"/>
  <c r="K23" i="32"/>
  <c r="J23" i="32"/>
  <c r="I23" i="32"/>
  <c r="H23" i="32"/>
  <c r="G23" i="32"/>
  <c r="F23" i="32"/>
  <c r="E23" i="32"/>
  <c r="D23" i="32"/>
  <c r="M22" i="32"/>
  <c r="L22" i="32"/>
  <c r="K22" i="32"/>
  <c r="J22" i="32"/>
  <c r="I22" i="32"/>
  <c r="H22" i="32"/>
  <c r="G22" i="32"/>
  <c r="F22" i="32"/>
  <c r="E22" i="32"/>
  <c r="M18" i="32"/>
  <c r="L18" i="32"/>
  <c r="K18" i="32"/>
  <c r="J18" i="32"/>
  <c r="I18" i="32"/>
  <c r="H18" i="32"/>
  <c r="G18" i="32"/>
  <c r="F18" i="32"/>
  <c r="E18" i="32"/>
  <c r="D18" i="32"/>
  <c r="M16" i="32"/>
  <c r="L16" i="32"/>
  <c r="K16" i="32"/>
  <c r="J16" i="32"/>
  <c r="I16" i="32"/>
  <c r="H16" i="32"/>
  <c r="G16" i="32"/>
  <c r="F16" i="32"/>
  <c r="M7" i="32"/>
  <c r="L7" i="32"/>
  <c r="K7" i="32"/>
  <c r="J7" i="32"/>
  <c r="I7" i="32"/>
  <c r="H7" i="32"/>
  <c r="G7" i="32"/>
  <c r="F7" i="32"/>
  <c r="E7" i="32"/>
  <c r="M100" i="26"/>
  <c r="L100" i="26"/>
  <c r="K100" i="26"/>
  <c r="J100" i="26"/>
  <c r="I100" i="26"/>
  <c r="H100" i="26"/>
  <c r="G100" i="26"/>
  <c r="F100" i="26"/>
  <c r="E100" i="26"/>
  <c r="D100" i="26"/>
  <c r="M97" i="26"/>
  <c r="L97" i="26"/>
  <c r="K97" i="26"/>
  <c r="J97" i="26"/>
  <c r="I97" i="26"/>
  <c r="H97" i="26"/>
  <c r="G97" i="26"/>
  <c r="F97" i="26"/>
  <c r="E97" i="26"/>
  <c r="O93" i="26"/>
  <c r="M93" i="26"/>
  <c r="L93" i="26"/>
  <c r="K93" i="26"/>
  <c r="J93" i="26"/>
  <c r="I93" i="26"/>
  <c r="H93" i="26"/>
  <c r="G93" i="26"/>
  <c r="F93" i="26"/>
  <c r="E93" i="26"/>
  <c r="O92" i="26"/>
  <c r="M92" i="26"/>
  <c r="L92" i="26"/>
  <c r="K92" i="26"/>
  <c r="J92" i="26"/>
  <c r="I92" i="26"/>
  <c r="H92" i="26"/>
  <c r="G92" i="26"/>
  <c r="F92" i="26"/>
  <c r="E92" i="26"/>
  <c r="D92" i="26"/>
  <c r="M90" i="26"/>
  <c r="L90" i="26"/>
  <c r="K90" i="26"/>
  <c r="J90" i="26"/>
  <c r="I90" i="26"/>
  <c r="H90" i="26"/>
  <c r="G90" i="26"/>
  <c r="F90" i="26"/>
  <c r="E90" i="26"/>
  <c r="M88" i="26"/>
  <c r="L88" i="26"/>
  <c r="K88" i="26"/>
  <c r="J88" i="26"/>
  <c r="I88" i="26"/>
  <c r="H88" i="26"/>
  <c r="G88" i="26"/>
  <c r="F88" i="26"/>
  <c r="E88" i="26"/>
  <c r="M87" i="26"/>
  <c r="L87" i="26"/>
  <c r="K87" i="26"/>
  <c r="J87" i="26"/>
  <c r="I87" i="26"/>
  <c r="H87" i="26"/>
  <c r="G87" i="26"/>
  <c r="F87" i="26"/>
  <c r="E87" i="26"/>
  <c r="M86" i="26"/>
  <c r="L86" i="26"/>
  <c r="K86" i="26"/>
  <c r="J86" i="26"/>
  <c r="I86" i="26"/>
  <c r="H86" i="26"/>
  <c r="G86" i="26"/>
  <c r="F86" i="26"/>
  <c r="E86" i="26"/>
  <c r="D86" i="26"/>
  <c r="A86" i="26"/>
  <c r="M84" i="26"/>
  <c r="L84" i="26"/>
  <c r="K84" i="26"/>
  <c r="J84" i="26"/>
  <c r="I84" i="26"/>
  <c r="H84" i="26"/>
  <c r="G84" i="26"/>
  <c r="F84" i="26"/>
  <c r="E84" i="26"/>
  <c r="M83" i="26"/>
  <c r="L83" i="26"/>
  <c r="K83" i="26"/>
  <c r="J83" i="26"/>
  <c r="I83" i="26"/>
  <c r="H83" i="26"/>
  <c r="G83" i="26"/>
  <c r="F83" i="26"/>
  <c r="E83" i="26"/>
  <c r="M82" i="26"/>
  <c r="L82" i="26"/>
  <c r="K82" i="26"/>
  <c r="J82" i="26"/>
  <c r="I82" i="26"/>
  <c r="H82" i="26"/>
  <c r="G82" i="26"/>
  <c r="F82" i="26"/>
  <c r="E82" i="26"/>
  <c r="D82" i="26"/>
  <c r="A82" i="26"/>
  <c r="M80" i="26"/>
  <c r="L80" i="26"/>
  <c r="K80" i="26"/>
  <c r="J80" i="26"/>
  <c r="I80" i="26"/>
  <c r="H80" i="26"/>
  <c r="G80" i="26"/>
  <c r="F80" i="26"/>
  <c r="E80" i="26"/>
  <c r="M79" i="26"/>
  <c r="L79" i="26"/>
  <c r="K79" i="26"/>
  <c r="J79" i="26"/>
  <c r="I79" i="26"/>
  <c r="H79" i="26"/>
  <c r="G79" i="26"/>
  <c r="F79" i="26"/>
  <c r="E79" i="26"/>
  <c r="D79" i="26"/>
  <c r="A79" i="26"/>
  <c r="M77" i="26"/>
  <c r="L77" i="26"/>
  <c r="K77" i="26"/>
  <c r="J77" i="26"/>
  <c r="I77" i="26"/>
  <c r="H77" i="26"/>
  <c r="G77" i="26"/>
  <c r="F77" i="26"/>
  <c r="E77" i="26"/>
  <c r="M76" i="26"/>
  <c r="L76" i="26"/>
  <c r="K76" i="26"/>
  <c r="J76" i="26"/>
  <c r="I76" i="26"/>
  <c r="H76" i="26"/>
  <c r="G76" i="26"/>
  <c r="F76" i="26"/>
  <c r="E76" i="26"/>
  <c r="D76" i="26"/>
  <c r="A76" i="26"/>
  <c r="M74" i="26"/>
  <c r="L74" i="26"/>
  <c r="K74" i="26"/>
  <c r="J74" i="26"/>
  <c r="I74" i="26"/>
  <c r="H74" i="26"/>
  <c r="G74" i="26"/>
  <c r="F74" i="26"/>
  <c r="E74" i="26"/>
  <c r="M73" i="26"/>
  <c r="L73" i="26"/>
  <c r="K73" i="26"/>
  <c r="J73" i="26"/>
  <c r="I73" i="26"/>
  <c r="H73" i="26"/>
  <c r="G73" i="26"/>
  <c r="F73" i="26"/>
  <c r="E73" i="26"/>
  <c r="D73" i="26"/>
  <c r="A73" i="26"/>
  <c r="M71" i="26"/>
  <c r="L71" i="26"/>
  <c r="K71" i="26"/>
  <c r="J71" i="26"/>
  <c r="I71" i="26"/>
  <c r="H71" i="26"/>
  <c r="G71" i="26"/>
  <c r="F71" i="26"/>
  <c r="E71" i="26"/>
  <c r="M70" i="26"/>
  <c r="L70" i="26"/>
  <c r="K70" i="26"/>
  <c r="J70" i="26"/>
  <c r="I70" i="26"/>
  <c r="H70" i="26"/>
  <c r="G70" i="26"/>
  <c r="F70" i="26"/>
  <c r="E70" i="26"/>
  <c r="D70" i="26"/>
  <c r="A70" i="26"/>
  <c r="M69" i="26"/>
  <c r="L69" i="26"/>
  <c r="K69" i="26"/>
  <c r="J69" i="26"/>
  <c r="I69" i="26"/>
  <c r="H69" i="26"/>
  <c r="G69" i="26"/>
  <c r="F69" i="26"/>
  <c r="E69" i="26"/>
  <c r="D69" i="26"/>
  <c r="Z68" i="26"/>
  <c r="Y68" i="26"/>
  <c r="X68" i="26"/>
  <c r="W68" i="26"/>
  <c r="V68" i="26"/>
  <c r="U68" i="26"/>
  <c r="T68" i="26"/>
  <c r="S68" i="26"/>
  <c r="Z67" i="26"/>
  <c r="Y67" i="26"/>
  <c r="X67" i="26"/>
  <c r="W67" i="26"/>
  <c r="V67" i="26"/>
  <c r="U67" i="26"/>
  <c r="T67" i="26"/>
  <c r="S67" i="26"/>
  <c r="R67" i="26"/>
  <c r="Q67" i="26"/>
  <c r="M65" i="26"/>
  <c r="L65" i="26"/>
  <c r="K65" i="26"/>
  <c r="J65" i="26"/>
  <c r="I65" i="26"/>
  <c r="H65" i="26"/>
  <c r="G65" i="26"/>
  <c r="F65" i="26"/>
  <c r="E65" i="26"/>
  <c r="M63" i="26"/>
  <c r="L63" i="26"/>
  <c r="K63" i="26"/>
  <c r="J63" i="26"/>
  <c r="I63" i="26"/>
  <c r="H63" i="26"/>
  <c r="G63" i="26"/>
  <c r="F63" i="26"/>
  <c r="E63" i="26"/>
  <c r="M61" i="26"/>
  <c r="L61" i="26"/>
  <c r="K61" i="26"/>
  <c r="J61" i="26"/>
  <c r="I61" i="26"/>
  <c r="H61" i="26"/>
  <c r="G61" i="26"/>
  <c r="F61" i="26"/>
  <c r="E61" i="26"/>
  <c r="D61" i="26"/>
  <c r="M60" i="26"/>
  <c r="L60" i="26"/>
  <c r="K60" i="26"/>
  <c r="J60" i="26"/>
  <c r="I60" i="26"/>
  <c r="H60" i="26"/>
  <c r="G60" i="26"/>
  <c r="F60" i="26"/>
  <c r="E60" i="26"/>
  <c r="D60" i="26"/>
  <c r="M59" i="26"/>
  <c r="L59" i="26"/>
  <c r="K59" i="26"/>
  <c r="J59" i="26"/>
  <c r="I59" i="26"/>
  <c r="H59" i="26"/>
  <c r="G59" i="26"/>
  <c r="F59" i="26"/>
  <c r="E59" i="26"/>
  <c r="D59" i="26"/>
  <c r="M58" i="26"/>
  <c r="L58" i="26"/>
  <c r="K58" i="26"/>
  <c r="J58" i="26"/>
  <c r="I58" i="26"/>
  <c r="H58" i="26"/>
  <c r="G58" i="26"/>
  <c r="F58" i="26"/>
  <c r="E58" i="26"/>
  <c r="D58" i="26"/>
  <c r="N57" i="26"/>
  <c r="M57" i="26"/>
  <c r="L57" i="26"/>
  <c r="K57" i="26"/>
  <c r="J57" i="26"/>
  <c r="I57" i="26"/>
  <c r="H57" i="26"/>
  <c r="G57" i="26"/>
  <c r="F57" i="26"/>
  <c r="E57" i="26"/>
  <c r="D57" i="26"/>
  <c r="M56" i="26"/>
  <c r="L56" i="26"/>
  <c r="K56" i="26"/>
  <c r="J56" i="26"/>
  <c r="I56" i="26"/>
  <c r="H56" i="26"/>
  <c r="G56" i="26"/>
  <c r="F56" i="26"/>
  <c r="E56" i="26"/>
  <c r="D56" i="26"/>
  <c r="N55" i="26"/>
  <c r="M55" i="26"/>
  <c r="L55" i="26"/>
  <c r="K55" i="26"/>
  <c r="J55" i="26"/>
  <c r="I55" i="26"/>
  <c r="H55" i="26"/>
  <c r="G55" i="26"/>
  <c r="F55" i="26"/>
  <c r="E55" i="26"/>
  <c r="D55" i="26"/>
  <c r="M52" i="26"/>
  <c r="L52" i="26"/>
  <c r="K52" i="26"/>
  <c r="J52" i="26"/>
  <c r="I52" i="26"/>
  <c r="H52" i="26"/>
  <c r="G52" i="26"/>
  <c r="F52" i="26"/>
  <c r="E52" i="26"/>
  <c r="D52" i="26"/>
  <c r="M51" i="26"/>
  <c r="L51" i="26"/>
  <c r="K51" i="26"/>
  <c r="J51" i="26"/>
  <c r="I51" i="26"/>
  <c r="H51" i="26"/>
  <c r="G51" i="26"/>
  <c r="F51" i="26"/>
  <c r="E51" i="26"/>
  <c r="D51" i="26"/>
  <c r="M50" i="26"/>
  <c r="L50" i="26"/>
  <c r="K50" i="26"/>
  <c r="J50" i="26"/>
  <c r="I50" i="26"/>
  <c r="H50" i="26"/>
  <c r="G50" i="26"/>
  <c r="F50" i="26"/>
  <c r="E50" i="26"/>
  <c r="D50" i="26"/>
  <c r="AA47" i="26"/>
  <c r="Z47" i="26"/>
  <c r="Y47" i="26"/>
  <c r="X47" i="26"/>
  <c r="W47" i="26"/>
  <c r="V47" i="26"/>
  <c r="U47" i="26"/>
  <c r="T47" i="26"/>
  <c r="S47" i="26"/>
  <c r="AA46" i="26"/>
  <c r="Z46" i="26"/>
  <c r="Y46" i="26"/>
  <c r="X46" i="26"/>
  <c r="W46" i="26"/>
  <c r="V46" i="26"/>
  <c r="U46" i="26"/>
  <c r="T46" i="26"/>
  <c r="S46" i="26"/>
  <c r="R46" i="26"/>
  <c r="O46" i="26"/>
  <c r="M46" i="26"/>
  <c r="L46" i="26"/>
  <c r="K46" i="26"/>
  <c r="J46" i="26"/>
  <c r="I46" i="26"/>
  <c r="H46" i="26"/>
  <c r="G46" i="26"/>
  <c r="F46" i="26"/>
  <c r="E46" i="26"/>
  <c r="D46" i="26"/>
  <c r="M45" i="26"/>
  <c r="L45" i="26"/>
  <c r="K45" i="26"/>
  <c r="J45" i="26"/>
  <c r="I45" i="26"/>
  <c r="H45" i="26"/>
  <c r="G45" i="26"/>
  <c r="F45" i="26"/>
  <c r="E45" i="26"/>
  <c r="AA44" i="26"/>
  <c r="Z44" i="26"/>
  <c r="Y44" i="26"/>
  <c r="X44" i="26"/>
  <c r="W44" i="26"/>
  <c r="V44" i="26"/>
  <c r="U44" i="26"/>
  <c r="T44" i="26"/>
  <c r="S44" i="26"/>
  <c r="AA43" i="26"/>
  <c r="Z43" i="26"/>
  <c r="Y43" i="26"/>
  <c r="X43" i="26"/>
  <c r="W43" i="26"/>
  <c r="V43" i="26"/>
  <c r="U43" i="26"/>
  <c r="T43" i="26"/>
  <c r="S43" i="26"/>
  <c r="R43" i="26"/>
  <c r="O43" i="26"/>
  <c r="AA41" i="26"/>
  <c r="Z41" i="26"/>
  <c r="Y41" i="26"/>
  <c r="X41" i="26"/>
  <c r="W41" i="26"/>
  <c r="V41" i="26"/>
  <c r="U41" i="26"/>
  <c r="T41" i="26"/>
  <c r="S41" i="26"/>
  <c r="M41" i="26"/>
  <c r="L41" i="26"/>
  <c r="K41" i="26"/>
  <c r="J41" i="26"/>
  <c r="I41" i="26"/>
  <c r="H41" i="26"/>
  <c r="G41" i="26"/>
  <c r="F41" i="26"/>
  <c r="E41" i="26"/>
  <c r="D41" i="26"/>
  <c r="AA40" i="26"/>
  <c r="Z40" i="26"/>
  <c r="Y40" i="26"/>
  <c r="X40" i="26"/>
  <c r="W40" i="26"/>
  <c r="V40" i="26"/>
  <c r="U40" i="26"/>
  <c r="T40" i="26"/>
  <c r="S40" i="26"/>
  <c r="R40" i="26"/>
  <c r="O40" i="26"/>
  <c r="M39" i="26"/>
  <c r="L39" i="26"/>
  <c r="K39" i="26"/>
  <c r="J39" i="26"/>
  <c r="I39" i="26"/>
  <c r="H39" i="26"/>
  <c r="G39" i="26"/>
  <c r="F39" i="26"/>
  <c r="E39" i="26"/>
  <c r="AA38" i="26"/>
  <c r="Z38" i="26"/>
  <c r="Y38" i="26"/>
  <c r="X38" i="26"/>
  <c r="W38" i="26"/>
  <c r="V38" i="26"/>
  <c r="U38" i="26"/>
  <c r="T38" i="26"/>
  <c r="S38" i="26"/>
  <c r="R38" i="26"/>
  <c r="J34" i="26"/>
  <c r="I34" i="26"/>
  <c r="H34" i="26"/>
  <c r="G34" i="26"/>
  <c r="F34" i="26"/>
  <c r="M29" i="26"/>
  <c r="L29" i="26"/>
  <c r="K29" i="26"/>
  <c r="J29" i="26"/>
  <c r="I29" i="26"/>
  <c r="H29" i="26"/>
  <c r="G29" i="26"/>
  <c r="F29" i="26"/>
  <c r="E29" i="26"/>
  <c r="D29" i="26"/>
  <c r="M28" i="26"/>
  <c r="L28" i="26"/>
  <c r="K28" i="26"/>
  <c r="J28" i="26"/>
  <c r="I28" i="26"/>
  <c r="H28" i="26"/>
  <c r="G28" i="26"/>
  <c r="F28" i="26"/>
  <c r="E28" i="26"/>
  <c r="D28" i="26"/>
  <c r="M27" i="26"/>
  <c r="L27" i="26"/>
  <c r="K27" i="26"/>
  <c r="J27" i="26"/>
  <c r="I27" i="26"/>
  <c r="H27" i="26"/>
  <c r="G27" i="26"/>
  <c r="F27" i="26"/>
  <c r="E27" i="26"/>
  <c r="D27" i="26"/>
  <c r="M23" i="26"/>
  <c r="L23" i="26"/>
  <c r="K23" i="26"/>
  <c r="J23" i="26"/>
  <c r="I23" i="26"/>
  <c r="H23" i="26"/>
  <c r="G23" i="26"/>
  <c r="F23" i="26"/>
  <c r="E23" i="26"/>
  <c r="D23" i="26"/>
  <c r="M22" i="26"/>
  <c r="L22" i="26"/>
  <c r="K22" i="26"/>
  <c r="J22" i="26"/>
  <c r="I22" i="26"/>
  <c r="H22" i="26"/>
  <c r="G22" i="26"/>
  <c r="F22" i="26"/>
  <c r="E22" i="26"/>
  <c r="M21" i="26"/>
  <c r="L21" i="26"/>
  <c r="K21" i="26"/>
  <c r="J21" i="26"/>
  <c r="I21" i="26"/>
  <c r="M18" i="26"/>
  <c r="L18" i="26"/>
  <c r="K18" i="26"/>
  <c r="J18" i="26"/>
  <c r="I18" i="26"/>
  <c r="H18" i="26"/>
  <c r="G18" i="26"/>
  <c r="F18" i="26"/>
  <c r="E18" i="26"/>
  <c r="D18" i="26"/>
  <c r="M16" i="26"/>
  <c r="L16" i="26"/>
  <c r="K16" i="26"/>
  <c r="J16" i="26"/>
  <c r="I16" i="26"/>
  <c r="H16" i="26"/>
  <c r="G16" i="26"/>
  <c r="F16" i="26"/>
  <c r="M7" i="26"/>
  <c r="L7" i="26"/>
  <c r="K7" i="26"/>
  <c r="J7" i="26"/>
  <c r="I7" i="26"/>
  <c r="H7" i="26"/>
  <c r="G7" i="26"/>
  <c r="F7" i="26"/>
  <c r="E7" i="26"/>
  <c r="M98" i="25"/>
  <c r="L98" i="25"/>
  <c r="K98" i="25"/>
  <c r="J98" i="25"/>
  <c r="I98" i="25"/>
  <c r="H98" i="25"/>
  <c r="G98" i="25"/>
  <c r="F98" i="25"/>
  <c r="E98" i="25"/>
  <c r="D98" i="25"/>
  <c r="M95" i="25"/>
  <c r="L95" i="25"/>
  <c r="K95" i="25"/>
  <c r="J95" i="25"/>
  <c r="I95" i="25"/>
  <c r="H95" i="25"/>
  <c r="G95" i="25"/>
  <c r="F95" i="25"/>
  <c r="E95" i="25"/>
  <c r="O91" i="25"/>
  <c r="M91" i="25"/>
  <c r="L91" i="25"/>
  <c r="K91" i="25"/>
  <c r="J91" i="25"/>
  <c r="I91" i="25"/>
  <c r="H91" i="25"/>
  <c r="G91" i="25"/>
  <c r="F91" i="25"/>
  <c r="E91" i="25"/>
  <c r="O90" i="25"/>
  <c r="M90" i="25"/>
  <c r="L90" i="25"/>
  <c r="K90" i="25"/>
  <c r="J90" i="25"/>
  <c r="I90" i="25"/>
  <c r="H90" i="25"/>
  <c r="G90" i="25"/>
  <c r="F90" i="25"/>
  <c r="E90" i="25"/>
  <c r="D90" i="25"/>
  <c r="M88" i="25"/>
  <c r="L88" i="25"/>
  <c r="K88" i="25"/>
  <c r="J88" i="25"/>
  <c r="I88" i="25"/>
  <c r="H88" i="25"/>
  <c r="G88" i="25"/>
  <c r="F88" i="25"/>
  <c r="E88" i="25"/>
  <c r="M86" i="25"/>
  <c r="L86" i="25"/>
  <c r="K86" i="25"/>
  <c r="J86" i="25"/>
  <c r="I86" i="25"/>
  <c r="H86" i="25"/>
  <c r="G86" i="25"/>
  <c r="F86" i="25"/>
  <c r="E86" i="25"/>
  <c r="M85" i="25"/>
  <c r="L85" i="25"/>
  <c r="K85" i="25"/>
  <c r="J85" i="25"/>
  <c r="I85" i="25"/>
  <c r="H85" i="25"/>
  <c r="G85" i="25"/>
  <c r="F85" i="25"/>
  <c r="E85" i="25"/>
  <c r="M84" i="25"/>
  <c r="L84" i="25"/>
  <c r="K84" i="25"/>
  <c r="J84" i="25"/>
  <c r="I84" i="25"/>
  <c r="H84" i="25"/>
  <c r="G84" i="25"/>
  <c r="F84" i="25"/>
  <c r="E84" i="25"/>
  <c r="D84" i="25"/>
  <c r="A84" i="25"/>
  <c r="M82" i="25"/>
  <c r="L82" i="25"/>
  <c r="K82" i="25"/>
  <c r="J82" i="25"/>
  <c r="I82" i="25"/>
  <c r="H82" i="25"/>
  <c r="G82" i="25"/>
  <c r="F82" i="25"/>
  <c r="E82" i="25"/>
  <c r="M81" i="25"/>
  <c r="L81" i="25"/>
  <c r="K81" i="25"/>
  <c r="J81" i="25"/>
  <c r="I81" i="25"/>
  <c r="H81" i="25"/>
  <c r="G81" i="25"/>
  <c r="F81" i="25"/>
  <c r="E81" i="25"/>
  <c r="M80" i="25"/>
  <c r="L80" i="25"/>
  <c r="K80" i="25"/>
  <c r="J80" i="25"/>
  <c r="I80" i="25"/>
  <c r="H80" i="25"/>
  <c r="G80" i="25"/>
  <c r="F80" i="25"/>
  <c r="E80" i="25"/>
  <c r="D80" i="25"/>
  <c r="A80" i="25"/>
  <c r="M78" i="25"/>
  <c r="L78" i="25"/>
  <c r="K78" i="25"/>
  <c r="J78" i="25"/>
  <c r="I78" i="25"/>
  <c r="H78" i="25"/>
  <c r="G78" i="25"/>
  <c r="F78" i="25"/>
  <c r="E78" i="25"/>
  <c r="M77" i="25"/>
  <c r="L77" i="25"/>
  <c r="K77" i="25"/>
  <c r="J77" i="25"/>
  <c r="I77" i="25"/>
  <c r="H77" i="25"/>
  <c r="G77" i="25"/>
  <c r="F77" i="25"/>
  <c r="E77" i="25"/>
  <c r="D77" i="25"/>
  <c r="A77" i="25"/>
  <c r="M75" i="25"/>
  <c r="L75" i="25"/>
  <c r="K75" i="25"/>
  <c r="J75" i="25"/>
  <c r="I75" i="25"/>
  <c r="H75" i="25"/>
  <c r="G75" i="25"/>
  <c r="F75" i="25"/>
  <c r="E75" i="25"/>
  <c r="M74" i="25"/>
  <c r="L74" i="25"/>
  <c r="K74" i="25"/>
  <c r="J74" i="25"/>
  <c r="I74" i="25"/>
  <c r="H74" i="25"/>
  <c r="G74" i="25"/>
  <c r="F74" i="25"/>
  <c r="E74" i="25"/>
  <c r="D74" i="25"/>
  <c r="A74" i="25"/>
  <c r="M72" i="25"/>
  <c r="L72" i="25"/>
  <c r="K72" i="25"/>
  <c r="J72" i="25"/>
  <c r="I72" i="25"/>
  <c r="H72" i="25"/>
  <c r="G72" i="25"/>
  <c r="F72" i="25"/>
  <c r="E72" i="25"/>
  <c r="M71" i="25"/>
  <c r="L71" i="25"/>
  <c r="K71" i="25"/>
  <c r="J71" i="25"/>
  <c r="I71" i="25"/>
  <c r="H71" i="25"/>
  <c r="G71" i="25"/>
  <c r="F71" i="25"/>
  <c r="E71" i="25"/>
  <c r="D71" i="25"/>
  <c r="A71" i="25"/>
  <c r="M69" i="25"/>
  <c r="L69" i="25"/>
  <c r="K69" i="25"/>
  <c r="J69" i="25"/>
  <c r="I69" i="25"/>
  <c r="H69" i="25"/>
  <c r="G69" i="25"/>
  <c r="F69" i="25"/>
  <c r="E69" i="25"/>
  <c r="M68" i="25"/>
  <c r="L68" i="25"/>
  <c r="K68" i="25"/>
  <c r="J68" i="25"/>
  <c r="I68" i="25"/>
  <c r="H68" i="25"/>
  <c r="G68" i="25"/>
  <c r="F68" i="25"/>
  <c r="E68" i="25"/>
  <c r="D68" i="25"/>
  <c r="A68" i="25"/>
  <c r="M67" i="25"/>
  <c r="L67" i="25"/>
  <c r="K67" i="25"/>
  <c r="J67" i="25"/>
  <c r="I67" i="25"/>
  <c r="H67" i="25"/>
  <c r="G67" i="25"/>
  <c r="F67" i="25"/>
  <c r="E67" i="25"/>
  <c r="D67" i="25"/>
  <c r="Z66" i="25"/>
  <c r="Y66" i="25"/>
  <c r="X66" i="25"/>
  <c r="W66" i="25"/>
  <c r="V66" i="25"/>
  <c r="U66" i="25"/>
  <c r="T66" i="25"/>
  <c r="S66" i="25"/>
  <c r="Z65" i="25"/>
  <c r="Y65" i="25"/>
  <c r="X65" i="25"/>
  <c r="W65" i="25"/>
  <c r="V65" i="25"/>
  <c r="U65" i="25"/>
  <c r="T65" i="25"/>
  <c r="S65" i="25"/>
  <c r="R65" i="25"/>
  <c r="Q65" i="25"/>
  <c r="M63" i="25"/>
  <c r="L63" i="25"/>
  <c r="K63" i="25"/>
  <c r="J63" i="25"/>
  <c r="I63" i="25"/>
  <c r="H63" i="25"/>
  <c r="G63" i="25"/>
  <c r="F63" i="25"/>
  <c r="E63" i="25"/>
  <c r="M61" i="25"/>
  <c r="L61" i="25"/>
  <c r="K61" i="25"/>
  <c r="J61" i="25"/>
  <c r="I61" i="25"/>
  <c r="H61" i="25"/>
  <c r="G61" i="25"/>
  <c r="F61" i="25"/>
  <c r="E61" i="25"/>
  <c r="M58" i="25"/>
  <c r="L58" i="25"/>
  <c r="K58" i="25"/>
  <c r="J58" i="25"/>
  <c r="I58" i="25"/>
  <c r="H58" i="25"/>
  <c r="G58" i="25"/>
  <c r="F58" i="25"/>
  <c r="E58" i="25"/>
  <c r="D58" i="25"/>
  <c r="M57" i="25"/>
  <c r="L57" i="25"/>
  <c r="K57" i="25"/>
  <c r="J57" i="25"/>
  <c r="I57" i="25"/>
  <c r="H57" i="25"/>
  <c r="G57" i="25"/>
  <c r="F57" i="25"/>
  <c r="E57" i="25"/>
  <c r="D57" i="25"/>
  <c r="M56" i="25"/>
  <c r="L56" i="25"/>
  <c r="K56" i="25"/>
  <c r="J56" i="25"/>
  <c r="I56" i="25"/>
  <c r="H56" i="25"/>
  <c r="G56" i="25"/>
  <c r="F56" i="25"/>
  <c r="E56" i="25"/>
  <c r="D56" i="25"/>
  <c r="M55" i="25"/>
  <c r="L55" i="25"/>
  <c r="K55" i="25"/>
  <c r="J55" i="25"/>
  <c r="I55" i="25"/>
  <c r="H55" i="25"/>
  <c r="G55" i="25"/>
  <c r="F55" i="25"/>
  <c r="E55" i="25"/>
  <c r="D55" i="25"/>
  <c r="M54" i="25"/>
  <c r="L54" i="25"/>
  <c r="K54" i="25"/>
  <c r="J54" i="25"/>
  <c r="I54" i="25"/>
  <c r="H54" i="25"/>
  <c r="G54" i="25"/>
  <c r="F54" i="25"/>
  <c r="E54" i="25"/>
  <c r="D54" i="25"/>
  <c r="M53" i="25"/>
  <c r="L53" i="25"/>
  <c r="K53" i="25"/>
  <c r="J53" i="25"/>
  <c r="I53" i="25"/>
  <c r="H53" i="25"/>
  <c r="G53" i="25"/>
  <c r="F53" i="25"/>
  <c r="E53" i="25"/>
  <c r="D53" i="25"/>
  <c r="M49" i="25"/>
  <c r="L49" i="25"/>
  <c r="K49" i="25"/>
  <c r="J49" i="25"/>
  <c r="I49" i="25"/>
  <c r="H49" i="25"/>
  <c r="G49" i="25"/>
  <c r="F49" i="25"/>
  <c r="E49" i="25"/>
  <c r="D49" i="25"/>
  <c r="M48" i="25"/>
  <c r="L48" i="25"/>
  <c r="K48" i="25"/>
  <c r="J48" i="25"/>
  <c r="I48" i="25"/>
  <c r="H48" i="25"/>
  <c r="G48" i="25"/>
  <c r="F48" i="25"/>
  <c r="E48" i="25"/>
  <c r="D48" i="25"/>
  <c r="AA45" i="25"/>
  <c r="Z45" i="25"/>
  <c r="Y45" i="25"/>
  <c r="X45" i="25"/>
  <c r="W45" i="25"/>
  <c r="V45" i="25"/>
  <c r="U45" i="25"/>
  <c r="T45" i="25"/>
  <c r="S45" i="25"/>
  <c r="AA44" i="25"/>
  <c r="Z44" i="25"/>
  <c r="Y44" i="25"/>
  <c r="X44" i="25"/>
  <c r="W44" i="25"/>
  <c r="V44" i="25"/>
  <c r="U44" i="25"/>
  <c r="T44" i="25"/>
  <c r="S44" i="25"/>
  <c r="R44" i="25"/>
  <c r="O44" i="25"/>
  <c r="M44" i="25"/>
  <c r="L44" i="25"/>
  <c r="K44" i="25"/>
  <c r="J44" i="25"/>
  <c r="I44" i="25"/>
  <c r="H44" i="25"/>
  <c r="G44" i="25"/>
  <c r="F44" i="25"/>
  <c r="E44" i="25"/>
  <c r="D44" i="25"/>
  <c r="M43" i="25"/>
  <c r="L43" i="25"/>
  <c r="K43" i="25"/>
  <c r="J43" i="25"/>
  <c r="I43" i="25"/>
  <c r="H43" i="25"/>
  <c r="G43" i="25"/>
  <c r="F43" i="25"/>
  <c r="E43" i="25"/>
  <c r="AA42" i="25"/>
  <c r="Z42" i="25"/>
  <c r="Y42" i="25"/>
  <c r="X42" i="25"/>
  <c r="W42" i="25"/>
  <c r="V42" i="25"/>
  <c r="U42" i="25"/>
  <c r="T42" i="25"/>
  <c r="S42" i="25"/>
  <c r="AA41" i="25"/>
  <c r="Z41" i="25"/>
  <c r="Y41" i="25"/>
  <c r="X41" i="25"/>
  <c r="W41" i="25"/>
  <c r="V41" i="25"/>
  <c r="U41" i="25"/>
  <c r="T41" i="25"/>
  <c r="S41" i="25"/>
  <c r="R41" i="25"/>
  <c r="O41" i="25"/>
  <c r="AA39" i="25"/>
  <c r="Z39" i="25"/>
  <c r="Y39" i="25"/>
  <c r="X39" i="25"/>
  <c r="W39" i="25"/>
  <c r="V39" i="25"/>
  <c r="U39" i="25"/>
  <c r="T39" i="25"/>
  <c r="S39" i="25"/>
  <c r="M39" i="25"/>
  <c r="L39" i="25"/>
  <c r="K39" i="25"/>
  <c r="J39" i="25"/>
  <c r="I39" i="25"/>
  <c r="H39" i="25"/>
  <c r="G39" i="25"/>
  <c r="F39" i="25"/>
  <c r="E39" i="25"/>
  <c r="D39" i="25"/>
  <c r="AA38" i="25"/>
  <c r="Z38" i="25"/>
  <c r="Y38" i="25"/>
  <c r="X38" i="25"/>
  <c r="W38" i="25"/>
  <c r="V38" i="25"/>
  <c r="U38" i="25"/>
  <c r="T38" i="25"/>
  <c r="S38" i="25"/>
  <c r="R38" i="25"/>
  <c r="O38" i="25"/>
  <c r="M37" i="25"/>
  <c r="L37" i="25"/>
  <c r="K37" i="25"/>
  <c r="J37" i="25"/>
  <c r="I37" i="25"/>
  <c r="H37" i="25"/>
  <c r="G37" i="25"/>
  <c r="F37" i="25"/>
  <c r="E37" i="25"/>
  <c r="AA36" i="25"/>
  <c r="Z36" i="25"/>
  <c r="Y36" i="25"/>
  <c r="X36" i="25"/>
  <c r="W36" i="25"/>
  <c r="V36" i="25"/>
  <c r="U36" i="25"/>
  <c r="T36" i="25"/>
  <c r="S36" i="25"/>
  <c r="R36" i="25"/>
  <c r="K33" i="25"/>
  <c r="J33" i="25"/>
  <c r="I33" i="25"/>
  <c r="H33" i="25"/>
  <c r="G33" i="25"/>
  <c r="F33" i="25"/>
  <c r="E33" i="25"/>
  <c r="M27" i="25"/>
  <c r="L27" i="25"/>
  <c r="K27" i="25"/>
  <c r="J27" i="25"/>
  <c r="I27" i="25"/>
  <c r="H27" i="25"/>
  <c r="G27" i="25"/>
  <c r="F27" i="25"/>
  <c r="E27" i="25"/>
  <c r="D27" i="25"/>
  <c r="M26" i="25"/>
  <c r="L26" i="25"/>
  <c r="K26" i="25"/>
  <c r="J26" i="25"/>
  <c r="I26" i="25"/>
  <c r="H26" i="25"/>
  <c r="G26" i="25"/>
  <c r="F26" i="25"/>
  <c r="E26" i="25"/>
  <c r="D26" i="25"/>
  <c r="W24" i="25"/>
  <c r="V24" i="25"/>
  <c r="U24" i="25"/>
  <c r="T24" i="25"/>
  <c r="S24" i="25"/>
  <c r="R24" i="25"/>
  <c r="Q24" i="25"/>
  <c r="P24" i="25"/>
  <c r="O24" i="25"/>
  <c r="W23" i="25"/>
  <c r="V23" i="25"/>
  <c r="U23" i="25"/>
  <c r="T23" i="25"/>
  <c r="S23" i="25"/>
  <c r="R23" i="25"/>
  <c r="Q23" i="25"/>
  <c r="P23" i="25"/>
  <c r="O23" i="25"/>
  <c r="V22" i="25"/>
  <c r="U22" i="25"/>
  <c r="T22" i="25"/>
  <c r="S22" i="25"/>
  <c r="R22" i="25"/>
  <c r="Q22" i="25"/>
  <c r="P22" i="25"/>
  <c r="O22" i="25"/>
  <c r="M22" i="25"/>
  <c r="L22" i="25"/>
  <c r="K22" i="25"/>
  <c r="J22" i="25"/>
  <c r="I22" i="25"/>
  <c r="H22" i="25"/>
  <c r="G22" i="25"/>
  <c r="F22" i="25"/>
  <c r="E22" i="25"/>
  <c r="D22" i="25"/>
  <c r="W21" i="25"/>
  <c r="V21" i="25"/>
  <c r="U21" i="25"/>
  <c r="T21" i="25"/>
  <c r="S21" i="25"/>
  <c r="R21" i="25"/>
  <c r="Q21" i="25"/>
  <c r="P21" i="25"/>
  <c r="M21" i="25"/>
  <c r="L21" i="25"/>
  <c r="K21" i="25"/>
  <c r="J21" i="25"/>
  <c r="I21" i="25"/>
  <c r="H21" i="25"/>
  <c r="G21" i="25"/>
  <c r="F21" i="25"/>
  <c r="E21" i="25"/>
  <c r="M20" i="25"/>
  <c r="L20" i="25"/>
  <c r="K20" i="25"/>
  <c r="J20" i="25"/>
  <c r="I20" i="25"/>
  <c r="M17" i="25"/>
  <c r="L17" i="25"/>
  <c r="K17" i="25"/>
  <c r="J17" i="25"/>
  <c r="I17" i="25"/>
  <c r="H17" i="25"/>
  <c r="G17" i="25"/>
  <c r="F17" i="25"/>
  <c r="E17" i="25"/>
  <c r="D17" i="25"/>
  <c r="M15" i="25"/>
  <c r="L15" i="25"/>
  <c r="K15" i="25"/>
  <c r="J15" i="25"/>
  <c r="I15" i="25"/>
  <c r="H15" i="25"/>
  <c r="G15" i="25"/>
  <c r="F15" i="25"/>
  <c r="M10" i="25"/>
  <c r="L10" i="25"/>
  <c r="K10" i="25"/>
  <c r="J10" i="25"/>
  <c r="M7" i="25"/>
  <c r="L7" i="25"/>
  <c r="K7" i="25"/>
  <c r="J7" i="25"/>
  <c r="I7" i="25"/>
  <c r="H7" i="25"/>
  <c r="G7" i="25"/>
  <c r="F7" i="25"/>
  <c r="E7" i="25"/>
  <c r="M109" i="24"/>
  <c r="L109" i="24"/>
  <c r="K109" i="24"/>
  <c r="J109" i="24"/>
  <c r="I109" i="24"/>
  <c r="H109" i="24"/>
  <c r="G109" i="24"/>
  <c r="F109" i="24"/>
  <c r="E109" i="24"/>
  <c r="D109" i="24"/>
  <c r="M108" i="24"/>
  <c r="L108" i="24"/>
  <c r="K108" i="24"/>
  <c r="J108" i="24"/>
  <c r="I108" i="24"/>
  <c r="H108" i="24"/>
  <c r="G108" i="24"/>
  <c r="F108" i="24"/>
  <c r="E108" i="24"/>
  <c r="D108" i="24"/>
  <c r="M106" i="24"/>
  <c r="L106" i="24"/>
  <c r="K106" i="24"/>
  <c r="J106" i="24"/>
  <c r="I106" i="24"/>
  <c r="H106" i="24"/>
  <c r="G106" i="24"/>
  <c r="F106" i="24"/>
  <c r="E106" i="24"/>
  <c r="D106" i="24"/>
  <c r="M105" i="24"/>
  <c r="L105" i="24"/>
  <c r="K105" i="24"/>
  <c r="J105" i="24"/>
  <c r="I105" i="24"/>
  <c r="H105" i="24"/>
  <c r="G105" i="24"/>
  <c r="F105" i="24"/>
  <c r="E105" i="24"/>
  <c r="D105" i="24"/>
  <c r="M104" i="24"/>
  <c r="L104" i="24"/>
  <c r="K104" i="24"/>
  <c r="J104" i="24"/>
  <c r="I104" i="24"/>
  <c r="H104" i="24"/>
  <c r="G104" i="24"/>
  <c r="F104" i="24"/>
  <c r="E104" i="24"/>
  <c r="D104" i="24"/>
  <c r="M102" i="24"/>
  <c r="L102" i="24"/>
  <c r="K102" i="24"/>
  <c r="J102" i="24"/>
  <c r="I102" i="24"/>
  <c r="H102" i="24"/>
  <c r="G102" i="24"/>
  <c r="F102" i="24"/>
  <c r="E102" i="24"/>
  <c r="D102" i="24"/>
  <c r="M101" i="24"/>
  <c r="L101" i="24"/>
  <c r="K101" i="24"/>
  <c r="J101" i="24"/>
  <c r="I101" i="24"/>
  <c r="H101" i="24"/>
  <c r="G101" i="24"/>
  <c r="F101" i="24"/>
  <c r="E101" i="24"/>
  <c r="D101" i="24"/>
  <c r="M100" i="24"/>
  <c r="L100" i="24"/>
  <c r="K100" i="24"/>
  <c r="J100" i="24"/>
  <c r="I100" i="24"/>
  <c r="H100" i="24"/>
  <c r="G100" i="24"/>
  <c r="F100" i="24"/>
  <c r="E100" i="24"/>
  <c r="D100" i="24"/>
  <c r="M98" i="24"/>
  <c r="L98" i="24"/>
  <c r="K98" i="24"/>
  <c r="J98" i="24"/>
  <c r="I98" i="24"/>
  <c r="H98" i="24"/>
  <c r="G98" i="24"/>
  <c r="F98" i="24"/>
  <c r="E98" i="24"/>
  <c r="D98" i="24"/>
  <c r="M95" i="24"/>
  <c r="L95" i="24"/>
  <c r="K95" i="24"/>
  <c r="J95" i="24"/>
  <c r="I95" i="24"/>
  <c r="H95" i="24"/>
  <c r="G95" i="24"/>
  <c r="F95" i="24"/>
  <c r="E95" i="24"/>
  <c r="O91" i="24"/>
  <c r="M91" i="24"/>
  <c r="L91" i="24"/>
  <c r="K91" i="24"/>
  <c r="J91" i="24"/>
  <c r="I91" i="24"/>
  <c r="H91" i="24"/>
  <c r="G91" i="24"/>
  <c r="F91" i="24"/>
  <c r="E91" i="24"/>
  <c r="O90" i="24"/>
  <c r="M90" i="24"/>
  <c r="L90" i="24"/>
  <c r="K90" i="24"/>
  <c r="J90" i="24"/>
  <c r="I90" i="24"/>
  <c r="H90" i="24"/>
  <c r="G90" i="24"/>
  <c r="F90" i="24"/>
  <c r="E90" i="24"/>
  <c r="D90" i="24"/>
  <c r="M88" i="24"/>
  <c r="L88" i="24"/>
  <c r="K88" i="24"/>
  <c r="J88" i="24"/>
  <c r="I88" i="24"/>
  <c r="H88" i="24"/>
  <c r="G88" i="24"/>
  <c r="F88" i="24"/>
  <c r="E88" i="24"/>
  <c r="M86" i="24"/>
  <c r="L86" i="24"/>
  <c r="K86" i="24"/>
  <c r="J86" i="24"/>
  <c r="I86" i="24"/>
  <c r="H86" i="24"/>
  <c r="G86" i="24"/>
  <c r="F86" i="24"/>
  <c r="E86" i="24"/>
  <c r="M85" i="24"/>
  <c r="L85" i="24"/>
  <c r="K85" i="24"/>
  <c r="J85" i="24"/>
  <c r="I85" i="24"/>
  <c r="H85" i="24"/>
  <c r="G85" i="24"/>
  <c r="F85" i="24"/>
  <c r="E85" i="24"/>
  <c r="M84" i="24"/>
  <c r="L84" i="24"/>
  <c r="K84" i="24"/>
  <c r="J84" i="24"/>
  <c r="I84" i="24"/>
  <c r="H84" i="24"/>
  <c r="G84" i="24"/>
  <c r="F84" i="24"/>
  <c r="E84" i="24"/>
  <c r="D84" i="24"/>
  <c r="A84" i="24"/>
  <c r="M82" i="24"/>
  <c r="L82" i="24"/>
  <c r="K82" i="24"/>
  <c r="J82" i="24"/>
  <c r="I82" i="24"/>
  <c r="H82" i="24"/>
  <c r="G82" i="24"/>
  <c r="F82" i="24"/>
  <c r="E82" i="24"/>
  <c r="M81" i="24"/>
  <c r="L81" i="24"/>
  <c r="K81" i="24"/>
  <c r="J81" i="24"/>
  <c r="I81" i="24"/>
  <c r="H81" i="24"/>
  <c r="G81" i="24"/>
  <c r="F81" i="24"/>
  <c r="E81" i="24"/>
  <c r="M80" i="24"/>
  <c r="L80" i="24"/>
  <c r="K80" i="24"/>
  <c r="J80" i="24"/>
  <c r="I80" i="24"/>
  <c r="H80" i="24"/>
  <c r="G80" i="24"/>
  <c r="F80" i="24"/>
  <c r="E80" i="24"/>
  <c r="D80" i="24"/>
  <c r="A80" i="24"/>
  <c r="M78" i="24"/>
  <c r="L78" i="24"/>
  <c r="K78" i="24"/>
  <c r="J78" i="24"/>
  <c r="I78" i="24"/>
  <c r="H78" i="24"/>
  <c r="G78" i="24"/>
  <c r="F78" i="24"/>
  <c r="E78" i="24"/>
  <c r="M77" i="24"/>
  <c r="L77" i="24"/>
  <c r="K77" i="24"/>
  <c r="J77" i="24"/>
  <c r="I77" i="24"/>
  <c r="H77" i="24"/>
  <c r="G77" i="24"/>
  <c r="F77" i="24"/>
  <c r="E77" i="24"/>
  <c r="D77" i="24"/>
  <c r="A77" i="24"/>
  <c r="M75" i="24"/>
  <c r="L75" i="24"/>
  <c r="K75" i="24"/>
  <c r="J75" i="24"/>
  <c r="I75" i="24"/>
  <c r="H75" i="24"/>
  <c r="G75" i="24"/>
  <c r="F75" i="24"/>
  <c r="E75" i="24"/>
  <c r="M74" i="24"/>
  <c r="L74" i="24"/>
  <c r="K74" i="24"/>
  <c r="J74" i="24"/>
  <c r="I74" i="24"/>
  <c r="H74" i="24"/>
  <c r="G74" i="24"/>
  <c r="F74" i="24"/>
  <c r="E74" i="24"/>
  <c r="D74" i="24"/>
  <c r="A74" i="24"/>
  <c r="M72" i="24"/>
  <c r="L72" i="24"/>
  <c r="K72" i="24"/>
  <c r="J72" i="24"/>
  <c r="I72" i="24"/>
  <c r="H72" i="24"/>
  <c r="G72" i="24"/>
  <c r="F72" i="24"/>
  <c r="E72" i="24"/>
  <c r="M71" i="24"/>
  <c r="L71" i="24"/>
  <c r="K71" i="24"/>
  <c r="J71" i="24"/>
  <c r="I71" i="24"/>
  <c r="H71" i="24"/>
  <c r="G71" i="24"/>
  <c r="F71" i="24"/>
  <c r="E71" i="24"/>
  <c r="D71" i="24"/>
  <c r="A71" i="24"/>
  <c r="M69" i="24"/>
  <c r="L69" i="24"/>
  <c r="K69" i="24"/>
  <c r="J69" i="24"/>
  <c r="I69" i="24"/>
  <c r="H69" i="24"/>
  <c r="G69" i="24"/>
  <c r="F69" i="24"/>
  <c r="E69" i="24"/>
  <c r="M68" i="24"/>
  <c r="L68" i="24"/>
  <c r="K68" i="24"/>
  <c r="J68" i="24"/>
  <c r="I68" i="24"/>
  <c r="H68" i="24"/>
  <c r="G68" i="24"/>
  <c r="F68" i="24"/>
  <c r="E68" i="24"/>
  <c r="D68" i="24"/>
  <c r="A68" i="24"/>
  <c r="Z66" i="24"/>
  <c r="Y66" i="24"/>
  <c r="X66" i="24"/>
  <c r="W66" i="24"/>
  <c r="V66" i="24"/>
  <c r="U66" i="24"/>
  <c r="T66" i="24"/>
  <c r="S66" i="24"/>
  <c r="Z65" i="24"/>
  <c r="Y65" i="24"/>
  <c r="X65" i="24"/>
  <c r="W65" i="24"/>
  <c r="V65" i="24"/>
  <c r="U65" i="24"/>
  <c r="T65" i="24"/>
  <c r="S65" i="24"/>
  <c r="R65" i="24"/>
  <c r="Q65" i="24"/>
  <c r="M63" i="24"/>
  <c r="L63" i="24"/>
  <c r="K63" i="24"/>
  <c r="J63" i="24"/>
  <c r="I63" i="24"/>
  <c r="H63" i="24"/>
  <c r="G63" i="24"/>
  <c r="F63" i="24"/>
  <c r="E63" i="24"/>
  <c r="M61" i="24"/>
  <c r="L61" i="24"/>
  <c r="K61" i="24"/>
  <c r="J61" i="24"/>
  <c r="I61" i="24"/>
  <c r="H61" i="24"/>
  <c r="G61" i="24"/>
  <c r="F61" i="24"/>
  <c r="E61" i="24"/>
  <c r="M59" i="24"/>
  <c r="L59" i="24"/>
  <c r="K59" i="24"/>
  <c r="J59" i="24"/>
  <c r="I59" i="24"/>
  <c r="H59" i="24"/>
  <c r="G59" i="24"/>
  <c r="F59" i="24"/>
  <c r="E59" i="24"/>
  <c r="D59" i="24"/>
  <c r="M58" i="24"/>
  <c r="L58" i="24"/>
  <c r="K58" i="24"/>
  <c r="J58" i="24"/>
  <c r="I58" i="24"/>
  <c r="H58" i="24"/>
  <c r="G58" i="24"/>
  <c r="F58" i="24"/>
  <c r="E58" i="24"/>
  <c r="D58" i="24"/>
  <c r="M57" i="24"/>
  <c r="L57" i="24"/>
  <c r="K57" i="24"/>
  <c r="J57" i="24"/>
  <c r="I57" i="24"/>
  <c r="H57" i="24"/>
  <c r="G57" i="24"/>
  <c r="F57" i="24"/>
  <c r="E57" i="24"/>
  <c r="D57" i="24"/>
  <c r="M56" i="24"/>
  <c r="L56" i="24"/>
  <c r="K56" i="24"/>
  <c r="J56" i="24"/>
  <c r="I56" i="24"/>
  <c r="H56" i="24"/>
  <c r="G56" i="24"/>
  <c r="F56" i="24"/>
  <c r="E56" i="24"/>
  <c r="D56" i="24"/>
  <c r="M55" i="24"/>
  <c r="L55" i="24"/>
  <c r="K55" i="24"/>
  <c r="J55" i="24"/>
  <c r="I55" i="24"/>
  <c r="H55" i="24"/>
  <c r="G55" i="24"/>
  <c r="F55" i="24"/>
  <c r="E55" i="24"/>
  <c r="D55" i="24"/>
  <c r="M54" i="24"/>
  <c r="L54" i="24"/>
  <c r="K54" i="24"/>
  <c r="J54" i="24"/>
  <c r="I54" i="24"/>
  <c r="H54" i="24"/>
  <c r="G54" i="24"/>
  <c r="F54" i="24"/>
  <c r="E54" i="24"/>
  <c r="D54" i="24"/>
  <c r="M53" i="24"/>
  <c r="L53" i="24"/>
  <c r="K53" i="24"/>
  <c r="J53" i="24"/>
  <c r="I53" i="24"/>
  <c r="H53" i="24"/>
  <c r="G53" i="24"/>
  <c r="F53" i="24"/>
  <c r="E53" i="24"/>
  <c r="D53" i="24"/>
  <c r="M50" i="24"/>
  <c r="L50" i="24"/>
  <c r="K50" i="24"/>
  <c r="J50" i="24"/>
  <c r="I50" i="24"/>
  <c r="H50" i="24"/>
  <c r="G50" i="24"/>
  <c r="F50" i="24"/>
  <c r="E50" i="24"/>
  <c r="D50" i="24"/>
  <c r="M49" i="24"/>
  <c r="L49" i="24"/>
  <c r="K49" i="24"/>
  <c r="J49" i="24"/>
  <c r="I49" i="24"/>
  <c r="H49" i="24"/>
  <c r="G49" i="24"/>
  <c r="F49" i="24"/>
  <c r="E49" i="24"/>
  <c r="D49" i="24"/>
  <c r="M48" i="24"/>
  <c r="L48" i="24"/>
  <c r="K48" i="24"/>
  <c r="J48" i="24"/>
  <c r="I48" i="24"/>
  <c r="H48" i="24"/>
  <c r="G48" i="24"/>
  <c r="F48" i="24"/>
  <c r="E48" i="24"/>
  <c r="D48" i="24"/>
  <c r="AA45" i="24"/>
  <c r="Z45" i="24"/>
  <c r="Y45" i="24"/>
  <c r="X45" i="24"/>
  <c r="W45" i="24"/>
  <c r="V45" i="24"/>
  <c r="U45" i="24"/>
  <c r="T45" i="24"/>
  <c r="S45" i="24"/>
  <c r="AA44" i="24"/>
  <c r="Z44" i="24"/>
  <c r="Y44" i="24"/>
  <c r="X44" i="24"/>
  <c r="W44" i="24"/>
  <c r="V44" i="24"/>
  <c r="U44" i="24"/>
  <c r="T44" i="24"/>
  <c r="S44" i="24"/>
  <c r="R44" i="24"/>
  <c r="O44" i="24"/>
  <c r="M44" i="24"/>
  <c r="L44" i="24"/>
  <c r="K44" i="24"/>
  <c r="J44" i="24"/>
  <c r="I44" i="24"/>
  <c r="H44" i="24"/>
  <c r="G44" i="24"/>
  <c r="F44" i="24"/>
  <c r="E44" i="24"/>
  <c r="D44" i="24"/>
  <c r="AA42" i="24"/>
  <c r="Z42" i="24"/>
  <c r="Y42" i="24"/>
  <c r="X42" i="24"/>
  <c r="W42" i="24"/>
  <c r="V42" i="24"/>
  <c r="U42" i="24"/>
  <c r="T42" i="24"/>
  <c r="S42" i="24"/>
  <c r="AA41" i="24"/>
  <c r="Z41" i="24"/>
  <c r="Y41" i="24"/>
  <c r="X41" i="24"/>
  <c r="W41" i="24"/>
  <c r="V41" i="24"/>
  <c r="U41" i="24"/>
  <c r="T41" i="24"/>
  <c r="S41" i="24"/>
  <c r="R41" i="24"/>
  <c r="O41" i="24"/>
  <c r="AA39" i="24"/>
  <c r="Z39" i="24"/>
  <c r="Y39" i="24"/>
  <c r="X39" i="24"/>
  <c r="W39" i="24"/>
  <c r="V39" i="24"/>
  <c r="U39" i="24"/>
  <c r="T39" i="24"/>
  <c r="S39" i="24"/>
  <c r="M39" i="24"/>
  <c r="L39" i="24"/>
  <c r="K39" i="24"/>
  <c r="J39" i="24"/>
  <c r="I39" i="24"/>
  <c r="H39" i="24"/>
  <c r="G39" i="24"/>
  <c r="F39" i="24"/>
  <c r="E39" i="24"/>
  <c r="D39" i="24"/>
  <c r="AA38" i="24"/>
  <c r="Z38" i="24"/>
  <c r="Y38" i="24"/>
  <c r="X38" i="24"/>
  <c r="W38" i="24"/>
  <c r="V38" i="24"/>
  <c r="U38" i="24"/>
  <c r="T38" i="24"/>
  <c r="S38" i="24"/>
  <c r="R38" i="24"/>
  <c r="O38" i="24"/>
  <c r="AA36" i="24"/>
  <c r="Z36" i="24"/>
  <c r="Y36" i="24"/>
  <c r="X36" i="24"/>
  <c r="W36" i="24"/>
  <c r="V36" i="24"/>
  <c r="U36" i="24"/>
  <c r="T36" i="24"/>
  <c r="S36" i="24"/>
  <c r="R36" i="24"/>
  <c r="M28" i="24"/>
  <c r="L28" i="24"/>
  <c r="K28" i="24"/>
  <c r="J28" i="24"/>
  <c r="I28" i="24"/>
  <c r="H28" i="24"/>
  <c r="G28" i="24"/>
  <c r="F28" i="24"/>
  <c r="E28" i="24"/>
  <c r="D28" i="24"/>
  <c r="M27" i="24"/>
  <c r="L27" i="24"/>
  <c r="K27" i="24"/>
  <c r="J27" i="24"/>
  <c r="I27" i="24"/>
  <c r="H27" i="24"/>
  <c r="G27" i="24"/>
  <c r="F27" i="24"/>
  <c r="E27" i="24"/>
  <c r="D27" i="24"/>
  <c r="M26" i="24"/>
  <c r="L26" i="24"/>
  <c r="K26" i="24"/>
  <c r="J26" i="24"/>
  <c r="I26" i="24"/>
  <c r="H26" i="24"/>
  <c r="G26" i="24"/>
  <c r="F26" i="24"/>
  <c r="E26" i="24"/>
  <c r="D26" i="24"/>
  <c r="M22" i="24"/>
  <c r="L22" i="24"/>
  <c r="K22" i="24"/>
  <c r="J22" i="24"/>
  <c r="I22" i="24"/>
  <c r="H22" i="24"/>
  <c r="G22" i="24"/>
  <c r="F22" i="24"/>
  <c r="E22" i="24"/>
  <c r="D22" i="24"/>
  <c r="M17" i="24"/>
  <c r="L17" i="24"/>
  <c r="K17" i="24"/>
  <c r="J17" i="24"/>
  <c r="I17" i="24"/>
  <c r="H17" i="24"/>
  <c r="G17" i="24"/>
  <c r="F17" i="24"/>
  <c r="E17" i="24"/>
  <c r="D17" i="24"/>
  <c r="M7" i="24"/>
  <c r="L7" i="24"/>
  <c r="K7" i="24"/>
  <c r="J7" i="24"/>
  <c r="I7" i="24"/>
  <c r="H7" i="24"/>
  <c r="G7" i="24"/>
  <c r="F7" i="24"/>
  <c r="E7" i="24"/>
  <c r="K110" i="22"/>
  <c r="J110" i="22"/>
  <c r="I110" i="22"/>
  <c r="H110" i="22"/>
  <c r="G110" i="22"/>
  <c r="F110" i="22"/>
  <c r="E110" i="22"/>
  <c r="D110" i="22"/>
  <c r="C110" i="22"/>
  <c r="B110" i="22"/>
  <c r="K109" i="22"/>
  <c r="J109" i="22"/>
  <c r="I109" i="22"/>
  <c r="H109" i="22"/>
  <c r="G109" i="22"/>
  <c r="F109" i="22"/>
  <c r="E109" i="22"/>
  <c r="D109" i="22"/>
  <c r="C109" i="22"/>
  <c r="B109" i="22"/>
  <c r="K107" i="22"/>
  <c r="J107" i="22"/>
  <c r="I107" i="22"/>
  <c r="H107" i="22"/>
  <c r="G107" i="22"/>
  <c r="F107" i="22"/>
  <c r="E107" i="22"/>
  <c r="D107" i="22"/>
  <c r="C107" i="22"/>
  <c r="B107" i="22"/>
  <c r="K106" i="22"/>
  <c r="J106" i="22"/>
  <c r="I106" i="22"/>
  <c r="H106" i="22"/>
  <c r="G106" i="22"/>
  <c r="F106" i="22"/>
  <c r="E106" i="22"/>
  <c r="D106" i="22"/>
  <c r="C106" i="22"/>
  <c r="B106" i="22"/>
  <c r="K105" i="22"/>
  <c r="J105" i="22"/>
  <c r="I105" i="22"/>
  <c r="H105" i="22"/>
  <c r="G105" i="22"/>
  <c r="F105" i="22"/>
  <c r="E105" i="22"/>
  <c r="D105" i="22"/>
  <c r="C105" i="22"/>
  <c r="B105" i="22"/>
  <c r="K103" i="22"/>
  <c r="J103" i="22"/>
  <c r="I103" i="22"/>
  <c r="H103" i="22"/>
  <c r="G103" i="22"/>
  <c r="F103" i="22"/>
  <c r="E103" i="22"/>
  <c r="D103" i="22"/>
  <c r="C103" i="22"/>
  <c r="B103" i="22"/>
  <c r="K102" i="22"/>
  <c r="J102" i="22"/>
  <c r="I102" i="22"/>
  <c r="H102" i="22"/>
  <c r="G102" i="22"/>
  <c r="F102" i="22"/>
  <c r="E102" i="22"/>
  <c r="D102" i="22"/>
  <c r="C102" i="22"/>
  <c r="B102" i="22"/>
  <c r="K101" i="22"/>
  <c r="J101" i="22"/>
  <c r="I101" i="22"/>
  <c r="H101" i="22"/>
  <c r="G101" i="22"/>
  <c r="F101" i="22"/>
  <c r="E101" i="22"/>
  <c r="D101" i="22"/>
  <c r="C101" i="22"/>
  <c r="B101" i="22"/>
  <c r="K99" i="22"/>
  <c r="J99" i="22"/>
  <c r="I99" i="22"/>
  <c r="H99" i="22"/>
  <c r="G99" i="22"/>
  <c r="F99" i="22"/>
  <c r="E99" i="22"/>
  <c r="D99" i="22"/>
  <c r="C99" i="22"/>
  <c r="B99" i="22"/>
  <c r="K96" i="22"/>
  <c r="J96" i="22"/>
  <c r="I96" i="22"/>
  <c r="H96" i="22"/>
  <c r="G96" i="22"/>
  <c r="F96" i="22"/>
  <c r="E96" i="22"/>
  <c r="D96" i="22"/>
  <c r="C96" i="22"/>
  <c r="M92" i="22"/>
  <c r="K92" i="22"/>
  <c r="J92" i="22"/>
  <c r="I92" i="22"/>
  <c r="H92" i="22"/>
  <c r="G92" i="22"/>
  <c r="F92" i="22"/>
  <c r="E92" i="22"/>
  <c r="D92" i="22"/>
  <c r="C92" i="22"/>
  <c r="M91" i="22"/>
  <c r="K91" i="22"/>
  <c r="J91" i="22"/>
  <c r="I91" i="22"/>
  <c r="H91" i="22"/>
  <c r="G91" i="22"/>
  <c r="F91" i="22"/>
  <c r="E91" i="22"/>
  <c r="D91" i="22"/>
  <c r="C91" i="22"/>
  <c r="B91" i="22"/>
  <c r="K89" i="22"/>
  <c r="J89" i="22"/>
  <c r="I89" i="22"/>
  <c r="H89" i="22"/>
  <c r="G89" i="22"/>
  <c r="F89" i="22"/>
  <c r="E89" i="22"/>
  <c r="D89" i="22"/>
  <c r="C89" i="22"/>
  <c r="K87" i="22"/>
  <c r="J87" i="22"/>
  <c r="I87" i="22"/>
  <c r="H87" i="22"/>
  <c r="G87" i="22"/>
  <c r="F87" i="22"/>
  <c r="E87" i="22"/>
  <c r="D87" i="22"/>
  <c r="C87" i="22"/>
  <c r="K86" i="22"/>
  <c r="J86" i="22"/>
  <c r="I86" i="22"/>
  <c r="H86" i="22"/>
  <c r="G86" i="22"/>
  <c r="F86" i="22"/>
  <c r="E86" i="22"/>
  <c r="D86" i="22"/>
  <c r="C86" i="22"/>
  <c r="K85" i="22"/>
  <c r="J85" i="22"/>
  <c r="I85" i="22"/>
  <c r="H85" i="22"/>
  <c r="G85" i="22"/>
  <c r="F85" i="22"/>
  <c r="E85" i="22"/>
  <c r="D85" i="22"/>
  <c r="C85" i="22"/>
  <c r="B85" i="22"/>
  <c r="A85" i="22"/>
  <c r="K83" i="22"/>
  <c r="J83" i="22"/>
  <c r="I83" i="22"/>
  <c r="H83" i="22"/>
  <c r="G83" i="22"/>
  <c r="F83" i="22"/>
  <c r="E83" i="22"/>
  <c r="D83" i="22"/>
  <c r="C83" i="22"/>
  <c r="K82" i="22"/>
  <c r="J82" i="22"/>
  <c r="I82" i="22"/>
  <c r="H82" i="22"/>
  <c r="G82" i="22"/>
  <c r="F82" i="22"/>
  <c r="E82" i="22"/>
  <c r="D82" i="22"/>
  <c r="C82" i="22"/>
  <c r="K81" i="22"/>
  <c r="J81" i="22"/>
  <c r="I81" i="22"/>
  <c r="H81" i="22"/>
  <c r="G81" i="22"/>
  <c r="F81" i="22"/>
  <c r="E81" i="22"/>
  <c r="D81" i="22"/>
  <c r="C81" i="22"/>
  <c r="B81" i="22"/>
  <c r="A81" i="22"/>
  <c r="K79" i="22"/>
  <c r="J79" i="22"/>
  <c r="I79" i="22"/>
  <c r="H79" i="22"/>
  <c r="G79" i="22"/>
  <c r="F79" i="22"/>
  <c r="E79" i="22"/>
  <c r="D79" i="22"/>
  <c r="C79" i="22"/>
  <c r="K78" i="22"/>
  <c r="J78" i="22"/>
  <c r="I78" i="22"/>
  <c r="H78" i="22"/>
  <c r="G78" i="22"/>
  <c r="F78" i="22"/>
  <c r="E78" i="22"/>
  <c r="D78" i="22"/>
  <c r="C78" i="22"/>
  <c r="B78" i="22"/>
  <c r="A78" i="22"/>
  <c r="K76" i="22"/>
  <c r="J76" i="22"/>
  <c r="I76" i="22"/>
  <c r="H76" i="22"/>
  <c r="G76" i="22"/>
  <c r="F76" i="22"/>
  <c r="E76" i="22"/>
  <c r="D76" i="22"/>
  <c r="C76" i="22"/>
  <c r="K75" i="22"/>
  <c r="J75" i="22"/>
  <c r="I75" i="22"/>
  <c r="H75" i="22"/>
  <c r="G75" i="22"/>
  <c r="F75" i="22"/>
  <c r="E75" i="22"/>
  <c r="D75" i="22"/>
  <c r="C75" i="22"/>
  <c r="B75" i="22"/>
  <c r="A75" i="22"/>
  <c r="K73" i="22"/>
  <c r="J73" i="22"/>
  <c r="I73" i="22"/>
  <c r="H73" i="22"/>
  <c r="G73" i="22"/>
  <c r="F73" i="22"/>
  <c r="E73" i="22"/>
  <c r="D73" i="22"/>
  <c r="C73" i="22"/>
  <c r="K72" i="22"/>
  <c r="J72" i="22"/>
  <c r="I72" i="22"/>
  <c r="H72" i="22"/>
  <c r="G72" i="22"/>
  <c r="F72" i="22"/>
  <c r="E72" i="22"/>
  <c r="D72" i="22"/>
  <c r="C72" i="22"/>
  <c r="B72" i="22"/>
  <c r="A72" i="22"/>
  <c r="K70" i="22"/>
  <c r="J70" i="22"/>
  <c r="I70" i="22"/>
  <c r="H70" i="22"/>
  <c r="G70" i="22"/>
  <c r="F70" i="22"/>
  <c r="E70" i="22"/>
  <c r="D70" i="22"/>
  <c r="C70" i="22"/>
  <c r="K69" i="22"/>
  <c r="J69" i="22"/>
  <c r="I69" i="22"/>
  <c r="H69" i="22"/>
  <c r="G69" i="22"/>
  <c r="F69" i="22"/>
  <c r="E69" i="22"/>
  <c r="D69" i="22"/>
  <c r="C69" i="22"/>
  <c r="B69" i="22"/>
  <c r="A69" i="22"/>
  <c r="X67" i="22"/>
  <c r="W67" i="22"/>
  <c r="V67" i="22"/>
  <c r="U67" i="22"/>
  <c r="T67" i="22"/>
  <c r="S67" i="22"/>
  <c r="R67" i="22"/>
  <c r="Q67" i="22"/>
  <c r="X66" i="22"/>
  <c r="W66" i="22"/>
  <c r="V66" i="22"/>
  <c r="U66" i="22"/>
  <c r="T66" i="22"/>
  <c r="S66" i="22"/>
  <c r="R66" i="22"/>
  <c r="Q66" i="22"/>
  <c r="P66" i="22"/>
  <c r="O66" i="22"/>
  <c r="K64" i="22"/>
  <c r="J64" i="22"/>
  <c r="I64" i="22"/>
  <c r="H64" i="22"/>
  <c r="G64" i="22"/>
  <c r="F64" i="22"/>
  <c r="E64" i="22"/>
  <c r="D64" i="22"/>
  <c r="C64" i="22"/>
  <c r="K62" i="22"/>
  <c r="J62" i="22"/>
  <c r="I62" i="22"/>
  <c r="H62" i="22"/>
  <c r="G62" i="22"/>
  <c r="F62" i="22"/>
  <c r="E62" i="22"/>
  <c r="D62" i="22"/>
  <c r="C62" i="22"/>
  <c r="K60" i="22"/>
  <c r="J60" i="22"/>
  <c r="I60" i="22"/>
  <c r="H60" i="22"/>
  <c r="G60" i="22"/>
  <c r="F60" i="22"/>
  <c r="E60" i="22"/>
  <c r="D60" i="22"/>
  <c r="C60" i="22"/>
  <c r="B60" i="22"/>
  <c r="K59" i="22"/>
  <c r="J59" i="22"/>
  <c r="I59" i="22"/>
  <c r="H59" i="22"/>
  <c r="G59" i="22"/>
  <c r="F59" i="22"/>
  <c r="E59" i="22"/>
  <c r="D59" i="22"/>
  <c r="C59" i="22"/>
  <c r="B59" i="22"/>
  <c r="K58" i="22"/>
  <c r="J58" i="22"/>
  <c r="I58" i="22"/>
  <c r="H58" i="22"/>
  <c r="G58" i="22"/>
  <c r="F58" i="22"/>
  <c r="E58" i="22"/>
  <c r="D58" i="22"/>
  <c r="C58" i="22"/>
  <c r="B58" i="22"/>
  <c r="K57" i="22"/>
  <c r="J57" i="22"/>
  <c r="I57" i="22"/>
  <c r="H57" i="22"/>
  <c r="G57" i="22"/>
  <c r="F57" i="22"/>
  <c r="E57" i="22"/>
  <c r="D57" i="22"/>
  <c r="C57" i="22"/>
  <c r="B57" i="22"/>
  <c r="K56" i="22"/>
  <c r="J56" i="22"/>
  <c r="I56" i="22"/>
  <c r="H56" i="22"/>
  <c r="G56" i="22"/>
  <c r="F56" i="22"/>
  <c r="E56" i="22"/>
  <c r="D56" i="22"/>
  <c r="C56" i="22"/>
  <c r="B56" i="22"/>
  <c r="K54" i="22"/>
  <c r="J54" i="22"/>
  <c r="I54" i="22"/>
  <c r="H54" i="22"/>
  <c r="G54" i="22"/>
  <c r="F54" i="22"/>
  <c r="E54" i="22"/>
  <c r="D54" i="22"/>
  <c r="C54" i="22"/>
  <c r="B54" i="22"/>
  <c r="X52" i="22"/>
  <c r="W52" i="22"/>
  <c r="V52" i="22"/>
  <c r="U52" i="22"/>
  <c r="T52" i="22"/>
  <c r="S52" i="22"/>
  <c r="R52" i="22"/>
  <c r="Q52" i="22"/>
  <c r="P52" i="22"/>
  <c r="X51" i="22"/>
  <c r="W51" i="22"/>
  <c r="V51" i="22"/>
  <c r="U51" i="22"/>
  <c r="T51" i="22"/>
  <c r="S51" i="22"/>
  <c r="R51" i="22"/>
  <c r="Q51" i="22"/>
  <c r="P51" i="22"/>
  <c r="O51" i="22"/>
  <c r="L51" i="22"/>
  <c r="K51" i="22"/>
  <c r="J51" i="22"/>
  <c r="I51" i="22"/>
  <c r="H51" i="22"/>
  <c r="G51" i="22"/>
  <c r="F51" i="22"/>
  <c r="E51" i="22"/>
  <c r="D51" i="22"/>
  <c r="C51" i="22"/>
  <c r="B51" i="22"/>
  <c r="K50" i="22"/>
  <c r="J50" i="22"/>
  <c r="I50" i="22"/>
  <c r="H50" i="22"/>
  <c r="G50" i="22"/>
  <c r="F50" i="22"/>
  <c r="E50" i="22"/>
  <c r="D50" i="22"/>
  <c r="C50" i="22"/>
  <c r="B50" i="22"/>
  <c r="X49" i="22"/>
  <c r="W49" i="22"/>
  <c r="V49" i="22"/>
  <c r="U49" i="22"/>
  <c r="T49" i="22"/>
  <c r="S49" i="22"/>
  <c r="R49" i="22"/>
  <c r="Q49" i="22"/>
  <c r="P49" i="22"/>
  <c r="K49" i="22"/>
  <c r="J49" i="22"/>
  <c r="I49" i="22"/>
  <c r="H49" i="22"/>
  <c r="G49" i="22"/>
  <c r="F49" i="22"/>
  <c r="E49" i="22"/>
  <c r="D49" i="22"/>
  <c r="C49" i="22"/>
  <c r="B49" i="22"/>
  <c r="X48" i="22"/>
  <c r="W48" i="22"/>
  <c r="V48" i="22"/>
  <c r="U48" i="22"/>
  <c r="T48" i="22"/>
  <c r="S48" i="22"/>
  <c r="R48" i="22"/>
  <c r="Q48" i="22"/>
  <c r="P48" i="22"/>
  <c r="O48" i="22"/>
  <c r="L48" i="22"/>
  <c r="K47" i="22"/>
  <c r="J47" i="22"/>
  <c r="I47" i="22"/>
  <c r="H47" i="22"/>
  <c r="G47" i="22"/>
  <c r="F47" i="22"/>
  <c r="E47" i="22"/>
  <c r="D47" i="22"/>
  <c r="C47" i="22"/>
  <c r="B47" i="22"/>
  <c r="X46" i="22"/>
  <c r="W46" i="22"/>
  <c r="V46" i="22"/>
  <c r="U46" i="22"/>
  <c r="T46" i="22"/>
  <c r="S46" i="22"/>
  <c r="R46" i="22"/>
  <c r="Q46" i="22"/>
  <c r="P46" i="22"/>
  <c r="X45" i="22"/>
  <c r="W45" i="22"/>
  <c r="V45" i="22"/>
  <c r="U45" i="22"/>
  <c r="T45" i="22"/>
  <c r="S45" i="22"/>
  <c r="R45" i="22"/>
  <c r="Q45" i="22"/>
  <c r="P45" i="22"/>
  <c r="O45" i="22"/>
  <c r="L45" i="22"/>
  <c r="X44" i="22"/>
  <c r="W44" i="22"/>
  <c r="V44" i="22"/>
  <c r="U44" i="22"/>
  <c r="T44" i="22"/>
  <c r="S44" i="22"/>
  <c r="R44" i="22"/>
  <c r="Q44" i="22"/>
  <c r="P44" i="22"/>
  <c r="O44" i="22"/>
  <c r="K43" i="22"/>
  <c r="J43" i="22"/>
  <c r="I43" i="22"/>
  <c r="H43" i="22"/>
  <c r="G43" i="22"/>
  <c r="F43" i="22"/>
  <c r="E43" i="22"/>
  <c r="D43" i="22"/>
  <c r="C43" i="22"/>
  <c r="B43" i="22"/>
  <c r="K39" i="22"/>
  <c r="J39" i="22"/>
  <c r="I39" i="22"/>
  <c r="H39" i="22"/>
  <c r="G39" i="22"/>
  <c r="F39" i="22"/>
  <c r="E39" i="22"/>
  <c r="D39" i="22"/>
  <c r="C39" i="22"/>
  <c r="B39" i="22"/>
  <c r="K29" i="22"/>
  <c r="J29" i="22"/>
  <c r="I29" i="22"/>
  <c r="H29" i="22"/>
  <c r="G29" i="22"/>
  <c r="F29" i="22"/>
  <c r="E29" i="22"/>
  <c r="D29" i="22"/>
  <c r="C29" i="22"/>
  <c r="B29" i="22"/>
  <c r="K28" i="22"/>
  <c r="J28" i="22"/>
  <c r="I28" i="22"/>
  <c r="H28" i="22"/>
  <c r="G28" i="22"/>
  <c r="F28" i="22"/>
  <c r="E28" i="22"/>
  <c r="D28" i="22"/>
  <c r="C28" i="22"/>
  <c r="B28" i="22"/>
  <c r="K27" i="22"/>
  <c r="J27" i="22"/>
  <c r="I27" i="22"/>
  <c r="H27" i="22"/>
  <c r="G27" i="22"/>
  <c r="F27" i="22"/>
  <c r="E27" i="22"/>
  <c r="D27" i="22"/>
  <c r="C27" i="22"/>
  <c r="B27" i="22"/>
  <c r="K25" i="22"/>
  <c r="J25" i="22"/>
  <c r="I25" i="22"/>
  <c r="H25" i="22"/>
  <c r="G25" i="22"/>
  <c r="F25" i="22"/>
  <c r="E25" i="22"/>
  <c r="D25" i="22"/>
  <c r="C25" i="22"/>
  <c r="B25" i="22"/>
  <c r="K21" i="22"/>
  <c r="J21" i="22"/>
  <c r="I21" i="22"/>
  <c r="H21" i="22"/>
  <c r="G21" i="22"/>
  <c r="F21" i="22"/>
  <c r="E21" i="22"/>
  <c r="D21" i="22"/>
  <c r="C21" i="22"/>
  <c r="B21" i="22"/>
  <c r="K17" i="22"/>
  <c r="J17" i="22"/>
  <c r="I17" i="22"/>
  <c r="H17" i="22"/>
  <c r="G17" i="22"/>
  <c r="F17" i="22"/>
  <c r="E17" i="22"/>
  <c r="D17" i="22"/>
  <c r="C17" i="22"/>
  <c r="B17" i="22"/>
  <c r="K7" i="22"/>
  <c r="J7" i="22"/>
  <c r="I7" i="22"/>
  <c r="H7" i="22"/>
  <c r="G7" i="22"/>
  <c r="F7" i="22"/>
  <c r="E7" i="22"/>
  <c r="D7" i="22"/>
  <c r="C7" i="22"/>
  <c r="K107" i="21"/>
  <c r="J107" i="21"/>
  <c r="I107" i="21"/>
  <c r="H107" i="21"/>
  <c r="G107" i="21"/>
  <c r="F107" i="21"/>
  <c r="E107" i="21"/>
  <c r="D107" i="21"/>
  <c r="C107" i="21"/>
  <c r="B107" i="21"/>
  <c r="K106" i="21"/>
  <c r="J106" i="21"/>
  <c r="I106" i="21"/>
  <c r="H106" i="21"/>
  <c r="G106" i="21"/>
  <c r="F106" i="21"/>
  <c r="E106" i="21"/>
  <c r="D106" i="21"/>
  <c r="C106" i="21"/>
  <c r="B106" i="21"/>
  <c r="A106" i="21"/>
  <c r="K105" i="21"/>
  <c r="J105" i="21"/>
  <c r="I105" i="21"/>
  <c r="H105" i="21"/>
  <c r="G105" i="21"/>
  <c r="F105" i="21"/>
  <c r="E105" i="21"/>
  <c r="D105" i="21"/>
  <c r="C105" i="21"/>
  <c r="B105" i="21"/>
  <c r="A105" i="21"/>
  <c r="K103" i="21"/>
  <c r="J103" i="21"/>
  <c r="I103" i="21"/>
  <c r="H103" i="21"/>
  <c r="G103" i="21"/>
  <c r="F103" i="21"/>
  <c r="E103" i="21"/>
  <c r="D103" i="21"/>
  <c r="C103" i="21"/>
  <c r="B103" i="21"/>
  <c r="K102" i="21"/>
  <c r="J102" i="21"/>
  <c r="I102" i="21"/>
  <c r="H102" i="21"/>
  <c r="G102" i="21"/>
  <c r="F102" i="21"/>
  <c r="E102" i="21"/>
  <c r="D102" i="21"/>
  <c r="C102" i="21"/>
  <c r="B102" i="21"/>
  <c r="K101" i="21"/>
  <c r="J101" i="21"/>
  <c r="I101" i="21"/>
  <c r="H101" i="21"/>
  <c r="G101" i="21"/>
  <c r="F101" i="21"/>
  <c r="E101" i="21"/>
  <c r="D101" i="21"/>
  <c r="C101" i="21"/>
  <c r="B101" i="21"/>
  <c r="K99" i="21"/>
  <c r="J99" i="21"/>
  <c r="I99" i="21"/>
  <c r="H99" i="21"/>
  <c r="G99" i="21"/>
  <c r="F99" i="21"/>
  <c r="E99" i="21"/>
  <c r="D99" i="21"/>
  <c r="C99" i="21"/>
  <c r="B99" i="21"/>
  <c r="K96" i="21"/>
  <c r="J96" i="21"/>
  <c r="I96" i="21"/>
  <c r="H96" i="21"/>
  <c r="G96" i="21"/>
  <c r="F96" i="21"/>
  <c r="E96" i="21"/>
  <c r="D96" i="21"/>
  <c r="C96" i="21"/>
  <c r="M92" i="21"/>
  <c r="K92" i="21"/>
  <c r="J92" i="21"/>
  <c r="I92" i="21"/>
  <c r="H92" i="21"/>
  <c r="G92" i="21"/>
  <c r="F92" i="21"/>
  <c r="E92" i="21"/>
  <c r="D92" i="21"/>
  <c r="C92" i="21"/>
  <c r="M91" i="21"/>
  <c r="K91" i="21"/>
  <c r="J91" i="21"/>
  <c r="I91" i="21"/>
  <c r="H91" i="21"/>
  <c r="G91" i="21"/>
  <c r="F91" i="21"/>
  <c r="E91" i="21"/>
  <c r="D91" i="21"/>
  <c r="C91" i="21"/>
  <c r="B91" i="21"/>
  <c r="K89" i="21"/>
  <c r="J89" i="21"/>
  <c r="I89" i="21"/>
  <c r="H89" i="21"/>
  <c r="G89" i="21"/>
  <c r="F89" i="21"/>
  <c r="E89" i="21"/>
  <c r="D89" i="21"/>
  <c r="C89" i="21"/>
  <c r="K87" i="21"/>
  <c r="J87" i="21"/>
  <c r="I87" i="21"/>
  <c r="H87" i="21"/>
  <c r="G87" i="21"/>
  <c r="F87" i="21"/>
  <c r="E87" i="21"/>
  <c r="D87" i="21"/>
  <c r="C87" i="21"/>
  <c r="K86" i="21"/>
  <c r="J86" i="21"/>
  <c r="I86" i="21"/>
  <c r="H86" i="21"/>
  <c r="G86" i="21"/>
  <c r="F86" i="21"/>
  <c r="E86" i="21"/>
  <c r="D86" i="21"/>
  <c r="C86" i="21"/>
  <c r="K85" i="21"/>
  <c r="J85" i="21"/>
  <c r="I85" i="21"/>
  <c r="H85" i="21"/>
  <c r="G85" i="21"/>
  <c r="F85" i="21"/>
  <c r="E85" i="21"/>
  <c r="D85" i="21"/>
  <c r="C85" i="21"/>
  <c r="B85" i="21"/>
  <c r="A85" i="21"/>
  <c r="K83" i="21"/>
  <c r="J83" i="21"/>
  <c r="I83" i="21"/>
  <c r="H83" i="21"/>
  <c r="G83" i="21"/>
  <c r="F83" i="21"/>
  <c r="E83" i="21"/>
  <c r="D83" i="21"/>
  <c r="C83" i="21"/>
  <c r="K82" i="21"/>
  <c r="J82" i="21"/>
  <c r="I82" i="21"/>
  <c r="H82" i="21"/>
  <c r="G82" i="21"/>
  <c r="F82" i="21"/>
  <c r="E82" i="21"/>
  <c r="D82" i="21"/>
  <c r="C82" i="21"/>
  <c r="K81" i="21"/>
  <c r="J81" i="21"/>
  <c r="I81" i="21"/>
  <c r="H81" i="21"/>
  <c r="G81" i="21"/>
  <c r="F81" i="21"/>
  <c r="E81" i="21"/>
  <c r="D81" i="21"/>
  <c r="C81" i="21"/>
  <c r="B81" i="21"/>
  <c r="A81" i="21"/>
  <c r="K79" i="21"/>
  <c r="J79" i="21"/>
  <c r="I79" i="21"/>
  <c r="H79" i="21"/>
  <c r="G79" i="21"/>
  <c r="F79" i="21"/>
  <c r="E79" i="21"/>
  <c r="D79" i="21"/>
  <c r="C79" i="21"/>
  <c r="K78" i="21"/>
  <c r="J78" i="21"/>
  <c r="I78" i="21"/>
  <c r="H78" i="21"/>
  <c r="G78" i="21"/>
  <c r="F78" i="21"/>
  <c r="E78" i="21"/>
  <c r="D78" i="21"/>
  <c r="C78" i="21"/>
  <c r="B78" i="21"/>
  <c r="A78" i="21"/>
  <c r="K76" i="21"/>
  <c r="J76" i="21"/>
  <c r="I76" i="21"/>
  <c r="H76" i="21"/>
  <c r="G76" i="21"/>
  <c r="F76" i="21"/>
  <c r="E76" i="21"/>
  <c r="D76" i="21"/>
  <c r="C76" i="21"/>
  <c r="K75" i="21"/>
  <c r="J75" i="21"/>
  <c r="I75" i="21"/>
  <c r="H75" i="21"/>
  <c r="G75" i="21"/>
  <c r="F75" i="21"/>
  <c r="E75" i="21"/>
  <c r="D75" i="21"/>
  <c r="C75" i="21"/>
  <c r="B75" i="21"/>
  <c r="A75" i="21"/>
  <c r="K73" i="21"/>
  <c r="J73" i="21"/>
  <c r="I73" i="21"/>
  <c r="H73" i="21"/>
  <c r="G73" i="21"/>
  <c r="F73" i="21"/>
  <c r="E73" i="21"/>
  <c r="D73" i="21"/>
  <c r="C73" i="21"/>
  <c r="K72" i="21"/>
  <c r="J72" i="21"/>
  <c r="I72" i="21"/>
  <c r="H72" i="21"/>
  <c r="G72" i="21"/>
  <c r="F72" i="21"/>
  <c r="E72" i="21"/>
  <c r="D72" i="21"/>
  <c r="C72" i="21"/>
  <c r="B72" i="21"/>
  <c r="A72" i="21"/>
  <c r="K70" i="21"/>
  <c r="J70" i="21"/>
  <c r="I70" i="21"/>
  <c r="H70" i="21"/>
  <c r="G70" i="21"/>
  <c r="F70" i="21"/>
  <c r="E70" i="21"/>
  <c r="D70" i="21"/>
  <c r="C70" i="21"/>
  <c r="K69" i="21"/>
  <c r="J69" i="21"/>
  <c r="I69" i="21"/>
  <c r="H69" i="21"/>
  <c r="G69" i="21"/>
  <c r="F69" i="21"/>
  <c r="E69" i="21"/>
  <c r="D69" i="21"/>
  <c r="C69" i="21"/>
  <c r="B69" i="21"/>
  <c r="A69" i="21"/>
  <c r="X67" i="21"/>
  <c r="W67" i="21"/>
  <c r="V67" i="21"/>
  <c r="U67" i="21"/>
  <c r="T67" i="21"/>
  <c r="S67" i="21"/>
  <c r="R67" i="21"/>
  <c r="Q67" i="21"/>
  <c r="X66" i="21"/>
  <c r="W66" i="21"/>
  <c r="V66" i="21"/>
  <c r="U66" i="21"/>
  <c r="T66" i="21"/>
  <c r="S66" i="21"/>
  <c r="R66" i="21"/>
  <c r="Q66" i="21"/>
  <c r="P66" i="21"/>
  <c r="O66" i="21"/>
  <c r="K64" i="21"/>
  <c r="J64" i="21"/>
  <c r="I64" i="21"/>
  <c r="H64" i="21"/>
  <c r="G64" i="21"/>
  <c r="F64" i="21"/>
  <c r="E64" i="21"/>
  <c r="D64" i="21"/>
  <c r="C64" i="21"/>
  <c r="K62" i="21"/>
  <c r="J62" i="21"/>
  <c r="I62" i="21"/>
  <c r="H62" i="21"/>
  <c r="G62" i="21"/>
  <c r="F62" i="21"/>
  <c r="E62" i="21"/>
  <c r="D62" i="21"/>
  <c r="C62" i="21"/>
  <c r="K60" i="21"/>
  <c r="J60" i="21"/>
  <c r="I60" i="21"/>
  <c r="H60" i="21"/>
  <c r="G60" i="21"/>
  <c r="F60" i="21"/>
  <c r="E60" i="21"/>
  <c r="D60" i="21"/>
  <c r="C60" i="21"/>
  <c r="B60" i="21"/>
  <c r="K59" i="21"/>
  <c r="J59" i="21"/>
  <c r="I59" i="21"/>
  <c r="H59" i="21"/>
  <c r="G59" i="21"/>
  <c r="F59" i="21"/>
  <c r="E59" i="21"/>
  <c r="D59" i="21"/>
  <c r="C59" i="21"/>
  <c r="B59" i="21"/>
  <c r="K58" i="21"/>
  <c r="J58" i="21"/>
  <c r="I58" i="21"/>
  <c r="H58" i="21"/>
  <c r="G58" i="21"/>
  <c r="F58" i="21"/>
  <c r="E58" i="21"/>
  <c r="D58" i="21"/>
  <c r="C58" i="21"/>
  <c r="B58" i="21"/>
  <c r="K57" i="21"/>
  <c r="J57" i="21"/>
  <c r="I57" i="21"/>
  <c r="H57" i="21"/>
  <c r="G57" i="21"/>
  <c r="F57" i="21"/>
  <c r="E57" i="21"/>
  <c r="D57" i="21"/>
  <c r="C57" i="21"/>
  <c r="B57" i="21"/>
  <c r="K56" i="21"/>
  <c r="J56" i="21"/>
  <c r="I56" i="21"/>
  <c r="H56" i="21"/>
  <c r="G56" i="21"/>
  <c r="F56" i="21"/>
  <c r="E56" i="21"/>
  <c r="D56" i="21"/>
  <c r="C56" i="21"/>
  <c r="B56" i="21"/>
  <c r="K54" i="21"/>
  <c r="J54" i="21"/>
  <c r="I54" i="21"/>
  <c r="H54" i="21"/>
  <c r="G54" i="21"/>
  <c r="F54" i="21"/>
  <c r="E54" i="21"/>
  <c r="D54" i="21"/>
  <c r="C54" i="21"/>
  <c r="B54" i="21"/>
  <c r="X52" i="21"/>
  <c r="W52" i="21"/>
  <c r="V52" i="21"/>
  <c r="U52" i="21"/>
  <c r="T52" i="21"/>
  <c r="S52" i="21"/>
  <c r="R52" i="21"/>
  <c r="Q52" i="21"/>
  <c r="P52" i="21"/>
  <c r="X51" i="21"/>
  <c r="W51" i="21"/>
  <c r="V51" i="21"/>
  <c r="U51" i="21"/>
  <c r="T51" i="21"/>
  <c r="S51" i="21"/>
  <c r="R51" i="21"/>
  <c r="Q51" i="21"/>
  <c r="P51" i="21"/>
  <c r="O51" i="21"/>
  <c r="L51" i="21"/>
  <c r="K51" i="21"/>
  <c r="J51" i="21"/>
  <c r="I51" i="21"/>
  <c r="H51" i="21"/>
  <c r="G51" i="21"/>
  <c r="F51" i="21"/>
  <c r="E51" i="21"/>
  <c r="D51" i="21"/>
  <c r="C51" i="21"/>
  <c r="B51" i="21"/>
  <c r="K50" i="21"/>
  <c r="J50" i="21"/>
  <c r="I50" i="21"/>
  <c r="H50" i="21"/>
  <c r="G50" i="21"/>
  <c r="F50" i="21"/>
  <c r="E50" i="21"/>
  <c r="D50" i="21"/>
  <c r="C50" i="21"/>
  <c r="B50" i="21"/>
  <c r="X49" i="21"/>
  <c r="W49" i="21"/>
  <c r="V49" i="21"/>
  <c r="U49" i="21"/>
  <c r="T49" i="21"/>
  <c r="S49" i="21"/>
  <c r="R49" i="21"/>
  <c r="Q49" i="21"/>
  <c r="P49" i="21"/>
  <c r="K49" i="21"/>
  <c r="J49" i="21"/>
  <c r="I49" i="21"/>
  <c r="H49" i="21"/>
  <c r="G49" i="21"/>
  <c r="F49" i="21"/>
  <c r="E49" i="21"/>
  <c r="D49" i="21"/>
  <c r="C49" i="21"/>
  <c r="B49" i="21"/>
  <c r="X48" i="21"/>
  <c r="W48" i="21"/>
  <c r="V48" i="21"/>
  <c r="U48" i="21"/>
  <c r="T48" i="21"/>
  <c r="S48" i="21"/>
  <c r="R48" i="21"/>
  <c r="Q48" i="21"/>
  <c r="P48" i="21"/>
  <c r="O48" i="21"/>
  <c r="L48" i="21"/>
  <c r="K47" i="21"/>
  <c r="J47" i="21"/>
  <c r="I47" i="21"/>
  <c r="H47" i="21"/>
  <c r="G47" i="21"/>
  <c r="F47" i="21"/>
  <c r="E47" i="21"/>
  <c r="D47" i="21"/>
  <c r="C47" i="21"/>
  <c r="B47" i="21"/>
  <c r="X46" i="21"/>
  <c r="W46" i="21"/>
  <c r="V46" i="21"/>
  <c r="U46" i="21"/>
  <c r="T46" i="21"/>
  <c r="S46" i="21"/>
  <c r="R46" i="21"/>
  <c r="Q46" i="21"/>
  <c r="P46" i="21"/>
  <c r="X45" i="21"/>
  <c r="W45" i="21"/>
  <c r="V45" i="21"/>
  <c r="U45" i="21"/>
  <c r="T45" i="21"/>
  <c r="S45" i="21"/>
  <c r="R45" i="21"/>
  <c r="Q45" i="21"/>
  <c r="P45" i="21"/>
  <c r="O45" i="21"/>
  <c r="L45" i="21"/>
  <c r="X44" i="21"/>
  <c r="W44" i="21"/>
  <c r="V44" i="21"/>
  <c r="U44" i="21"/>
  <c r="T44" i="21"/>
  <c r="S44" i="21"/>
  <c r="R44" i="21"/>
  <c r="Q44" i="21"/>
  <c r="P44" i="21"/>
  <c r="O44" i="21"/>
  <c r="K43" i="21"/>
  <c r="J43" i="21"/>
  <c r="I43" i="21"/>
  <c r="H43" i="21"/>
  <c r="G43" i="21"/>
  <c r="F43" i="21"/>
  <c r="E43" i="21"/>
  <c r="D43" i="21"/>
  <c r="C43" i="21"/>
  <c r="B43" i="21"/>
  <c r="K39" i="21"/>
  <c r="J39" i="21"/>
  <c r="I39" i="21"/>
  <c r="H39" i="21"/>
  <c r="G39" i="21"/>
  <c r="F39" i="21"/>
  <c r="E39" i="21"/>
  <c r="D39" i="21"/>
  <c r="C39" i="21"/>
  <c r="B39" i="21"/>
  <c r="K29" i="21"/>
  <c r="J29" i="21"/>
  <c r="I29" i="21"/>
  <c r="H29" i="21"/>
  <c r="G29" i="21"/>
  <c r="F29" i="21"/>
  <c r="E29" i="21"/>
  <c r="D29" i="21"/>
  <c r="C29" i="21"/>
  <c r="B29" i="21"/>
  <c r="K28" i="21"/>
  <c r="J28" i="21"/>
  <c r="I28" i="21"/>
  <c r="H28" i="21"/>
  <c r="G28" i="21"/>
  <c r="F28" i="21"/>
  <c r="E28" i="21"/>
  <c r="D28" i="21"/>
  <c r="C28" i="21"/>
  <c r="B28" i="21"/>
  <c r="K27" i="21"/>
  <c r="J27" i="21"/>
  <c r="I27" i="21"/>
  <c r="H27" i="21"/>
  <c r="G27" i="21"/>
  <c r="F27" i="21"/>
  <c r="E27" i="21"/>
  <c r="D27" i="21"/>
  <c r="C27" i="21"/>
  <c r="B27" i="21"/>
  <c r="K25" i="21"/>
  <c r="J25" i="21"/>
  <c r="I25" i="21"/>
  <c r="H25" i="21"/>
  <c r="G25" i="21"/>
  <c r="F25" i="21"/>
  <c r="E25" i="21"/>
  <c r="D25" i="21"/>
  <c r="C25" i="21"/>
  <c r="B25" i="21"/>
  <c r="K21" i="21"/>
  <c r="J21" i="21"/>
  <c r="I21" i="21"/>
  <c r="H21" i="21"/>
  <c r="G21" i="21"/>
  <c r="F21" i="21"/>
  <c r="E21" i="21"/>
  <c r="B21" i="21"/>
  <c r="K17" i="21"/>
  <c r="J17" i="21"/>
  <c r="I17" i="21"/>
  <c r="H17" i="21"/>
  <c r="G17" i="21"/>
  <c r="F17" i="21"/>
  <c r="E17" i="21"/>
  <c r="D17" i="21"/>
  <c r="B17" i="21"/>
  <c r="K7" i="21"/>
  <c r="J7" i="21"/>
  <c r="I7" i="21"/>
  <c r="H7" i="21"/>
  <c r="G7" i="21"/>
  <c r="F7" i="21"/>
  <c r="E7" i="21"/>
  <c r="D7" i="21"/>
  <c r="C7" i="21"/>
  <c r="K107" i="20"/>
  <c r="J107" i="20"/>
  <c r="I107" i="20"/>
  <c r="H107" i="20"/>
  <c r="G107" i="20"/>
  <c r="F107" i="20"/>
  <c r="E107" i="20"/>
  <c r="D107" i="20"/>
  <c r="C107" i="20"/>
  <c r="B107" i="20"/>
  <c r="K106" i="20"/>
  <c r="J106" i="20"/>
  <c r="I106" i="20"/>
  <c r="H106" i="20"/>
  <c r="G106" i="20"/>
  <c r="F106" i="20"/>
  <c r="E106" i="20"/>
  <c r="D106" i="20"/>
  <c r="C106" i="20"/>
  <c r="B106" i="20"/>
  <c r="A106" i="20"/>
  <c r="K105" i="20"/>
  <c r="J105" i="20"/>
  <c r="I105" i="20"/>
  <c r="H105" i="20"/>
  <c r="G105" i="20"/>
  <c r="F105" i="20"/>
  <c r="E105" i="20"/>
  <c r="D105" i="20"/>
  <c r="C105" i="20"/>
  <c r="B105" i="20"/>
  <c r="A105" i="20"/>
  <c r="K103" i="20"/>
  <c r="J103" i="20"/>
  <c r="I103" i="20"/>
  <c r="H103" i="20"/>
  <c r="G103" i="20"/>
  <c r="F103" i="20"/>
  <c r="E103" i="20"/>
  <c r="D103" i="20"/>
  <c r="C103" i="20"/>
  <c r="B103" i="20"/>
  <c r="K102" i="20"/>
  <c r="J102" i="20"/>
  <c r="I102" i="20"/>
  <c r="H102" i="20"/>
  <c r="G102" i="20"/>
  <c r="F102" i="20"/>
  <c r="E102" i="20"/>
  <c r="D102" i="20"/>
  <c r="C102" i="20"/>
  <c r="B102" i="20"/>
  <c r="K101" i="20"/>
  <c r="J101" i="20"/>
  <c r="I101" i="20"/>
  <c r="H101" i="20"/>
  <c r="G101" i="20"/>
  <c r="F101" i="20"/>
  <c r="E101" i="20"/>
  <c r="D101" i="20"/>
  <c r="C101" i="20"/>
  <c r="B101" i="20"/>
  <c r="K99" i="20"/>
  <c r="J99" i="20"/>
  <c r="I99" i="20"/>
  <c r="H99" i="20"/>
  <c r="G99" i="20"/>
  <c r="F99" i="20"/>
  <c r="E99" i="20"/>
  <c r="D99" i="20"/>
  <c r="C99" i="20"/>
  <c r="B99" i="20"/>
  <c r="K96" i="20"/>
  <c r="J96" i="20"/>
  <c r="I96" i="20"/>
  <c r="H96" i="20"/>
  <c r="G96" i="20"/>
  <c r="F96" i="20"/>
  <c r="E96" i="20"/>
  <c r="D96" i="20"/>
  <c r="C96" i="20"/>
  <c r="M92" i="20"/>
  <c r="K92" i="20"/>
  <c r="J92" i="20"/>
  <c r="I92" i="20"/>
  <c r="H92" i="20"/>
  <c r="G92" i="20"/>
  <c r="F92" i="20"/>
  <c r="E92" i="20"/>
  <c r="D92" i="20"/>
  <c r="C92" i="20"/>
  <c r="M91" i="20"/>
  <c r="K91" i="20"/>
  <c r="J91" i="20"/>
  <c r="I91" i="20"/>
  <c r="H91" i="20"/>
  <c r="G91" i="20"/>
  <c r="F91" i="20"/>
  <c r="E91" i="20"/>
  <c r="D91" i="20"/>
  <c r="C91" i="20"/>
  <c r="B91" i="20"/>
  <c r="K89" i="20"/>
  <c r="J89" i="20"/>
  <c r="I89" i="20"/>
  <c r="H89" i="20"/>
  <c r="G89" i="20"/>
  <c r="F89" i="20"/>
  <c r="E89" i="20"/>
  <c r="D89" i="20"/>
  <c r="C89" i="20"/>
  <c r="K87" i="20"/>
  <c r="J87" i="20"/>
  <c r="I87" i="20"/>
  <c r="H87" i="20"/>
  <c r="G87" i="20"/>
  <c r="F87" i="20"/>
  <c r="E87" i="20"/>
  <c r="D87" i="20"/>
  <c r="C87" i="20"/>
  <c r="K86" i="20"/>
  <c r="J86" i="20"/>
  <c r="I86" i="20"/>
  <c r="H86" i="20"/>
  <c r="G86" i="20"/>
  <c r="F86" i="20"/>
  <c r="E86" i="20"/>
  <c r="D86" i="20"/>
  <c r="C86" i="20"/>
  <c r="K85" i="20"/>
  <c r="J85" i="20"/>
  <c r="I85" i="20"/>
  <c r="H85" i="20"/>
  <c r="G85" i="20"/>
  <c r="F85" i="20"/>
  <c r="E85" i="20"/>
  <c r="D85" i="20"/>
  <c r="C85" i="20"/>
  <c r="B85" i="20"/>
  <c r="A85" i="20"/>
  <c r="K83" i="20"/>
  <c r="J83" i="20"/>
  <c r="I83" i="20"/>
  <c r="H83" i="20"/>
  <c r="G83" i="20"/>
  <c r="F83" i="20"/>
  <c r="E83" i="20"/>
  <c r="D83" i="20"/>
  <c r="C83" i="20"/>
  <c r="K82" i="20"/>
  <c r="J82" i="20"/>
  <c r="I82" i="20"/>
  <c r="H82" i="20"/>
  <c r="G82" i="20"/>
  <c r="F82" i="20"/>
  <c r="E82" i="20"/>
  <c r="D82" i="20"/>
  <c r="C82" i="20"/>
  <c r="K81" i="20"/>
  <c r="J81" i="20"/>
  <c r="I81" i="20"/>
  <c r="H81" i="20"/>
  <c r="G81" i="20"/>
  <c r="F81" i="20"/>
  <c r="E81" i="20"/>
  <c r="D81" i="20"/>
  <c r="C81" i="20"/>
  <c r="B81" i="20"/>
  <c r="A81" i="20"/>
  <c r="K79" i="20"/>
  <c r="J79" i="20"/>
  <c r="I79" i="20"/>
  <c r="H79" i="20"/>
  <c r="G79" i="20"/>
  <c r="F79" i="20"/>
  <c r="E79" i="20"/>
  <c r="D79" i="20"/>
  <c r="C79" i="20"/>
  <c r="K78" i="20"/>
  <c r="J78" i="20"/>
  <c r="I78" i="20"/>
  <c r="H78" i="20"/>
  <c r="G78" i="20"/>
  <c r="F78" i="20"/>
  <c r="E78" i="20"/>
  <c r="D78" i="20"/>
  <c r="C78" i="20"/>
  <c r="B78" i="20"/>
  <c r="A78" i="20"/>
  <c r="K76" i="20"/>
  <c r="J76" i="20"/>
  <c r="I76" i="20"/>
  <c r="H76" i="20"/>
  <c r="G76" i="20"/>
  <c r="F76" i="20"/>
  <c r="E76" i="20"/>
  <c r="D76" i="20"/>
  <c r="C76" i="20"/>
  <c r="K75" i="20"/>
  <c r="J75" i="20"/>
  <c r="I75" i="20"/>
  <c r="H75" i="20"/>
  <c r="G75" i="20"/>
  <c r="F75" i="20"/>
  <c r="E75" i="20"/>
  <c r="D75" i="20"/>
  <c r="C75" i="20"/>
  <c r="B75" i="20"/>
  <c r="A75" i="20"/>
  <c r="K73" i="20"/>
  <c r="J73" i="20"/>
  <c r="I73" i="20"/>
  <c r="H73" i="20"/>
  <c r="G73" i="20"/>
  <c r="F73" i="20"/>
  <c r="E73" i="20"/>
  <c r="D73" i="20"/>
  <c r="C73" i="20"/>
  <c r="K72" i="20"/>
  <c r="J72" i="20"/>
  <c r="I72" i="20"/>
  <c r="H72" i="20"/>
  <c r="G72" i="20"/>
  <c r="F72" i="20"/>
  <c r="E72" i="20"/>
  <c r="D72" i="20"/>
  <c r="C72" i="20"/>
  <c r="B72" i="20"/>
  <c r="A72" i="20"/>
  <c r="K70" i="20"/>
  <c r="J70" i="20"/>
  <c r="I70" i="20"/>
  <c r="H70" i="20"/>
  <c r="G70" i="20"/>
  <c r="F70" i="20"/>
  <c r="E70" i="20"/>
  <c r="D70" i="20"/>
  <c r="C70" i="20"/>
  <c r="K69" i="20"/>
  <c r="J69" i="20"/>
  <c r="I69" i="20"/>
  <c r="H69" i="20"/>
  <c r="G69" i="20"/>
  <c r="F69" i="20"/>
  <c r="E69" i="20"/>
  <c r="D69" i="20"/>
  <c r="C69" i="20"/>
  <c r="B69" i="20"/>
  <c r="A69" i="20"/>
  <c r="X67" i="20"/>
  <c r="W67" i="20"/>
  <c r="V67" i="20"/>
  <c r="U67" i="20"/>
  <c r="T67" i="20"/>
  <c r="S67" i="20"/>
  <c r="R67" i="20"/>
  <c r="Q67" i="20"/>
  <c r="X66" i="20"/>
  <c r="W66" i="20"/>
  <c r="V66" i="20"/>
  <c r="U66" i="20"/>
  <c r="T66" i="20"/>
  <c r="S66" i="20"/>
  <c r="R66" i="20"/>
  <c r="Q66" i="20"/>
  <c r="P66" i="20"/>
  <c r="O66" i="20"/>
  <c r="K64" i="20"/>
  <c r="J64" i="20"/>
  <c r="I64" i="20"/>
  <c r="H64" i="20"/>
  <c r="G64" i="20"/>
  <c r="F64" i="20"/>
  <c r="E64" i="20"/>
  <c r="D64" i="20"/>
  <c r="C64" i="20"/>
  <c r="K62" i="20"/>
  <c r="J62" i="20"/>
  <c r="I62" i="20"/>
  <c r="H62" i="20"/>
  <c r="G62" i="20"/>
  <c r="F62" i="20"/>
  <c r="E62" i="20"/>
  <c r="D62" i="20"/>
  <c r="C62" i="20"/>
  <c r="K60" i="20"/>
  <c r="J60" i="20"/>
  <c r="I60" i="20"/>
  <c r="H60" i="20"/>
  <c r="G60" i="20"/>
  <c r="F60" i="20"/>
  <c r="E60" i="20"/>
  <c r="D60" i="20"/>
  <c r="C60" i="20"/>
  <c r="B60" i="20"/>
  <c r="K59" i="20"/>
  <c r="J59" i="20"/>
  <c r="I59" i="20"/>
  <c r="H59" i="20"/>
  <c r="G59" i="20"/>
  <c r="F59" i="20"/>
  <c r="E59" i="20"/>
  <c r="D59" i="20"/>
  <c r="C59" i="20"/>
  <c r="B59" i="20"/>
  <c r="K58" i="20"/>
  <c r="J58" i="20"/>
  <c r="I58" i="20"/>
  <c r="H58" i="20"/>
  <c r="G58" i="20"/>
  <c r="F58" i="20"/>
  <c r="E58" i="20"/>
  <c r="D58" i="20"/>
  <c r="C58" i="20"/>
  <c r="B58" i="20"/>
  <c r="K57" i="20"/>
  <c r="J57" i="20"/>
  <c r="I57" i="20"/>
  <c r="H57" i="20"/>
  <c r="G57" i="20"/>
  <c r="F57" i="20"/>
  <c r="E57" i="20"/>
  <c r="D57" i="20"/>
  <c r="C57" i="20"/>
  <c r="B57" i="20"/>
  <c r="K56" i="20"/>
  <c r="J56" i="20"/>
  <c r="I56" i="20"/>
  <c r="H56" i="20"/>
  <c r="G56" i="20"/>
  <c r="F56" i="20"/>
  <c r="E56" i="20"/>
  <c r="D56" i="20"/>
  <c r="C56" i="20"/>
  <c r="B56" i="20"/>
  <c r="K54" i="20"/>
  <c r="J54" i="20"/>
  <c r="I54" i="20"/>
  <c r="H54" i="20"/>
  <c r="G54" i="20"/>
  <c r="F54" i="20"/>
  <c r="E54" i="20"/>
  <c r="D54" i="20"/>
  <c r="C54" i="20"/>
  <c r="B54" i="20"/>
  <c r="X52" i="20"/>
  <c r="W52" i="20"/>
  <c r="V52" i="20"/>
  <c r="U52" i="20"/>
  <c r="T52" i="20"/>
  <c r="S52" i="20"/>
  <c r="R52" i="20"/>
  <c r="Q52" i="20"/>
  <c r="P52" i="20"/>
  <c r="X51" i="20"/>
  <c r="W51" i="20"/>
  <c r="V51" i="20"/>
  <c r="U51" i="20"/>
  <c r="T51" i="20"/>
  <c r="S51" i="20"/>
  <c r="R51" i="20"/>
  <c r="Q51" i="20"/>
  <c r="P51" i="20"/>
  <c r="O51" i="20"/>
  <c r="L51" i="20"/>
  <c r="K51" i="20"/>
  <c r="J51" i="20"/>
  <c r="I51" i="20"/>
  <c r="H51" i="20"/>
  <c r="G51" i="20"/>
  <c r="F51" i="20"/>
  <c r="E51" i="20"/>
  <c r="D51" i="20"/>
  <c r="C51" i="20"/>
  <c r="B51" i="20"/>
  <c r="K50" i="20"/>
  <c r="J50" i="20"/>
  <c r="I50" i="20"/>
  <c r="H50" i="20"/>
  <c r="G50" i="20"/>
  <c r="F50" i="20"/>
  <c r="E50" i="20"/>
  <c r="D50" i="20"/>
  <c r="C50" i="20"/>
  <c r="B50" i="20"/>
  <c r="X49" i="20"/>
  <c r="W49" i="20"/>
  <c r="V49" i="20"/>
  <c r="U49" i="20"/>
  <c r="T49" i="20"/>
  <c r="S49" i="20"/>
  <c r="R49" i="20"/>
  <c r="Q49" i="20"/>
  <c r="P49" i="20"/>
  <c r="K49" i="20"/>
  <c r="J49" i="20"/>
  <c r="I49" i="20"/>
  <c r="H49" i="20"/>
  <c r="G49" i="20"/>
  <c r="F49" i="20"/>
  <c r="E49" i="20"/>
  <c r="D49" i="20"/>
  <c r="C49" i="20"/>
  <c r="B49" i="20"/>
  <c r="X48" i="20"/>
  <c r="W48" i="20"/>
  <c r="V48" i="20"/>
  <c r="U48" i="20"/>
  <c r="T48" i="20"/>
  <c r="S48" i="20"/>
  <c r="R48" i="20"/>
  <c r="Q48" i="20"/>
  <c r="P48" i="20"/>
  <c r="O48" i="20"/>
  <c r="L48" i="20"/>
  <c r="K47" i="20"/>
  <c r="J47" i="20"/>
  <c r="I47" i="20"/>
  <c r="H47" i="20"/>
  <c r="G47" i="20"/>
  <c r="F47" i="20"/>
  <c r="E47" i="20"/>
  <c r="D47" i="20"/>
  <c r="C47" i="20"/>
  <c r="B47" i="20"/>
  <c r="X46" i="20"/>
  <c r="W46" i="20"/>
  <c r="V46" i="20"/>
  <c r="U46" i="20"/>
  <c r="T46" i="20"/>
  <c r="S46" i="20"/>
  <c r="R46" i="20"/>
  <c r="Q46" i="20"/>
  <c r="P46" i="20"/>
  <c r="X45" i="20"/>
  <c r="W45" i="20"/>
  <c r="V45" i="20"/>
  <c r="U45" i="20"/>
  <c r="T45" i="20"/>
  <c r="S45" i="20"/>
  <c r="R45" i="20"/>
  <c r="Q45" i="20"/>
  <c r="P45" i="20"/>
  <c r="O45" i="20"/>
  <c r="L45" i="20"/>
  <c r="X44" i="20"/>
  <c r="W44" i="20"/>
  <c r="V44" i="20"/>
  <c r="U44" i="20"/>
  <c r="T44" i="20"/>
  <c r="S44" i="20"/>
  <c r="R44" i="20"/>
  <c r="Q44" i="20"/>
  <c r="P44" i="20"/>
  <c r="O44" i="20"/>
  <c r="K43" i="20"/>
  <c r="J43" i="20"/>
  <c r="I43" i="20"/>
  <c r="H43" i="20"/>
  <c r="G43" i="20"/>
  <c r="F43" i="20"/>
  <c r="E43" i="20"/>
  <c r="D43" i="20"/>
  <c r="C43" i="20"/>
  <c r="B43" i="20"/>
  <c r="K39" i="20"/>
  <c r="J39" i="20"/>
  <c r="I39" i="20"/>
  <c r="H39" i="20"/>
  <c r="G39" i="20"/>
  <c r="F39" i="20"/>
  <c r="E39" i="20"/>
  <c r="D39" i="20"/>
  <c r="C39" i="20"/>
  <c r="B39" i="20"/>
  <c r="K29" i="20"/>
  <c r="J29" i="20"/>
  <c r="I29" i="20"/>
  <c r="H29" i="20"/>
  <c r="G29" i="20"/>
  <c r="F29" i="20"/>
  <c r="E29" i="20"/>
  <c r="D29" i="20"/>
  <c r="C29" i="20"/>
  <c r="B29" i="20"/>
  <c r="K28" i="20"/>
  <c r="J28" i="20"/>
  <c r="I28" i="20"/>
  <c r="H28" i="20"/>
  <c r="G28" i="20"/>
  <c r="F28" i="20"/>
  <c r="E28" i="20"/>
  <c r="D28" i="20"/>
  <c r="C28" i="20"/>
  <c r="B28" i="20"/>
  <c r="K27" i="20"/>
  <c r="J27" i="20"/>
  <c r="I27" i="20"/>
  <c r="H27" i="20"/>
  <c r="G27" i="20"/>
  <c r="F27" i="20"/>
  <c r="E27" i="20"/>
  <c r="D27" i="20"/>
  <c r="C27" i="20"/>
  <c r="B27" i="20"/>
  <c r="K25" i="20"/>
  <c r="J25" i="20"/>
  <c r="I25" i="20"/>
  <c r="H25" i="20"/>
  <c r="G25" i="20"/>
  <c r="F25" i="20"/>
  <c r="E25" i="20"/>
  <c r="D25" i="20"/>
  <c r="C25" i="20"/>
  <c r="B25" i="20"/>
  <c r="B23" i="20"/>
  <c r="K21" i="20"/>
  <c r="J21" i="20"/>
  <c r="I21" i="20"/>
  <c r="H21" i="20"/>
  <c r="G21" i="20"/>
  <c r="F21" i="20"/>
  <c r="E21" i="20"/>
  <c r="D21" i="20"/>
  <c r="C21" i="20"/>
  <c r="B21" i="20"/>
  <c r="B19" i="20"/>
  <c r="K17" i="20"/>
  <c r="J17" i="20"/>
  <c r="I17" i="20"/>
  <c r="H17" i="20"/>
  <c r="G17" i="20"/>
  <c r="F17" i="20"/>
  <c r="E17" i="20"/>
  <c r="D17" i="20"/>
  <c r="C17" i="20"/>
  <c r="B17" i="20"/>
  <c r="K7" i="20"/>
  <c r="J7" i="20"/>
  <c r="I7" i="20"/>
  <c r="H7" i="20"/>
  <c r="G7" i="20"/>
  <c r="F7" i="20"/>
  <c r="E7" i="20"/>
  <c r="D7" i="20"/>
  <c r="C7" i="20"/>
  <c r="K107" i="18"/>
  <c r="J107" i="18"/>
  <c r="I107" i="18"/>
  <c r="H107" i="18"/>
  <c r="G107" i="18"/>
  <c r="F107" i="18"/>
  <c r="E107" i="18"/>
  <c r="D107" i="18"/>
  <c r="C107" i="18"/>
  <c r="B107" i="18"/>
  <c r="K106" i="18"/>
  <c r="J106" i="18"/>
  <c r="I106" i="18"/>
  <c r="H106" i="18"/>
  <c r="G106" i="18"/>
  <c r="F106" i="18"/>
  <c r="E106" i="18"/>
  <c r="D106" i="18"/>
  <c r="C106" i="18"/>
  <c r="B106" i="18"/>
  <c r="A106" i="18"/>
  <c r="K105" i="18"/>
  <c r="J105" i="18"/>
  <c r="I105" i="18"/>
  <c r="H105" i="18"/>
  <c r="G105" i="18"/>
  <c r="F105" i="18"/>
  <c r="E105" i="18"/>
  <c r="D105" i="18"/>
  <c r="C105" i="18"/>
  <c r="B105" i="18"/>
  <c r="A105" i="18"/>
  <c r="K103" i="18"/>
  <c r="J103" i="18"/>
  <c r="I103" i="18"/>
  <c r="H103" i="18"/>
  <c r="G103" i="18"/>
  <c r="F103" i="18"/>
  <c r="E103" i="18"/>
  <c r="D103" i="18"/>
  <c r="C103" i="18"/>
  <c r="B103" i="18"/>
  <c r="K102" i="18"/>
  <c r="J102" i="18"/>
  <c r="I102" i="18"/>
  <c r="H102" i="18"/>
  <c r="G102" i="18"/>
  <c r="F102" i="18"/>
  <c r="E102" i="18"/>
  <c r="D102" i="18"/>
  <c r="C102" i="18"/>
  <c r="B102" i="18"/>
  <c r="K101" i="18"/>
  <c r="J101" i="18"/>
  <c r="I101" i="18"/>
  <c r="H101" i="18"/>
  <c r="G101" i="18"/>
  <c r="F101" i="18"/>
  <c r="E101" i="18"/>
  <c r="D101" i="18"/>
  <c r="C101" i="18"/>
  <c r="B101" i="18"/>
  <c r="K99" i="18"/>
  <c r="J99" i="18"/>
  <c r="I99" i="18"/>
  <c r="H99" i="18"/>
  <c r="G99" i="18"/>
  <c r="F99" i="18"/>
  <c r="E99" i="18"/>
  <c r="D99" i="18"/>
  <c r="C99" i="18"/>
  <c r="B99" i="18"/>
  <c r="K96" i="18"/>
  <c r="J96" i="18"/>
  <c r="I96" i="18"/>
  <c r="H96" i="18"/>
  <c r="G96" i="18"/>
  <c r="F96" i="18"/>
  <c r="E96" i="18"/>
  <c r="D96" i="18"/>
  <c r="C96" i="18"/>
  <c r="M92" i="18"/>
  <c r="K92" i="18"/>
  <c r="J92" i="18"/>
  <c r="I92" i="18"/>
  <c r="H92" i="18"/>
  <c r="G92" i="18"/>
  <c r="F92" i="18"/>
  <c r="E92" i="18"/>
  <c r="D92" i="18"/>
  <c r="C92" i="18"/>
  <c r="M91" i="18"/>
  <c r="K91" i="18"/>
  <c r="J91" i="18"/>
  <c r="I91" i="18"/>
  <c r="H91" i="18"/>
  <c r="G91" i="18"/>
  <c r="F91" i="18"/>
  <c r="E91" i="18"/>
  <c r="D91" i="18"/>
  <c r="C91" i="18"/>
  <c r="B91" i="18"/>
  <c r="K89" i="18"/>
  <c r="J89" i="18"/>
  <c r="I89" i="18"/>
  <c r="H89" i="18"/>
  <c r="G89" i="18"/>
  <c r="F89" i="18"/>
  <c r="E89" i="18"/>
  <c r="D89" i="18"/>
  <c r="C89" i="18"/>
  <c r="K87" i="18"/>
  <c r="J87" i="18"/>
  <c r="I87" i="18"/>
  <c r="H87" i="18"/>
  <c r="G87" i="18"/>
  <c r="F87" i="18"/>
  <c r="E87" i="18"/>
  <c r="D87" i="18"/>
  <c r="C87" i="18"/>
  <c r="K86" i="18"/>
  <c r="J86" i="18"/>
  <c r="I86" i="18"/>
  <c r="H86" i="18"/>
  <c r="G86" i="18"/>
  <c r="F86" i="18"/>
  <c r="E86" i="18"/>
  <c r="D86" i="18"/>
  <c r="C86" i="18"/>
  <c r="K85" i="18"/>
  <c r="J85" i="18"/>
  <c r="I85" i="18"/>
  <c r="H85" i="18"/>
  <c r="G85" i="18"/>
  <c r="F85" i="18"/>
  <c r="E85" i="18"/>
  <c r="D85" i="18"/>
  <c r="C85" i="18"/>
  <c r="B85" i="18"/>
  <c r="A85" i="18"/>
  <c r="K83" i="18"/>
  <c r="J83" i="18"/>
  <c r="I83" i="18"/>
  <c r="H83" i="18"/>
  <c r="G83" i="18"/>
  <c r="F83" i="18"/>
  <c r="E83" i="18"/>
  <c r="D83" i="18"/>
  <c r="C83" i="18"/>
  <c r="K82" i="18"/>
  <c r="J82" i="18"/>
  <c r="I82" i="18"/>
  <c r="H82" i="18"/>
  <c r="G82" i="18"/>
  <c r="F82" i="18"/>
  <c r="E82" i="18"/>
  <c r="D82" i="18"/>
  <c r="C82" i="18"/>
  <c r="K81" i="18"/>
  <c r="J81" i="18"/>
  <c r="I81" i="18"/>
  <c r="H81" i="18"/>
  <c r="G81" i="18"/>
  <c r="F81" i="18"/>
  <c r="E81" i="18"/>
  <c r="D81" i="18"/>
  <c r="C81" i="18"/>
  <c r="B81" i="18"/>
  <c r="A81" i="18"/>
  <c r="K79" i="18"/>
  <c r="J79" i="18"/>
  <c r="I79" i="18"/>
  <c r="H79" i="18"/>
  <c r="G79" i="18"/>
  <c r="F79" i="18"/>
  <c r="E79" i="18"/>
  <c r="D79" i="18"/>
  <c r="C79" i="18"/>
  <c r="K78" i="18"/>
  <c r="J78" i="18"/>
  <c r="I78" i="18"/>
  <c r="H78" i="18"/>
  <c r="G78" i="18"/>
  <c r="F78" i="18"/>
  <c r="E78" i="18"/>
  <c r="D78" i="18"/>
  <c r="C78" i="18"/>
  <c r="B78" i="18"/>
  <c r="A78" i="18"/>
  <c r="K76" i="18"/>
  <c r="J76" i="18"/>
  <c r="I76" i="18"/>
  <c r="H76" i="18"/>
  <c r="G76" i="18"/>
  <c r="F76" i="18"/>
  <c r="E76" i="18"/>
  <c r="D76" i="18"/>
  <c r="C76" i="18"/>
  <c r="K75" i="18"/>
  <c r="J75" i="18"/>
  <c r="I75" i="18"/>
  <c r="H75" i="18"/>
  <c r="G75" i="18"/>
  <c r="F75" i="18"/>
  <c r="E75" i="18"/>
  <c r="D75" i="18"/>
  <c r="C75" i="18"/>
  <c r="B75" i="18"/>
  <c r="A75" i="18"/>
  <c r="K73" i="18"/>
  <c r="J73" i="18"/>
  <c r="I73" i="18"/>
  <c r="H73" i="18"/>
  <c r="G73" i="18"/>
  <c r="F73" i="18"/>
  <c r="E73" i="18"/>
  <c r="D73" i="18"/>
  <c r="C73" i="18"/>
  <c r="K72" i="18"/>
  <c r="J72" i="18"/>
  <c r="I72" i="18"/>
  <c r="H72" i="18"/>
  <c r="G72" i="18"/>
  <c r="F72" i="18"/>
  <c r="E72" i="18"/>
  <c r="D72" i="18"/>
  <c r="C72" i="18"/>
  <c r="B72" i="18"/>
  <c r="A72" i="18"/>
  <c r="K70" i="18"/>
  <c r="J70" i="18"/>
  <c r="I70" i="18"/>
  <c r="H70" i="18"/>
  <c r="G70" i="18"/>
  <c r="F70" i="18"/>
  <c r="E70" i="18"/>
  <c r="D70" i="18"/>
  <c r="C70" i="18"/>
  <c r="K69" i="18"/>
  <c r="J69" i="18"/>
  <c r="I69" i="18"/>
  <c r="H69" i="18"/>
  <c r="G69" i="18"/>
  <c r="F69" i="18"/>
  <c r="E69" i="18"/>
  <c r="D69" i="18"/>
  <c r="C69" i="18"/>
  <c r="B69" i="18"/>
  <c r="A69" i="18"/>
  <c r="K64" i="18"/>
  <c r="J64" i="18"/>
  <c r="I64" i="18"/>
  <c r="H64" i="18"/>
  <c r="G64" i="18"/>
  <c r="F64" i="18"/>
  <c r="E64" i="18"/>
  <c r="D64" i="18"/>
  <c r="C64" i="18"/>
  <c r="K62" i="18"/>
  <c r="J62" i="18"/>
  <c r="I62" i="18"/>
  <c r="H62" i="18"/>
  <c r="G62" i="18"/>
  <c r="F62" i="18"/>
  <c r="E62" i="18"/>
  <c r="D62" i="18"/>
  <c r="C62" i="18"/>
  <c r="K60" i="18"/>
  <c r="J60" i="18"/>
  <c r="I60" i="18"/>
  <c r="H60" i="18"/>
  <c r="G60" i="18"/>
  <c r="F60" i="18"/>
  <c r="E60" i="18"/>
  <c r="D60" i="18"/>
  <c r="C60" i="18"/>
  <c r="B60" i="18"/>
  <c r="K59" i="18"/>
  <c r="J59" i="18"/>
  <c r="I59" i="18"/>
  <c r="H59" i="18"/>
  <c r="G59" i="18"/>
  <c r="F59" i="18"/>
  <c r="E59" i="18"/>
  <c r="D59" i="18"/>
  <c r="C59" i="18"/>
  <c r="B59" i="18"/>
  <c r="K58" i="18"/>
  <c r="J58" i="18"/>
  <c r="I58" i="18"/>
  <c r="H58" i="18"/>
  <c r="G58" i="18"/>
  <c r="F58" i="18"/>
  <c r="E58" i="18"/>
  <c r="D58" i="18"/>
  <c r="C58" i="18"/>
  <c r="B58" i="18"/>
  <c r="X57" i="18"/>
  <c r="W57" i="18"/>
  <c r="V57" i="18"/>
  <c r="U57" i="18"/>
  <c r="T57" i="18"/>
  <c r="S57" i="18"/>
  <c r="R57" i="18"/>
  <c r="Q57" i="18"/>
  <c r="K57" i="18"/>
  <c r="J57" i="18"/>
  <c r="I57" i="18"/>
  <c r="H57" i="18"/>
  <c r="G57" i="18"/>
  <c r="F57" i="18"/>
  <c r="E57" i="18"/>
  <c r="D57" i="18"/>
  <c r="C57" i="18"/>
  <c r="B57" i="18"/>
  <c r="X56" i="18"/>
  <c r="W56" i="18"/>
  <c r="V56" i="18"/>
  <c r="U56" i="18"/>
  <c r="T56" i="18"/>
  <c r="S56" i="18"/>
  <c r="R56" i="18"/>
  <c r="Q56" i="18"/>
  <c r="P56" i="18"/>
  <c r="O56" i="18"/>
  <c r="K56" i="18"/>
  <c r="J56" i="18"/>
  <c r="I56" i="18"/>
  <c r="H56" i="18"/>
  <c r="G56" i="18"/>
  <c r="F56" i="18"/>
  <c r="E56" i="18"/>
  <c r="D56" i="18"/>
  <c r="C56" i="18"/>
  <c r="B56" i="18"/>
  <c r="K54" i="18"/>
  <c r="J54" i="18"/>
  <c r="I54" i="18"/>
  <c r="H54" i="18"/>
  <c r="G54" i="18"/>
  <c r="F54" i="18"/>
  <c r="E54" i="18"/>
  <c r="D54" i="18"/>
  <c r="C54" i="18"/>
  <c r="B54" i="18"/>
  <c r="Z52" i="18"/>
  <c r="X52" i="18"/>
  <c r="W52" i="18"/>
  <c r="V52" i="18"/>
  <c r="U52" i="18"/>
  <c r="T52" i="18"/>
  <c r="S52" i="18"/>
  <c r="R52" i="18"/>
  <c r="Q52" i="18"/>
  <c r="P52" i="18"/>
  <c r="X51" i="18"/>
  <c r="W51" i="18"/>
  <c r="V51" i="18"/>
  <c r="U51" i="18"/>
  <c r="T51" i="18"/>
  <c r="S51" i="18"/>
  <c r="R51" i="18"/>
  <c r="Q51" i="18"/>
  <c r="P51" i="18"/>
  <c r="O51" i="18"/>
  <c r="L51" i="18"/>
  <c r="K51" i="18"/>
  <c r="J51" i="18"/>
  <c r="I51" i="18"/>
  <c r="H51" i="18"/>
  <c r="G51" i="18"/>
  <c r="F51" i="18"/>
  <c r="E51" i="18"/>
  <c r="D51" i="18"/>
  <c r="C51" i="18"/>
  <c r="B51" i="18"/>
  <c r="K50" i="18"/>
  <c r="J50" i="18"/>
  <c r="I50" i="18"/>
  <c r="H50" i="18"/>
  <c r="G50" i="18"/>
  <c r="F50" i="18"/>
  <c r="E50" i="18"/>
  <c r="D50" i="18"/>
  <c r="C50" i="18"/>
  <c r="B50" i="18"/>
  <c r="X49" i="18"/>
  <c r="W49" i="18"/>
  <c r="V49" i="18"/>
  <c r="U49" i="18"/>
  <c r="T49" i="18"/>
  <c r="S49" i="18"/>
  <c r="R49" i="18"/>
  <c r="Q49" i="18"/>
  <c r="P49" i="18"/>
  <c r="K49" i="18"/>
  <c r="J49" i="18"/>
  <c r="I49" i="18"/>
  <c r="H49" i="18"/>
  <c r="G49" i="18"/>
  <c r="F49" i="18"/>
  <c r="E49" i="18"/>
  <c r="D49" i="18"/>
  <c r="C49" i="18"/>
  <c r="B49" i="18"/>
  <c r="X48" i="18"/>
  <c r="W48" i="18"/>
  <c r="V48" i="18"/>
  <c r="U48" i="18"/>
  <c r="T48" i="18"/>
  <c r="S48" i="18"/>
  <c r="R48" i="18"/>
  <c r="Q48" i="18"/>
  <c r="P48" i="18"/>
  <c r="O48" i="18"/>
  <c r="L48" i="18"/>
  <c r="K47" i="18"/>
  <c r="J47" i="18"/>
  <c r="I47" i="18"/>
  <c r="H47" i="18"/>
  <c r="G47" i="18"/>
  <c r="F47" i="18"/>
  <c r="E47" i="18"/>
  <c r="D47" i="18"/>
  <c r="C47" i="18"/>
  <c r="B47" i="18"/>
  <c r="X46" i="18"/>
  <c r="W46" i="18"/>
  <c r="V46" i="18"/>
  <c r="U46" i="18"/>
  <c r="T46" i="18"/>
  <c r="S46" i="18"/>
  <c r="R46" i="18"/>
  <c r="Q46" i="18"/>
  <c r="P46" i="18"/>
  <c r="X45" i="18"/>
  <c r="W45" i="18"/>
  <c r="V45" i="18"/>
  <c r="U45" i="18"/>
  <c r="T45" i="18"/>
  <c r="S45" i="18"/>
  <c r="R45" i="18"/>
  <c r="Q45" i="18"/>
  <c r="P45" i="18"/>
  <c r="O45" i="18"/>
  <c r="L45" i="18"/>
  <c r="X44" i="18"/>
  <c r="W44" i="18"/>
  <c r="V44" i="18"/>
  <c r="U44" i="18"/>
  <c r="T44" i="18"/>
  <c r="S44" i="18"/>
  <c r="R44" i="18"/>
  <c r="Q44" i="18"/>
  <c r="P44" i="18"/>
  <c r="O44" i="18"/>
  <c r="K43" i="18"/>
  <c r="J43" i="18"/>
  <c r="I43" i="18"/>
  <c r="H43" i="18"/>
  <c r="G43" i="18"/>
  <c r="F43" i="18"/>
  <c r="E43" i="18"/>
  <c r="D43" i="18"/>
  <c r="C43" i="18"/>
  <c r="B43" i="18"/>
  <c r="K39" i="18"/>
  <c r="J39" i="18"/>
  <c r="I39" i="18"/>
  <c r="H39" i="18"/>
  <c r="G39" i="18"/>
  <c r="F39" i="18"/>
  <c r="E39" i="18"/>
  <c r="D39" i="18"/>
  <c r="C39" i="18"/>
  <c r="B39" i="18"/>
  <c r="K29" i="18"/>
  <c r="J29" i="18"/>
  <c r="I29" i="18"/>
  <c r="H29" i="18"/>
  <c r="G29" i="18"/>
  <c r="F29" i="18"/>
  <c r="E29" i="18"/>
  <c r="D29" i="18"/>
  <c r="C29" i="18"/>
  <c r="B29" i="18"/>
  <c r="K28" i="18"/>
  <c r="J28" i="18"/>
  <c r="I28" i="18"/>
  <c r="H28" i="18"/>
  <c r="G28" i="18"/>
  <c r="F28" i="18"/>
  <c r="E28" i="18"/>
  <c r="D28" i="18"/>
  <c r="C28" i="18"/>
  <c r="B28" i="18"/>
  <c r="K27" i="18"/>
  <c r="J27" i="18"/>
  <c r="I27" i="18"/>
  <c r="H27" i="18"/>
  <c r="G27" i="18"/>
  <c r="F27" i="18"/>
  <c r="E27" i="18"/>
  <c r="D27" i="18"/>
  <c r="C27" i="18"/>
  <c r="B27" i="18"/>
  <c r="K25" i="18"/>
  <c r="J25" i="18"/>
  <c r="I25" i="18"/>
  <c r="H25" i="18"/>
  <c r="G25" i="18"/>
  <c r="F25" i="18"/>
  <c r="E25" i="18"/>
  <c r="D25" i="18"/>
  <c r="C25" i="18"/>
  <c r="B25" i="18"/>
  <c r="K21" i="18"/>
  <c r="J21" i="18"/>
  <c r="I21" i="18"/>
  <c r="H21" i="18"/>
  <c r="G21" i="18"/>
  <c r="F21" i="18"/>
  <c r="E21" i="18"/>
  <c r="D21" i="18"/>
  <c r="C21" i="18"/>
  <c r="B21" i="18"/>
  <c r="K17" i="18"/>
  <c r="J17" i="18"/>
  <c r="I17" i="18"/>
  <c r="H17" i="18"/>
  <c r="G17" i="18"/>
  <c r="F17" i="18"/>
  <c r="E17" i="18"/>
  <c r="D17" i="18"/>
  <c r="C17" i="18"/>
  <c r="B17" i="18"/>
  <c r="AJ6" i="18"/>
  <c r="AI6" i="18"/>
  <c r="AH6" i="18"/>
  <c r="AG6" i="18"/>
  <c r="AF6" i="18"/>
  <c r="AE6" i="18"/>
  <c r="AD6" i="18"/>
  <c r="AC6" i="18"/>
  <c r="AB6" i="18"/>
  <c r="AA6" i="18"/>
  <c r="AI5" i="18"/>
  <c r="AH5" i="18"/>
  <c r="AG5" i="18"/>
  <c r="AF5" i="18"/>
  <c r="AE5" i="18"/>
  <c r="AD5" i="18"/>
  <c r="AC5" i="18"/>
  <c r="AB5" i="18"/>
  <c r="AA5" i="18"/>
  <c r="AJ4" i="18"/>
  <c r="AI2" i="18"/>
  <c r="AH2" i="18"/>
  <c r="AG2" i="18"/>
  <c r="AF2" i="18"/>
  <c r="AE2" i="18"/>
  <c r="AD2" i="18"/>
  <c r="AC2" i="18"/>
  <c r="AB2" i="18"/>
  <c r="AA2" i="18"/>
  <c r="I71" i="3"/>
  <c r="E71" i="3"/>
  <c r="D71" i="3"/>
  <c r="K70" i="3"/>
  <c r="K71" i="3" s="1"/>
  <c r="J70" i="3"/>
  <c r="J71" i="3" s="1"/>
  <c r="I70" i="3"/>
  <c r="H70" i="3"/>
  <c r="H71" i="3" s="1"/>
  <c r="G70" i="3"/>
  <c r="G71" i="3" s="1"/>
  <c r="F70" i="3"/>
  <c r="F71" i="3" s="1"/>
  <c r="E70" i="3"/>
  <c r="D70" i="3"/>
  <c r="C70" i="3"/>
  <c r="C71" i="3" s="1"/>
  <c r="B70" i="3"/>
  <c r="B71" i="3" s="1"/>
  <c r="K58" i="3"/>
  <c r="J58" i="3"/>
  <c r="I58" i="3"/>
  <c r="H58" i="3"/>
  <c r="G58" i="3"/>
  <c r="F58" i="3"/>
  <c r="E58" i="3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J54" i="3"/>
  <c r="I54" i="3"/>
  <c r="H54" i="3"/>
  <c r="G54" i="3"/>
  <c r="F54" i="3"/>
  <c r="E54" i="3"/>
  <c r="D54" i="3"/>
  <c r="C54" i="3"/>
  <c r="B54" i="3"/>
  <c r="K52" i="3"/>
  <c r="J52" i="3"/>
  <c r="I52" i="3"/>
  <c r="H52" i="3"/>
  <c r="G52" i="3"/>
  <c r="F52" i="3"/>
  <c r="E52" i="3"/>
  <c r="D52" i="3"/>
  <c r="C52" i="3"/>
  <c r="B52" i="3"/>
  <c r="K49" i="3"/>
  <c r="J49" i="3"/>
  <c r="I49" i="3"/>
  <c r="H49" i="3"/>
  <c r="G49" i="3"/>
  <c r="F49" i="3"/>
  <c r="E49" i="3"/>
  <c r="D49" i="3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5" i="3"/>
  <c r="J45" i="3"/>
  <c r="I45" i="3"/>
  <c r="H45" i="3"/>
  <c r="G45" i="3"/>
  <c r="F45" i="3"/>
  <c r="E45" i="3"/>
  <c r="D45" i="3"/>
  <c r="C45" i="3"/>
  <c r="B45" i="3"/>
  <c r="K41" i="3"/>
  <c r="J41" i="3"/>
  <c r="I41" i="3"/>
  <c r="H41" i="3"/>
  <c r="G41" i="3"/>
  <c r="F41" i="3"/>
  <c r="E41" i="3"/>
  <c r="D41" i="3"/>
  <c r="C41" i="3"/>
  <c r="B41" i="3"/>
  <c r="K37" i="3"/>
  <c r="J37" i="3"/>
  <c r="I37" i="3"/>
  <c r="H37" i="3"/>
  <c r="G37" i="3"/>
  <c r="F37" i="3"/>
  <c r="E37" i="3"/>
  <c r="D37" i="3"/>
  <c r="C37" i="3"/>
  <c r="B37" i="3"/>
  <c r="K27" i="3"/>
  <c r="J27" i="3"/>
  <c r="I27" i="3"/>
  <c r="H27" i="3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3" i="3"/>
  <c r="J23" i="3"/>
  <c r="I23" i="3"/>
  <c r="H23" i="3"/>
  <c r="G23" i="3"/>
  <c r="F23" i="3"/>
  <c r="E23" i="3"/>
  <c r="D23" i="3"/>
  <c r="C23" i="3"/>
  <c r="B23" i="3"/>
  <c r="K19" i="3"/>
  <c r="J19" i="3"/>
  <c r="I19" i="3"/>
  <c r="H19" i="3"/>
  <c r="G19" i="3"/>
  <c r="F19" i="3"/>
  <c r="E19" i="3"/>
  <c r="D19" i="3"/>
  <c r="C19" i="3"/>
  <c r="B19" i="3"/>
  <c r="K15" i="3"/>
  <c r="J15" i="3"/>
  <c r="I15" i="3"/>
  <c r="H15" i="3"/>
  <c r="G15" i="3"/>
  <c r="F15" i="3"/>
  <c r="E15" i="3"/>
  <c r="D15" i="3"/>
  <c r="C15" i="3"/>
  <c r="B15" i="3"/>
  <c r="K59" i="11"/>
  <c r="J59" i="11"/>
  <c r="I59" i="11"/>
  <c r="H59" i="11"/>
  <c r="G59" i="11"/>
  <c r="F59" i="11"/>
  <c r="E59" i="11"/>
  <c r="D59" i="11"/>
  <c r="C59" i="11"/>
  <c r="B59" i="11"/>
  <c r="K58" i="11"/>
  <c r="J58" i="11"/>
  <c r="I58" i="11"/>
  <c r="H58" i="11"/>
  <c r="G58" i="11"/>
  <c r="F58" i="11"/>
  <c r="E58" i="11"/>
  <c r="D58" i="11"/>
  <c r="C58" i="11"/>
  <c r="B58" i="11"/>
  <c r="K57" i="11"/>
  <c r="J57" i="11"/>
  <c r="I57" i="11"/>
  <c r="H57" i="11"/>
  <c r="G57" i="11"/>
  <c r="F57" i="11"/>
  <c r="E57" i="11"/>
  <c r="D57" i="11"/>
  <c r="C57" i="11"/>
  <c r="B57" i="11"/>
  <c r="K56" i="11"/>
  <c r="J56" i="11"/>
  <c r="I56" i="11"/>
  <c r="H56" i="11"/>
  <c r="G56" i="11"/>
  <c r="F56" i="11"/>
  <c r="E56" i="11"/>
  <c r="D56" i="11"/>
  <c r="C56" i="11"/>
  <c r="B56" i="11"/>
  <c r="K55" i="11"/>
  <c r="J55" i="11"/>
  <c r="I55" i="11"/>
  <c r="H55" i="11"/>
  <c r="G55" i="11"/>
  <c r="F55" i="11"/>
  <c r="E55" i="11"/>
  <c r="D55" i="11"/>
  <c r="C55" i="11"/>
  <c r="B55" i="11"/>
  <c r="K53" i="11"/>
  <c r="J53" i="11"/>
  <c r="I53" i="11"/>
  <c r="H53" i="11"/>
  <c r="G53" i="11"/>
  <c r="F53" i="11"/>
  <c r="E53" i="11"/>
  <c r="D53" i="11"/>
  <c r="C53" i="11"/>
  <c r="B53" i="11"/>
  <c r="K50" i="11"/>
  <c r="J50" i="11"/>
  <c r="I50" i="11"/>
  <c r="H50" i="11"/>
  <c r="G50" i="11"/>
  <c r="F50" i="11"/>
  <c r="E50" i="11"/>
  <c r="D50" i="11"/>
  <c r="C50" i="11"/>
  <c r="B50" i="11"/>
  <c r="K49" i="11"/>
  <c r="J49" i="11"/>
  <c r="I49" i="11"/>
  <c r="H49" i="11"/>
  <c r="G49" i="11"/>
  <c r="F49" i="11"/>
  <c r="E49" i="11"/>
  <c r="D49" i="11"/>
  <c r="C49" i="11"/>
  <c r="B49" i="11"/>
  <c r="K48" i="11"/>
  <c r="J48" i="11"/>
  <c r="I48" i="11"/>
  <c r="H48" i="11"/>
  <c r="G48" i="11"/>
  <c r="F48" i="11"/>
  <c r="E48" i="11"/>
  <c r="D48" i="11"/>
  <c r="C48" i="11"/>
  <c r="B48" i="11"/>
  <c r="K46" i="11"/>
  <c r="J46" i="11"/>
  <c r="I46" i="11"/>
  <c r="H46" i="11"/>
  <c r="G46" i="11"/>
  <c r="F46" i="11"/>
  <c r="E46" i="11"/>
  <c r="D46" i="11"/>
  <c r="C46" i="11"/>
  <c r="B46" i="11"/>
  <c r="K42" i="11"/>
  <c r="J42" i="11"/>
  <c r="I42" i="11"/>
  <c r="H42" i="11"/>
  <c r="G42" i="11"/>
  <c r="F42" i="11"/>
  <c r="E42" i="11"/>
  <c r="D42" i="11"/>
  <c r="C42" i="11"/>
  <c r="B42" i="11"/>
  <c r="K38" i="11"/>
  <c r="J38" i="11"/>
  <c r="I38" i="11"/>
  <c r="H38" i="11"/>
  <c r="G38" i="11"/>
  <c r="F38" i="11"/>
  <c r="E38" i="11"/>
  <c r="D38" i="11"/>
  <c r="C38" i="11"/>
  <c r="B38" i="11"/>
  <c r="K28" i="11"/>
  <c r="J28" i="11"/>
  <c r="I28" i="11"/>
  <c r="H28" i="11"/>
  <c r="G28" i="11"/>
  <c r="F28" i="11"/>
  <c r="E28" i="11"/>
  <c r="D28" i="11"/>
  <c r="C28" i="11"/>
  <c r="B28" i="11"/>
  <c r="K27" i="11"/>
  <c r="J27" i="11"/>
  <c r="I27" i="11"/>
  <c r="H27" i="11"/>
  <c r="G27" i="11"/>
  <c r="F27" i="11"/>
  <c r="E27" i="11"/>
  <c r="D27" i="11"/>
  <c r="C27" i="11"/>
  <c r="B27" i="11"/>
  <c r="K26" i="11"/>
  <c r="J26" i="11"/>
  <c r="I26" i="11"/>
  <c r="H26" i="11"/>
  <c r="G26" i="11"/>
  <c r="F26" i="11"/>
  <c r="E26" i="11"/>
  <c r="D26" i="11"/>
  <c r="C26" i="11"/>
  <c r="B26" i="11"/>
  <c r="K24" i="11"/>
  <c r="J24" i="11"/>
  <c r="I24" i="11"/>
  <c r="H24" i="11"/>
  <c r="G24" i="11"/>
  <c r="F24" i="11"/>
  <c r="E24" i="11"/>
  <c r="D24" i="11"/>
  <c r="C24" i="11"/>
  <c r="B24" i="11"/>
  <c r="K20" i="11"/>
  <c r="J20" i="11"/>
  <c r="I20" i="11"/>
  <c r="H20" i="11"/>
  <c r="G20" i="11"/>
  <c r="F20" i="11"/>
  <c r="E20" i="11"/>
  <c r="D20" i="11"/>
  <c r="C20" i="11"/>
  <c r="B20" i="11"/>
  <c r="K16" i="11"/>
  <c r="J16" i="11"/>
  <c r="I16" i="11"/>
  <c r="H16" i="11"/>
  <c r="G16" i="11"/>
  <c r="F16" i="11"/>
  <c r="E16" i="11"/>
  <c r="D16" i="11"/>
  <c r="C16" i="11"/>
  <c r="B16" i="11"/>
  <c r="L59" i="2"/>
  <c r="K59" i="2"/>
  <c r="J59" i="2"/>
  <c r="I59" i="2"/>
  <c r="H59" i="2"/>
  <c r="G59" i="2"/>
  <c r="F59" i="2"/>
  <c r="E59" i="2"/>
  <c r="D59" i="2"/>
  <c r="C59" i="2"/>
  <c r="B59" i="2"/>
  <c r="L58" i="2"/>
  <c r="K58" i="2"/>
  <c r="J58" i="2"/>
  <c r="I58" i="2"/>
  <c r="H58" i="2"/>
  <c r="G58" i="2"/>
  <c r="F58" i="2"/>
  <c r="E58" i="2"/>
  <c r="D58" i="2"/>
  <c r="C58" i="2"/>
  <c r="B58" i="2"/>
  <c r="L57" i="2"/>
  <c r="K57" i="2"/>
  <c r="J57" i="2"/>
  <c r="I57" i="2"/>
  <c r="H57" i="2"/>
  <c r="G57" i="2"/>
  <c r="F57" i="2"/>
  <c r="E57" i="2"/>
  <c r="D57" i="2"/>
  <c r="C57" i="2"/>
  <c r="B57" i="2"/>
  <c r="L56" i="2"/>
  <c r="K56" i="2"/>
  <c r="J56" i="2"/>
  <c r="I56" i="2"/>
  <c r="H56" i="2"/>
  <c r="G56" i="2"/>
  <c r="F56" i="2"/>
  <c r="E56" i="2"/>
  <c r="D56" i="2"/>
  <c r="C56" i="2"/>
  <c r="B56" i="2"/>
  <c r="L55" i="2"/>
  <c r="K55" i="2"/>
  <c r="J55" i="2"/>
  <c r="I55" i="2"/>
  <c r="H55" i="2"/>
  <c r="G55" i="2"/>
  <c r="F55" i="2"/>
  <c r="E55" i="2"/>
  <c r="D55" i="2"/>
  <c r="C55" i="2"/>
  <c r="B55" i="2"/>
  <c r="L53" i="2"/>
  <c r="K53" i="2"/>
  <c r="J53" i="2"/>
  <c r="I53" i="2"/>
  <c r="H53" i="2"/>
  <c r="G53" i="2"/>
  <c r="F53" i="2"/>
  <c r="E53" i="2"/>
  <c r="D53" i="2"/>
  <c r="C53" i="2"/>
  <c r="B53" i="2"/>
  <c r="L50" i="2"/>
  <c r="K50" i="2"/>
  <c r="J50" i="2"/>
  <c r="I50" i="2"/>
  <c r="H50" i="2"/>
  <c r="G50" i="2"/>
  <c r="F50" i="2"/>
  <c r="E50" i="2"/>
  <c r="D50" i="2"/>
  <c r="C50" i="2"/>
  <c r="B50" i="2"/>
  <c r="L49" i="2"/>
  <c r="K49" i="2"/>
  <c r="J49" i="2"/>
  <c r="I49" i="2"/>
  <c r="H49" i="2"/>
  <c r="G49" i="2"/>
  <c r="F49" i="2"/>
  <c r="E49" i="2"/>
  <c r="D49" i="2"/>
  <c r="C49" i="2"/>
  <c r="B49" i="2"/>
  <c r="L48" i="2"/>
  <c r="K48" i="2"/>
  <c r="J48" i="2"/>
  <c r="I48" i="2"/>
  <c r="H48" i="2"/>
  <c r="G48" i="2"/>
  <c r="F48" i="2"/>
  <c r="E48" i="2"/>
  <c r="D48" i="2"/>
  <c r="C48" i="2"/>
  <c r="B48" i="2"/>
  <c r="B46" i="2"/>
  <c r="B42" i="2"/>
  <c r="B38" i="2"/>
  <c r="L28" i="2"/>
  <c r="K28" i="2"/>
  <c r="J28" i="2"/>
  <c r="I28" i="2"/>
  <c r="H28" i="2"/>
  <c r="G28" i="2"/>
  <c r="F28" i="2"/>
  <c r="E28" i="2"/>
  <c r="D28" i="2"/>
  <c r="C28" i="2"/>
  <c r="B28" i="2"/>
  <c r="L27" i="2"/>
  <c r="K27" i="2"/>
  <c r="J27" i="2"/>
  <c r="I27" i="2"/>
  <c r="H27" i="2"/>
  <c r="G27" i="2"/>
  <c r="F27" i="2"/>
  <c r="E27" i="2"/>
  <c r="D27" i="2"/>
  <c r="C27" i="2"/>
  <c r="B27" i="2"/>
  <c r="L26" i="2"/>
  <c r="K26" i="2"/>
  <c r="J26" i="2"/>
  <c r="I26" i="2"/>
  <c r="H26" i="2"/>
  <c r="G26" i="2"/>
  <c r="F26" i="2"/>
  <c r="E26" i="2"/>
  <c r="D26" i="2"/>
  <c r="C26" i="2"/>
  <c r="B26" i="2"/>
  <c r="L24" i="2"/>
  <c r="K24" i="2"/>
  <c r="J24" i="2"/>
  <c r="I24" i="2"/>
  <c r="H24" i="2"/>
  <c r="G24" i="2"/>
  <c r="F24" i="2"/>
  <c r="E24" i="2"/>
  <c r="D24" i="2"/>
  <c r="C24" i="2"/>
  <c r="B24" i="2"/>
  <c r="L20" i="2"/>
  <c r="K20" i="2"/>
  <c r="J20" i="2"/>
  <c r="I20" i="2"/>
  <c r="H20" i="2"/>
  <c r="G20" i="2"/>
  <c r="F20" i="2"/>
  <c r="E20" i="2"/>
  <c r="D20" i="2"/>
  <c r="C20" i="2"/>
  <c r="B20" i="2"/>
  <c r="L16" i="2"/>
  <c r="K16" i="2"/>
  <c r="J16" i="2"/>
  <c r="I16" i="2"/>
  <c r="H16" i="2"/>
  <c r="G16" i="2"/>
  <c r="F16" i="2"/>
  <c r="E16" i="2"/>
  <c r="D16" i="2"/>
  <c r="C16" i="2"/>
  <c r="B16" i="2"/>
  <c r="K57" i="12"/>
  <c r="J57" i="12"/>
  <c r="I57" i="12"/>
  <c r="H57" i="12"/>
  <c r="G57" i="12"/>
  <c r="F57" i="12"/>
  <c r="E57" i="12"/>
  <c r="D57" i="12"/>
  <c r="C57" i="12"/>
  <c r="B57" i="12"/>
  <c r="K56" i="12"/>
  <c r="J56" i="12"/>
  <c r="I56" i="12"/>
  <c r="H56" i="12"/>
  <c r="G56" i="12"/>
  <c r="F56" i="12"/>
  <c r="E56" i="12"/>
  <c r="D56" i="12"/>
  <c r="C56" i="12"/>
  <c r="B56" i="12"/>
  <c r="K55" i="12"/>
  <c r="J55" i="12"/>
  <c r="I55" i="12"/>
  <c r="H55" i="12"/>
  <c r="G55" i="12"/>
  <c r="F55" i="12"/>
  <c r="E55" i="12"/>
  <c r="D55" i="12"/>
  <c r="C55" i="12"/>
  <c r="B55" i="12"/>
  <c r="K54" i="12"/>
  <c r="J54" i="12"/>
  <c r="I54" i="12"/>
  <c r="H54" i="12"/>
  <c r="G54" i="12"/>
  <c r="F54" i="12"/>
  <c r="E54" i="12"/>
  <c r="D54" i="12"/>
  <c r="C54" i="12"/>
  <c r="B54" i="12"/>
  <c r="K53" i="12"/>
  <c r="J53" i="12"/>
  <c r="I53" i="12"/>
  <c r="H53" i="12"/>
  <c r="G53" i="12"/>
  <c r="F53" i="12"/>
  <c r="E53" i="12"/>
  <c r="D53" i="12"/>
  <c r="C53" i="12"/>
  <c r="B53" i="12"/>
  <c r="K51" i="12"/>
  <c r="J51" i="12"/>
  <c r="I51" i="12"/>
  <c r="H51" i="12"/>
  <c r="G51" i="12"/>
  <c r="F51" i="12"/>
  <c r="E51" i="12"/>
  <c r="D51" i="12"/>
  <c r="C51" i="12"/>
  <c r="B51" i="12"/>
  <c r="K48" i="12"/>
  <c r="J48" i="12"/>
  <c r="I48" i="12"/>
  <c r="H48" i="12"/>
  <c r="G48" i="12"/>
  <c r="F48" i="12"/>
  <c r="E48" i="12"/>
  <c r="D48" i="12"/>
  <c r="C48" i="12"/>
  <c r="B48" i="12"/>
  <c r="K47" i="12"/>
  <c r="J47" i="12"/>
  <c r="I47" i="12"/>
  <c r="H47" i="12"/>
  <c r="G47" i="12"/>
  <c r="F47" i="12"/>
  <c r="E47" i="12"/>
  <c r="D47" i="12"/>
  <c r="C47" i="12"/>
  <c r="B47" i="12"/>
  <c r="K46" i="12"/>
  <c r="J46" i="12"/>
  <c r="I46" i="12"/>
  <c r="H46" i="12"/>
  <c r="G46" i="12"/>
  <c r="F46" i="12"/>
  <c r="E46" i="12"/>
  <c r="D46" i="12"/>
  <c r="C46" i="12"/>
  <c r="B46" i="12"/>
  <c r="K36" i="12"/>
  <c r="J36" i="12"/>
  <c r="I36" i="12"/>
  <c r="H36" i="12"/>
  <c r="G36" i="12"/>
  <c r="F36" i="12"/>
  <c r="E36" i="12"/>
  <c r="D36" i="12"/>
  <c r="C36" i="12"/>
  <c r="B36" i="12"/>
  <c r="K27" i="12"/>
  <c r="J27" i="12"/>
  <c r="I27" i="12"/>
  <c r="H27" i="12"/>
  <c r="G27" i="12"/>
  <c r="F27" i="12"/>
  <c r="E27" i="12"/>
  <c r="D27" i="12"/>
  <c r="C27" i="12"/>
  <c r="B27" i="12"/>
  <c r="K26" i="12"/>
  <c r="J26" i="12"/>
  <c r="I26" i="12"/>
  <c r="H26" i="12"/>
  <c r="G26" i="12"/>
  <c r="F26" i="12"/>
  <c r="E26" i="12"/>
  <c r="D26" i="12"/>
  <c r="C26" i="12"/>
  <c r="B26" i="12"/>
  <c r="K25" i="12"/>
  <c r="J25" i="12"/>
  <c r="I25" i="12"/>
  <c r="H25" i="12"/>
  <c r="G25" i="12"/>
  <c r="F25" i="12"/>
  <c r="E25" i="12"/>
  <c r="D25" i="12"/>
  <c r="C25" i="12"/>
  <c r="B25" i="12"/>
  <c r="K23" i="12"/>
  <c r="J23" i="12"/>
  <c r="I23" i="12"/>
  <c r="H23" i="12"/>
  <c r="G23" i="12"/>
  <c r="F23" i="12"/>
  <c r="E23" i="12"/>
  <c r="D23" i="12"/>
  <c r="C23" i="12"/>
  <c r="B23" i="12"/>
  <c r="K19" i="12"/>
  <c r="J19" i="12"/>
  <c r="I19" i="12"/>
  <c r="H19" i="12"/>
  <c r="G19" i="12"/>
  <c r="F19" i="12"/>
  <c r="E19" i="12"/>
  <c r="D19" i="12"/>
  <c r="C19" i="12"/>
  <c r="B19" i="12"/>
  <c r="K15" i="12"/>
  <c r="J15" i="12"/>
  <c r="I15" i="12"/>
  <c r="H15" i="12"/>
  <c r="G15" i="12"/>
  <c r="F15" i="12"/>
  <c r="E15" i="12"/>
  <c r="D15" i="12"/>
  <c r="C15" i="12"/>
  <c r="B15" i="12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4" i="9"/>
  <c r="J44" i="9"/>
  <c r="I44" i="9"/>
  <c r="H44" i="9"/>
  <c r="G44" i="9"/>
  <c r="F44" i="9"/>
  <c r="E44" i="9"/>
  <c r="D44" i="9"/>
  <c r="C44" i="9"/>
  <c r="B44" i="9"/>
  <c r="K40" i="9"/>
  <c r="J40" i="9"/>
  <c r="I40" i="9"/>
  <c r="H40" i="9"/>
  <c r="G40" i="9"/>
  <c r="F40" i="9"/>
  <c r="E40" i="9"/>
  <c r="D40" i="9"/>
  <c r="C40" i="9"/>
  <c r="B40" i="9"/>
  <c r="K36" i="9"/>
  <c r="J36" i="9"/>
  <c r="I36" i="9"/>
  <c r="H36" i="9"/>
  <c r="G36" i="9"/>
  <c r="F36" i="9"/>
  <c r="E36" i="9"/>
  <c r="D36" i="9"/>
  <c r="C36" i="9"/>
  <c r="B36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3" i="9"/>
  <c r="J23" i="9"/>
  <c r="I23" i="9"/>
  <c r="H23" i="9"/>
  <c r="G23" i="9"/>
  <c r="F23" i="9"/>
  <c r="E23" i="9"/>
  <c r="D23" i="9"/>
  <c r="C23" i="9"/>
  <c r="B23" i="9"/>
  <c r="K19" i="9"/>
  <c r="J19" i="9"/>
  <c r="I19" i="9"/>
  <c r="H19" i="9"/>
  <c r="G19" i="9"/>
  <c r="F19" i="9"/>
  <c r="E19" i="9"/>
  <c r="D19" i="9"/>
  <c r="C19" i="9"/>
  <c r="B19" i="9"/>
  <c r="K15" i="9"/>
  <c r="J15" i="9"/>
  <c r="I15" i="9"/>
  <c r="H15" i="9"/>
  <c r="G15" i="9"/>
  <c r="F15" i="9"/>
  <c r="E15" i="9"/>
  <c r="D15" i="9"/>
  <c r="C15" i="9"/>
  <c r="B15" i="9"/>
  <c r="K48" i="10"/>
  <c r="J48" i="10"/>
  <c r="I48" i="10"/>
  <c r="H48" i="10"/>
  <c r="G48" i="10"/>
  <c r="F48" i="10"/>
  <c r="E48" i="10"/>
  <c r="D48" i="10"/>
  <c r="C48" i="10"/>
  <c r="B48" i="10"/>
  <c r="K47" i="10"/>
  <c r="J47" i="10"/>
  <c r="I47" i="10"/>
  <c r="H47" i="10"/>
  <c r="G47" i="10"/>
  <c r="F47" i="10"/>
  <c r="E47" i="10"/>
  <c r="D47" i="10"/>
  <c r="C47" i="10"/>
  <c r="B47" i="10"/>
  <c r="K46" i="10"/>
  <c r="J46" i="10"/>
  <c r="I46" i="10"/>
  <c r="H46" i="10"/>
  <c r="G46" i="10"/>
  <c r="F46" i="10"/>
  <c r="E46" i="10"/>
  <c r="D46" i="10"/>
  <c r="C46" i="10"/>
  <c r="B46" i="10"/>
  <c r="K44" i="10"/>
  <c r="J44" i="10"/>
  <c r="I44" i="10"/>
  <c r="H44" i="10"/>
  <c r="G44" i="10"/>
  <c r="F44" i="10"/>
  <c r="E44" i="10"/>
  <c r="D44" i="10"/>
  <c r="C44" i="10"/>
  <c r="B44" i="10"/>
  <c r="K41" i="10"/>
  <c r="J41" i="10"/>
  <c r="I41" i="10"/>
  <c r="H41" i="10"/>
  <c r="G41" i="10"/>
  <c r="F41" i="10"/>
  <c r="E41" i="10"/>
  <c r="D41" i="10"/>
  <c r="C41" i="10"/>
  <c r="B41" i="10"/>
  <c r="K39" i="10"/>
  <c r="J39" i="10"/>
  <c r="I39" i="10"/>
  <c r="H39" i="10"/>
  <c r="G39" i="10"/>
  <c r="F39" i="10"/>
  <c r="E39" i="10"/>
  <c r="D39" i="10"/>
  <c r="C39" i="10"/>
  <c r="B39" i="10"/>
  <c r="K37" i="10"/>
  <c r="J37" i="10"/>
  <c r="I37" i="10"/>
  <c r="H37" i="10"/>
  <c r="G37" i="10"/>
  <c r="F37" i="10"/>
  <c r="E37" i="10"/>
  <c r="D37" i="10"/>
  <c r="C37" i="10"/>
  <c r="B37" i="10"/>
  <c r="K33" i="10"/>
  <c r="J33" i="10"/>
  <c r="I33" i="10"/>
  <c r="H33" i="10"/>
  <c r="G33" i="10"/>
  <c r="F33" i="10"/>
  <c r="E33" i="10"/>
  <c r="D33" i="10"/>
  <c r="C33" i="10"/>
  <c r="B33" i="10"/>
  <c r="K31" i="10"/>
  <c r="J31" i="10"/>
  <c r="I31" i="10"/>
  <c r="H31" i="10"/>
  <c r="G31" i="10"/>
  <c r="F31" i="10"/>
  <c r="E31" i="10"/>
  <c r="D31" i="10"/>
  <c r="C31" i="10"/>
  <c r="B31" i="10"/>
  <c r="B29" i="10"/>
  <c r="K24" i="10"/>
  <c r="J24" i="10"/>
  <c r="I24" i="10"/>
  <c r="H24" i="10"/>
  <c r="G24" i="10"/>
  <c r="F24" i="10"/>
  <c r="E24" i="10"/>
  <c r="D24" i="10"/>
  <c r="C24" i="10"/>
  <c r="B24" i="10"/>
  <c r="K22" i="10"/>
  <c r="J22" i="10"/>
  <c r="I22" i="10"/>
  <c r="H22" i="10"/>
  <c r="G22" i="10"/>
  <c r="F22" i="10"/>
  <c r="E22" i="10"/>
  <c r="D22" i="10"/>
  <c r="C22" i="10"/>
  <c r="B22" i="10"/>
  <c r="K20" i="10"/>
  <c r="J20" i="10"/>
  <c r="I20" i="10"/>
  <c r="H20" i="10"/>
  <c r="G20" i="10"/>
  <c r="F20" i="10"/>
  <c r="E20" i="10"/>
  <c r="D20" i="10"/>
  <c r="C20" i="10"/>
  <c r="B20" i="10"/>
  <c r="K16" i="10"/>
  <c r="J16" i="10"/>
  <c r="I16" i="10"/>
  <c r="H16" i="10"/>
  <c r="G16" i="10"/>
  <c r="F16" i="10"/>
  <c r="E16" i="10"/>
  <c r="D16" i="10"/>
  <c r="C16" i="10"/>
  <c r="B16" i="10"/>
  <c r="E13" i="10"/>
  <c r="D13" i="10"/>
  <c r="C13" i="10"/>
  <c r="B13" i="10"/>
  <c r="K6" i="10"/>
  <c r="J6" i="10"/>
  <c r="I6" i="10"/>
  <c r="H6" i="10"/>
  <c r="G6" i="10"/>
  <c r="F6" i="10"/>
  <c r="E6" i="10"/>
  <c r="D6" i="10"/>
  <c r="C6" i="10"/>
</calcChain>
</file>

<file path=xl/sharedStrings.xml><?xml version="1.0" encoding="utf-8"?>
<sst xmlns="http://schemas.openxmlformats.org/spreadsheetml/2006/main" count="916" uniqueCount="136">
  <si>
    <t>Calendar Year</t>
  </si>
  <si>
    <t>Thermal</t>
  </si>
  <si>
    <t>Hydro</t>
  </si>
  <si>
    <t>DSM</t>
  </si>
  <si>
    <t>Renewable</t>
  </si>
  <si>
    <t>Purchase</t>
  </si>
  <si>
    <t>QF</t>
  </si>
  <si>
    <t>East Existing Resources</t>
  </si>
  <si>
    <t>Load</t>
  </si>
  <si>
    <t>Sale</t>
  </si>
  <si>
    <t>East Obligation</t>
  </si>
  <si>
    <t>East Reserves</t>
  </si>
  <si>
    <t>East Obligation + Reserves</t>
  </si>
  <si>
    <t>East Position</t>
  </si>
  <si>
    <t>East Reserve Margin</t>
  </si>
  <si>
    <t>West Existing Resources</t>
  </si>
  <si>
    <t>West Obligation</t>
  </si>
  <si>
    <t>West Reserves</t>
  </si>
  <si>
    <t>West Obligation + Reserves</t>
  </si>
  <si>
    <t>West Position</t>
  </si>
  <si>
    <t>West Reserve Margin</t>
  </si>
  <si>
    <t>Total Resources</t>
  </si>
  <si>
    <t>Reserves</t>
  </si>
  <si>
    <t>Reserve Margin</t>
  </si>
  <si>
    <t>Exhibit 2.1 – Gregory N. Duvall Testimony (Revised)</t>
  </si>
  <si>
    <t>2007 IRP Update, Base Portfolio L&amp;R Balance Including Chehalis and 2012 RFP Resources</t>
  </si>
  <si>
    <t>Planning Reserve Margin  = 12%</t>
  </si>
  <si>
    <t xml:space="preserve">East </t>
  </si>
  <si>
    <t xml:space="preserve">     2012 Base Load RFP</t>
  </si>
  <si>
    <t>Interruptible</t>
  </si>
  <si>
    <t>Planning reserves</t>
  </si>
  <si>
    <t>Non-owned reserves</t>
  </si>
  <si>
    <t xml:space="preserve">West  </t>
  </si>
  <si>
    <t xml:space="preserve">     Chehalis</t>
  </si>
  <si>
    <t xml:space="preserve">System  </t>
  </si>
  <si>
    <t>Net Transfers</t>
  </si>
  <si>
    <t>Obligation</t>
  </si>
  <si>
    <t>Obligation + Reserves</t>
  </si>
  <si>
    <t>System Position</t>
  </si>
  <si>
    <t>Capacity Load and Resource Balance Details</t>
  </si>
  <si>
    <t>Transfers</t>
  </si>
  <si>
    <t>2008 IRP</t>
  </si>
  <si>
    <t>TOTAL RESOURCES</t>
  </si>
  <si>
    <t>2007 IRP - SYSTEM TOTAL</t>
  </si>
  <si>
    <t>Appendix F</t>
  </si>
  <si>
    <t>Portfolio Load and Resource Balance</t>
  </si>
  <si>
    <t>Planning Reserve Margin  = 15%</t>
  </si>
  <si>
    <t>East Resources</t>
  </si>
  <si>
    <t>Planned Resources</t>
  </si>
  <si>
    <t>Planning Margin</t>
  </si>
  <si>
    <t>Interuptable + QF</t>
  </si>
  <si>
    <t>Renewable + QF</t>
  </si>
  <si>
    <t>Table 7.46</t>
  </si>
  <si>
    <t>Preferred Portfolio Capacity Load and Resource Balance</t>
  </si>
  <si>
    <t>Load and Resource Capacity Balance</t>
  </si>
  <si>
    <t>Table 9 - 2007 IRP Update</t>
  </si>
  <si>
    <t>2007 IRP UPDATE - June 11, 2008 - SYSTEM TOTAL</t>
  </si>
  <si>
    <t>PERCENTAGE CHANGE</t>
  </si>
  <si>
    <t>2004 IRP UPDATE</t>
  </si>
  <si>
    <t xml:space="preserve">2007 IRP </t>
  </si>
  <si>
    <t xml:space="preserve">2007 IRP UPDATE </t>
  </si>
  <si>
    <t xml:space="preserve">2008 IRP </t>
  </si>
  <si>
    <t>Difference</t>
  </si>
  <si>
    <t>RFP 2014 - 2016</t>
  </si>
  <si>
    <t>Table 3.9</t>
  </si>
  <si>
    <t>2008 IRP UPDATE</t>
  </si>
  <si>
    <t>EAST EXISTING RESOURCES</t>
  </si>
  <si>
    <t>WEST EXISTING RESOURCES</t>
  </si>
  <si>
    <t>Total Resources % Change</t>
  </si>
  <si>
    <t>Total Obligation % Change</t>
  </si>
  <si>
    <t>Page 25 of the 2008 IRP Update</t>
  </si>
  <si>
    <t xml:space="preserve">Forecast annual load growth </t>
  </si>
  <si>
    <t>My Estimates</t>
  </si>
  <si>
    <t>1.5% growth</t>
  </si>
  <si>
    <t>Reserves as % of Obligation</t>
  </si>
  <si>
    <t>2011 IRP Initial - SYSTEM TOTAL</t>
  </si>
  <si>
    <t xml:space="preserve">2011 IRP </t>
  </si>
  <si>
    <t>Planning Reserve Margin  = 13%</t>
  </si>
  <si>
    <t xml:space="preserve">2011 Integrated Resource Plan </t>
  </si>
  <si>
    <t>Table 5.11</t>
  </si>
  <si>
    <t>Table 3.6</t>
  </si>
  <si>
    <t>Capacity Load and Resource Balance, Megawatts</t>
  </si>
  <si>
    <t>Target Reserve Margin  = 13%</t>
  </si>
  <si>
    <t>2011 IRP UPDATE</t>
  </si>
  <si>
    <t xml:space="preserve">2013 Integrated Resource Plan </t>
  </si>
  <si>
    <t>Plannng Reserve Margin  = 13%</t>
  </si>
  <si>
    <t>2013 IRP</t>
  </si>
  <si>
    <t>My Estimated Reserves</t>
  </si>
  <si>
    <t>My Estimated Obligation</t>
  </si>
  <si>
    <t>My Estimated Total</t>
  </si>
  <si>
    <t>My Estimated Shortage</t>
  </si>
  <si>
    <t>Company Forecast Shortage</t>
  </si>
  <si>
    <t xml:space="preserve">2011 Update - Integrated Resource Plan </t>
  </si>
  <si>
    <t>Purchases</t>
  </si>
  <si>
    <t>Purchase Plus Shortage</t>
  </si>
  <si>
    <t>Table 5.12 - Updated Format</t>
  </si>
  <si>
    <t>System Capacity Load and Resources without Resource Additions</t>
  </si>
  <si>
    <t>Qualifying Facilities (QF)</t>
  </si>
  <si>
    <t>Hydroelectric</t>
  </si>
  <si>
    <t>Non-Owned Reserves</t>
  </si>
  <si>
    <t>Interuptible</t>
  </si>
  <si>
    <t>Planning reserves (13%)</t>
  </si>
  <si>
    <t>Planning Reserves (13%)</t>
  </si>
  <si>
    <t>2013 IRP (PRELIMINARY)</t>
  </si>
  <si>
    <t>TOTAL RESOURCES (OLD FORMAT 5.11)</t>
  </si>
  <si>
    <t>2013 IRP - Apr 2013 (New Format)</t>
  </si>
  <si>
    <t>2013 Integrated Resource Plan - UPDATE</t>
  </si>
  <si>
    <t xml:space="preserve">Table 3.11 </t>
  </si>
  <si>
    <t>2013 IRP - UPDATE</t>
  </si>
  <si>
    <t>Load and Resource Balance</t>
  </si>
  <si>
    <t xml:space="preserve">2015 IRP </t>
  </si>
  <si>
    <t>2015 Integrated Resource Plan</t>
  </si>
  <si>
    <t>Class 1 DSM</t>
  </si>
  <si>
    <t>Existing Class 2 DSM</t>
  </si>
  <si>
    <t>Class I DSM</t>
  </si>
  <si>
    <t>PACIFICORP IRP HISTORICAL COMPARISON - LOAD</t>
  </si>
  <si>
    <t>EAST  LOAD</t>
  </si>
  <si>
    <t>WEST LOAD</t>
  </si>
  <si>
    <t>TOTAL LOAD</t>
  </si>
  <si>
    <t>Table 5.14</t>
  </si>
  <si>
    <t>Load and Resources w/o Resource Additions</t>
  </si>
  <si>
    <t>2013 QF</t>
  </si>
  <si>
    <t>2015 QF</t>
  </si>
  <si>
    <t>2013 U QF</t>
  </si>
  <si>
    <t>Table 3.3</t>
  </si>
  <si>
    <t>2015 IRP UPDATE</t>
  </si>
  <si>
    <t>Available Front Office Transactions</t>
  </si>
  <si>
    <t>Change from the 2015 IRP to the 2015 IRP UPDATE</t>
  </si>
  <si>
    <t xml:space="preserve">2017 IRP </t>
  </si>
  <si>
    <t>Load and Resource Balance - Summer</t>
  </si>
  <si>
    <t>Private Generation</t>
  </si>
  <si>
    <t xml:space="preserve">2008 IRP UPDATE </t>
  </si>
  <si>
    <t>2007 IRP</t>
  </si>
  <si>
    <t>Total Load</t>
  </si>
  <si>
    <t>2007 IRP UPDATE</t>
  </si>
  <si>
    <t>2017 IRP (Preliminary)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</si>
</sst>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;[Red]\(0.0%\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2" borderId="0" xfId="0" applyFill="1"/>
    <xf numFmtId="38" fontId="0" fillId="0" borderId="0" xfId="1" applyNumberFormat="1" applyFont="1"/>
    <xf numFmtId="38" fontId="0" fillId="2" borderId="0" xfId="1" applyNumberFormat="1" applyFont="1" applyFill="1"/>
    <xf numFmtId="164" fontId="4" fillId="0" borderId="0" xfId="2" applyNumberFormat="1" applyFont="1"/>
    <xf numFmtId="38" fontId="0" fillId="0" borderId="0" xfId="0" applyNumberFormat="1"/>
    <xf numFmtId="0" fontId="0" fillId="0" borderId="0" xfId="0" applyBorder="1"/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38" fontId="0" fillId="0" borderId="3" xfId="0" applyNumberFormat="1" applyBorder="1"/>
    <xf numFmtId="38" fontId="0" fillId="0" borderId="0" xfId="0" applyNumberFormat="1" applyBorder="1"/>
    <xf numFmtId="38" fontId="0" fillId="0" borderId="4" xfId="0" applyNumberFormat="1" applyBorder="1"/>
    <xf numFmtId="0" fontId="0" fillId="0" borderId="4" xfId="0" applyBorder="1"/>
    <xf numFmtId="0" fontId="0" fillId="0" borderId="3" xfId="0" applyBorder="1"/>
    <xf numFmtId="165" fontId="0" fillId="0" borderId="0" xfId="1" applyNumberFormat="1" applyFont="1"/>
    <xf numFmtId="10" fontId="0" fillId="0" borderId="0" xfId="2" applyNumberFormat="1" applyFont="1"/>
    <xf numFmtId="0" fontId="3" fillId="0" borderId="2" xfId="0" applyFont="1" applyBorder="1"/>
    <xf numFmtId="165" fontId="0" fillId="0" borderId="0" xfId="1" applyNumberFormat="1" applyFont="1" applyBorder="1"/>
    <xf numFmtId="38" fontId="0" fillId="0" borderId="0" xfId="0" applyNumberFormat="1" applyFont="1" applyBorder="1"/>
    <xf numFmtId="10" fontId="0" fillId="0" borderId="0" xfId="2" applyNumberFormat="1" applyFont="1" applyBorder="1"/>
    <xf numFmtId="10" fontId="0" fillId="0" borderId="4" xfId="2" applyNumberFormat="1" applyFont="1" applyBorder="1"/>
    <xf numFmtId="38" fontId="0" fillId="0" borderId="0" xfId="0" applyNumberFormat="1" applyFill="1"/>
    <xf numFmtId="10" fontId="0" fillId="0" borderId="0" xfId="0" applyNumberFormat="1"/>
    <xf numFmtId="165" fontId="0" fillId="0" borderId="0" xfId="0" applyNumberFormat="1"/>
    <xf numFmtId="9" fontId="0" fillId="0" borderId="0" xfId="2" applyFont="1"/>
    <xf numFmtId="0" fontId="0" fillId="0" borderId="7" xfId="0" applyBorder="1"/>
    <xf numFmtId="166" fontId="0" fillId="0" borderId="0" xfId="2" applyNumberFormat="1" applyFont="1"/>
    <xf numFmtId="10" fontId="0" fillId="3" borderId="0" xfId="2" applyNumberFormat="1" applyFont="1" applyFill="1" applyBorder="1"/>
    <xf numFmtId="166" fontId="0" fillId="0" borderId="0" xfId="0" applyNumberFormat="1"/>
    <xf numFmtId="166" fontId="0" fillId="3" borderId="0" xfId="0" applyNumberFormat="1" applyFill="1"/>
    <xf numFmtId="166" fontId="0" fillId="3" borderId="0" xfId="2" applyNumberFormat="1" applyFont="1" applyFill="1"/>
    <xf numFmtId="38" fontId="0" fillId="3" borderId="0" xfId="1" applyNumberFormat="1" applyFont="1" applyFill="1"/>
    <xf numFmtId="164" fontId="4" fillId="3" borderId="0" xfId="2" applyNumberFormat="1" applyFont="1" applyFill="1"/>
    <xf numFmtId="0" fontId="0" fillId="3" borderId="0" xfId="0" applyFill="1"/>
    <xf numFmtId="10" fontId="0" fillId="3" borderId="0" xfId="2" applyNumberFormat="1" applyFont="1" applyFill="1"/>
    <xf numFmtId="38" fontId="0" fillId="0" borderId="0" xfId="1" applyNumberFormat="1" applyFont="1" applyFill="1"/>
    <xf numFmtId="164" fontId="4" fillId="0" borderId="0" xfId="2" applyNumberFormat="1" applyFont="1" applyFill="1"/>
    <xf numFmtId="166" fontId="0" fillId="0" borderId="0" xfId="0" applyNumberFormat="1" applyFill="1"/>
    <xf numFmtId="10" fontId="0" fillId="0" borderId="0" xfId="2" applyNumberFormat="1" applyFont="1" applyFill="1"/>
    <xf numFmtId="0" fontId="0" fillId="0" borderId="0" xfId="0" applyFill="1"/>
    <xf numFmtId="166" fontId="0" fillId="0" borderId="0" xfId="2" applyNumberFormat="1" applyFont="1" applyFill="1"/>
    <xf numFmtId="10" fontId="0" fillId="0" borderId="0" xfId="2" applyNumberFormat="1" applyFont="1" applyFill="1" applyBorder="1"/>
    <xf numFmtId="38" fontId="0" fillId="4" borderId="0" xfId="1" applyNumberFormat="1" applyFont="1" applyFill="1"/>
    <xf numFmtId="0" fontId="3" fillId="0" borderId="1" xfId="0" applyFont="1" applyBorder="1"/>
    <xf numFmtId="10" fontId="0" fillId="0" borderId="4" xfId="2" applyNumberFormat="1" applyFont="1" applyFill="1" applyBorder="1"/>
    <xf numFmtId="0" fontId="0" fillId="0" borderId="0" xfId="0" applyFill="1" applyBorder="1"/>
    <xf numFmtId="0" fontId="2" fillId="0" borderId="3" xfId="0" applyFont="1" applyBorder="1"/>
    <xf numFmtId="38" fontId="2" fillId="0" borderId="0" xfId="1" applyNumberFormat="1" applyFont="1" applyFill="1"/>
    <xf numFmtId="38" fontId="2" fillId="0" borderId="0" xfId="1" applyNumberFormat="1" applyFont="1"/>
    <xf numFmtId="164" fontId="6" fillId="3" borderId="0" xfId="2" applyNumberFormat="1" applyFont="1" applyFill="1"/>
    <xf numFmtId="164" fontId="6" fillId="0" borderId="0" xfId="2" applyNumberFormat="1" applyFont="1" applyFill="1"/>
    <xf numFmtId="0" fontId="2" fillId="0" borderId="10" xfId="0" applyFont="1" applyBorder="1" applyAlignment="1">
      <alignment horizontal="center"/>
    </xf>
    <xf numFmtId="0" fontId="2" fillId="0" borderId="0" xfId="0" applyFont="1" applyFill="1"/>
    <xf numFmtId="10" fontId="0" fillId="0" borderId="0" xfId="0" applyNumberFormat="1" applyFill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" xfId="0" applyFont="1" applyFill="1" applyBorder="1"/>
    <xf numFmtId="38" fontId="0" fillId="0" borderId="5" xfId="0" applyNumberFormat="1" applyBorder="1"/>
    <xf numFmtId="38" fontId="0" fillId="0" borderId="6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38" fontId="2" fillId="3" borderId="0" xfId="1" applyNumberFormat="1" applyFont="1" applyFill="1"/>
    <xf numFmtId="165" fontId="6" fillId="0" borderId="0" xfId="1" applyNumberFormat="1" applyFont="1" applyFill="1"/>
    <xf numFmtId="165" fontId="2" fillId="0" borderId="0" xfId="0" applyNumberFormat="1" applyFont="1"/>
    <xf numFmtId="0" fontId="2" fillId="3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2008 IRP - Load</a:t>
            </a:r>
            <a:r>
              <a:rPr lang="en-US" baseline="0"/>
              <a:t> &amp; Resource Balance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70906297466697"/>
          <c:y val="0.11922977591187965"/>
          <c:w val="0.86390069312290063"/>
          <c:h val="0.6990348174441654"/>
        </c:manualLayout>
      </c:layout>
      <c:lineChart>
        <c:grouping val="standard"/>
        <c:varyColors val="0"/>
        <c:ser>
          <c:idx val="1"/>
          <c:order val="0"/>
          <c:tx>
            <c:strRef>
              <c:f>'2008 IRP - May 2009'!$A$52</c:f>
              <c:strCache>
                <c:ptCount val="1"/>
                <c:pt idx="0">
                  <c:v>Total Resources</c:v>
                </c:pt>
              </c:strCache>
            </c:strRef>
          </c:tx>
          <c:cat>
            <c:numRef>
              <c:f>'2008 IRP - May 2009'!$B$5:$K$5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'2008 IRP - May 2009'!$B$52:$K$52</c:f>
              <c:numCache>
                <c:formatCode>#,##0_);[Red]\(#,##0\)</c:formatCode>
                <c:ptCount val="10"/>
                <c:pt idx="0">
                  <c:v>13142</c:v>
                </c:pt>
                <c:pt idx="1">
                  <c:v>12814</c:v>
                </c:pt>
                <c:pt idx="2">
                  <c:v>12433</c:v>
                </c:pt>
                <c:pt idx="3">
                  <c:v>11436</c:v>
                </c:pt>
                <c:pt idx="4">
                  <c:v>11514</c:v>
                </c:pt>
                <c:pt idx="5">
                  <c:v>11544</c:v>
                </c:pt>
                <c:pt idx="6">
                  <c:v>11662</c:v>
                </c:pt>
                <c:pt idx="7">
                  <c:v>11651</c:v>
                </c:pt>
                <c:pt idx="8">
                  <c:v>11649</c:v>
                </c:pt>
                <c:pt idx="9">
                  <c:v>11456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'2008 IRP - May 2009'!$A$54</c:f>
              <c:strCache>
                <c:ptCount val="1"/>
                <c:pt idx="0">
                  <c:v>Obligation</c:v>
                </c:pt>
              </c:strCache>
            </c:strRef>
          </c:tx>
          <c:cat>
            <c:numRef>
              <c:f>'2008 IRP - May 2009'!$B$5:$K$5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'2008 IRP - May 2009'!$B$54:$K$54</c:f>
              <c:numCache>
                <c:formatCode>#,##0_);[Red]\(#,##0\)</c:formatCode>
                <c:ptCount val="10"/>
                <c:pt idx="0">
                  <c:v>11430</c:v>
                </c:pt>
                <c:pt idx="1">
                  <c:v>11629</c:v>
                </c:pt>
                <c:pt idx="2">
                  <c:v>11688</c:v>
                </c:pt>
                <c:pt idx="3">
                  <c:v>11996</c:v>
                </c:pt>
                <c:pt idx="4">
                  <c:v>12284</c:v>
                </c:pt>
                <c:pt idx="5">
                  <c:v>12504</c:v>
                </c:pt>
                <c:pt idx="6">
                  <c:v>12701</c:v>
                </c:pt>
                <c:pt idx="7">
                  <c:v>12980</c:v>
                </c:pt>
                <c:pt idx="8">
                  <c:v>13151</c:v>
                </c:pt>
                <c:pt idx="9">
                  <c:v>13441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'2008 IRP - May 2009'!$A$56</c:f>
              <c:strCache>
                <c:ptCount val="1"/>
                <c:pt idx="0">
                  <c:v>Obligation + Reserves</c:v>
                </c:pt>
              </c:strCache>
            </c:strRef>
          </c:tx>
          <c:cat>
            <c:numRef>
              <c:f>'2008 IRP - May 2009'!$B$5:$K$5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'2008 IRP - May 2009'!$B$56:$K$56</c:f>
              <c:numCache>
                <c:formatCode>#,##0_);[Red]\(#,##0\)</c:formatCode>
                <c:ptCount val="10"/>
                <c:pt idx="0">
                  <c:v>12562</c:v>
                </c:pt>
                <c:pt idx="1">
                  <c:v>12816</c:v>
                </c:pt>
                <c:pt idx="2">
                  <c:v>12931</c:v>
                </c:pt>
                <c:pt idx="3">
                  <c:v>13374</c:v>
                </c:pt>
                <c:pt idx="4">
                  <c:v>13691</c:v>
                </c:pt>
                <c:pt idx="5">
                  <c:v>13940</c:v>
                </c:pt>
                <c:pt idx="6">
                  <c:v>14160</c:v>
                </c:pt>
                <c:pt idx="7">
                  <c:v>14474</c:v>
                </c:pt>
                <c:pt idx="8">
                  <c:v>14664</c:v>
                </c:pt>
                <c:pt idx="9">
                  <c:v>14985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9552"/>
        <c:axId val="148819944"/>
      </c:lineChart>
      <c:catAx>
        <c:axId val="1488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8819944"/>
        <c:crosses val="autoZero"/>
        <c:auto val="1"/>
        <c:lblAlgn val="ctr"/>
        <c:lblOffset val="100"/>
        <c:noMultiLvlLbl val="0"/>
      </c:catAx>
      <c:valAx>
        <c:axId val="148819944"/>
        <c:scaling>
          <c:orientation val="minMax"/>
          <c:max val="15000"/>
          <c:min val="11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148819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IRP UPDATE- Load</a:t>
            </a:r>
            <a:r>
              <a:rPr lang="en-US" baseline="0"/>
              <a:t> &amp; Resource Balance </a:t>
            </a:r>
            <a:endParaRPr lang="en-US"/>
          </a:p>
        </c:rich>
      </c:tx>
      <c:layout>
        <c:manualLayout>
          <c:xMode val="edge"/>
          <c:yMode val="edge"/>
          <c:x val="0.13723493725350566"/>
          <c:y val="2.150559205577009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'2015 IRP Update'!$C$61</c:f>
              <c:strCache>
                <c:ptCount val="1"/>
                <c:pt idx="0">
                  <c:v>Obligation + Reserves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 IRP Update'!$R$39:$AA$39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'2015 IRP Update'!$D$61:$M$61</c:f>
              <c:numCache>
                <c:formatCode>#,##0_);[Red]\(#,##0\)</c:formatCode>
                <c:ptCount val="10"/>
                <c:pt idx="0">
                  <c:v>11186</c:v>
                </c:pt>
                <c:pt idx="1">
                  <c:v>11315</c:v>
                </c:pt>
                <c:pt idx="2">
                  <c:v>11527</c:v>
                </c:pt>
                <c:pt idx="3">
                  <c:v>11691</c:v>
                </c:pt>
                <c:pt idx="4">
                  <c:v>11812</c:v>
                </c:pt>
                <c:pt idx="5">
                  <c:v>11947</c:v>
                </c:pt>
                <c:pt idx="6">
                  <c:v>12069</c:v>
                </c:pt>
                <c:pt idx="7">
                  <c:v>12181</c:v>
                </c:pt>
                <c:pt idx="8">
                  <c:v>12300</c:v>
                </c:pt>
                <c:pt idx="9">
                  <c:v>12411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 IRP Update'!$C$57</c:f>
              <c:strCache>
                <c:ptCount val="1"/>
                <c:pt idx="0">
                  <c:v>Total Resources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 IRP Update'!$R$39:$AA$39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'2015 IRP Update'!$D$57:$M$57</c:f>
              <c:numCache>
                <c:formatCode>#,##0_);[Red]\(#,##0\)</c:formatCode>
                <c:ptCount val="10"/>
                <c:pt idx="0">
                  <c:v>10131</c:v>
                </c:pt>
                <c:pt idx="1">
                  <c:v>10316</c:v>
                </c:pt>
                <c:pt idx="2">
                  <c:v>10042</c:v>
                </c:pt>
                <c:pt idx="3">
                  <c:v>9920</c:v>
                </c:pt>
                <c:pt idx="4">
                  <c:v>9973</c:v>
                </c:pt>
                <c:pt idx="5">
                  <c:v>10235</c:v>
                </c:pt>
                <c:pt idx="6">
                  <c:v>10136</c:v>
                </c:pt>
                <c:pt idx="7">
                  <c:v>10221</c:v>
                </c:pt>
                <c:pt idx="8">
                  <c:v>10180</c:v>
                </c:pt>
                <c:pt idx="9">
                  <c:v>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49872"/>
        <c:axId val="195650264"/>
      </c:lineChart>
      <c:catAx>
        <c:axId val="1956498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650264"/>
        <c:crosses val="autoZero"/>
        <c:auto val="1"/>
        <c:lblAlgn val="ctr"/>
        <c:lblOffset val="100"/>
        <c:noMultiLvlLbl val="0"/>
      </c:catAx>
      <c:valAx>
        <c:axId val="195650264"/>
        <c:scaling>
          <c:orientation val="minMax"/>
          <c:min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0"/>
            </a:pPr>
            <a:endParaRPr lang="en-US"/>
          </a:p>
        </c:txPr>
        <c:crossAx val="195649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IRP COMPARISON - TOTAL LOAD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Load!$A$65</c:f>
              <c:strCache>
                <c:ptCount val="1"/>
                <c:pt idx="0">
                  <c:v>2017 IRP (Preliminary)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Load!$H$3:$V$3</c15:sqref>
                  </c15:fullRef>
                </c:ext>
              </c:extLst>
              <c:f>Load!$L$3:$V$3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Load!$H$68:$V$68</c15:sqref>
                  </c15:fullRef>
                </c:ext>
              </c:extLst>
              <c:f>Load!$L$68:$V$68</c:f>
              <c:numCache>
                <c:formatCode>_(* #,##0_);_(* \(#,##0\);_(* "-"??_);_(@_)</c:formatCode>
                <c:ptCount val="11"/>
                <c:pt idx="1">
                  <c:v>10167</c:v>
                </c:pt>
                <c:pt idx="2">
                  <c:v>10286</c:v>
                </c:pt>
                <c:pt idx="3">
                  <c:v>10401</c:v>
                </c:pt>
                <c:pt idx="4">
                  <c:v>10507</c:v>
                </c:pt>
                <c:pt idx="5">
                  <c:v>10630</c:v>
                </c:pt>
                <c:pt idx="6">
                  <c:v>10742</c:v>
                </c:pt>
                <c:pt idx="7">
                  <c:v>10830</c:v>
                </c:pt>
                <c:pt idx="8">
                  <c:v>10934</c:v>
                </c:pt>
                <c:pt idx="9">
                  <c:v>11058</c:v>
                </c:pt>
                <c:pt idx="10">
                  <c:v>11082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Load!$A$60</c:f>
              <c:strCache>
                <c:ptCount val="1"/>
                <c:pt idx="0">
                  <c:v>2015 IRP UPDATE</c:v>
                </c:pt>
              </c:strCache>
            </c:strRef>
          </c:tx>
          <c:spPr>
            <a:ln>
              <a:prstDash val="dash"/>
            </a:ln>
          </c:spPr>
          <c:marker>
            <c:spPr>
              <a:ln>
                <a:prstDash val="dash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Load!$H$3:$V$3</c15:sqref>
                  </c15:fullRef>
                </c:ext>
              </c:extLst>
              <c:f>Load!$L$3:$V$3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Load!$H$63:$V$63</c15:sqref>
                  </c15:fullRef>
                </c:ext>
              </c:extLst>
              <c:f>Load!$L$63:$V$63</c:f>
              <c:numCache>
                <c:formatCode>_(* #,##0_);_(* \(#,##0\);_(* "-"??_);_(@_)</c:formatCode>
                <c:ptCount val="11"/>
                <c:pt idx="0">
                  <c:v>10169</c:v>
                </c:pt>
                <c:pt idx="1">
                  <c:v>10283</c:v>
                </c:pt>
                <c:pt idx="2">
                  <c:v>10470</c:v>
                </c:pt>
                <c:pt idx="3">
                  <c:v>10615</c:v>
                </c:pt>
                <c:pt idx="4">
                  <c:v>10723</c:v>
                </c:pt>
                <c:pt idx="5">
                  <c:v>10842</c:v>
                </c:pt>
                <c:pt idx="6">
                  <c:v>10950</c:v>
                </c:pt>
                <c:pt idx="7">
                  <c:v>11049</c:v>
                </c:pt>
                <c:pt idx="8">
                  <c:v>11155</c:v>
                </c:pt>
                <c:pt idx="9">
                  <c:v>11253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Load!$A$55</c:f>
              <c:strCache>
                <c:ptCount val="1"/>
                <c:pt idx="0">
                  <c:v>2015 IRP </c:v>
                </c:pt>
              </c:strCache>
            </c:strRef>
          </c:tx>
          <c:spPr>
            <a:ln>
              <a:prstDash val="sysDash"/>
            </a:ln>
          </c:spPr>
          <c:marker>
            <c:spPr>
              <a:ln>
                <a:prstDash val="sysDash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Load!$H$3:$V$3</c15:sqref>
                  </c15:fullRef>
                </c:ext>
              </c:extLst>
              <c:f>Load!$L$3:$V$3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Load!$H$58:$V$58</c15:sqref>
                  </c15:fullRef>
                </c:ext>
              </c:extLst>
              <c:f>Load!$L$58:$V$58</c:f>
              <c:numCache>
                <c:formatCode>_(* #,##0_);_(* \(#,##0\);_(* "-"??_);_(@_)</c:formatCode>
                <c:ptCount val="11"/>
                <c:pt idx="0">
                  <c:v>10214</c:v>
                </c:pt>
                <c:pt idx="1">
                  <c:v>10373</c:v>
                </c:pt>
                <c:pt idx="2">
                  <c:v>10509</c:v>
                </c:pt>
                <c:pt idx="3">
                  <c:v>10618</c:v>
                </c:pt>
                <c:pt idx="4">
                  <c:v>10736</c:v>
                </c:pt>
                <c:pt idx="5">
                  <c:v>10854</c:v>
                </c:pt>
                <c:pt idx="6">
                  <c:v>10958</c:v>
                </c:pt>
                <c:pt idx="7">
                  <c:v>11072</c:v>
                </c:pt>
                <c:pt idx="8">
                  <c:v>11116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Load!$A$50</c:f>
              <c:strCache>
                <c:ptCount val="1"/>
                <c:pt idx="0">
                  <c:v>2013 IRP - UPDATE</c:v>
                </c:pt>
              </c:strCache>
            </c:strRef>
          </c:tx>
          <c:spPr>
            <a:ln w="34925">
              <a:prstDash val="sysDot"/>
            </a:ln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Load!$H$3:$V$3</c15:sqref>
                  </c15:fullRef>
                </c:ext>
              </c:extLst>
              <c:f>Load!$L$3:$V$3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Load!$H$53:$V$53</c15:sqref>
                  </c15:fullRef>
                </c:ext>
              </c:extLst>
              <c:f>Load!$L$53:$V$53</c:f>
              <c:numCache>
                <c:formatCode>_(* #,##0_);_(* \(#,##0\);_(* "-"??_);_(@_)</c:formatCode>
                <c:ptCount val="11"/>
                <c:pt idx="0">
                  <c:v>10043</c:v>
                </c:pt>
                <c:pt idx="1">
                  <c:v>10210</c:v>
                </c:pt>
                <c:pt idx="2">
                  <c:v>10353</c:v>
                </c:pt>
                <c:pt idx="3">
                  <c:v>10482</c:v>
                </c:pt>
                <c:pt idx="4">
                  <c:v>10777</c:v>
                </c:pt>
                <c:pt idx="5">
                  <c:v>10929</c:v>
                </c:pt>
                <c:pt idx="6">
                  <c:v>11077</c:v>
                </c:pt>
                <c:pt idx="7">
                  <c:v>11232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51048"/>
        <c:axId val="195651440"/>
        <c:extLst>
          <c:ext xmlns:c15="http://schemas.microsoft.com/office/drawing/2012/chart" uri="{02D57815-91ED-43cb-92C2-25804820EDAC}">
            <c15:filteredLineSeries>
              <c15:ser>
                <c:idx val="3"/>
                <c:order val="4"/>
                <c:tx>
                  <c:v>2013 IRP</c:v>
                </c:tx>
                <c:spPr>
                  <a:ln>
                    <a:prstDash val="sysDash"/>
                  </a:ln>
                </c:spPr>
                <c:cat>
                  <c:numRef>
                    <c:extLst>
                      <c:ext uri="{02D57815-91ED-43cb-92C2-25804820EDAC}">
                        <c15:fullRef>
                          <c15:sqref>Load!$H$3:$V$3</c15:sqref>
                        </c15:fullRef>
                        <c15:formulaRef>
                          <c15:sqref>Load!$L$3:$V$3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Load!$H$47:$V$47</c15:sqref>
                        </c15:fullRef>
                        <c15:formulaRef>
                          <c15:sqref>Load!$L$47:$V$47</c15:sqref>
                        </c15:formulaRef>
                      </c:ext>
                    </c:extLst>
                    <c:numCache>
                      <c:formatCode>#,##0_);[Red]\(#,##0\)</c:formatCode>
                      <c:ptCount val="11"/>
                      <c:pt idx="0">
                        <c:v>10359</c:v>
                      </c:pt>
                      <c:pt idx="1">
                        <c:v>10512</c:v>
                      </c:pt>
                      <c:pt idx="2">
                        <c:v>10687</c:v>
                      </c:pt>
                      <c:pt idx="3">
                        <c:v>10816</c:v>
                      </c:pt>
                      <c:pt idx="4">
                        <c:v>10971</c:v>
                      </c:pt>
                      <c:pt idx="5">
                        <c:v>11133</c:v>
                      </c:pt>
                      <c:pt idx="6">
                        <c:v>11280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565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651440"/>
        <c:crosses val="autoZero"/>
        <c:auto val="1"/>
        <c:lblAlgn val="ctr"/>
        <c:lblOffset val="100"/>
        <c:noMultiLvlLbl val="0"/>
      </c:catAx>
      <c:valAx>
        <c:axId val="195651440"/>
        <c:scaling>
          <c:orientation val="minMax"/>
          <c:max val="11400"/>
          <c:min val="1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651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555" l="0.70000000000000095" r="0.70000000000000095" t="0.75000000000000555" header="0.30000000000000032" footer="0.30000000000000032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IRP COMPARISON - TOTAL LOAD</a:t>
            </a:r>
          </a:p>
        </c:rich>
      </c:tx>
      <c:layout>
        <c:manualLayout>
          <c:xMode val="edge"/>
          <c:yMode val="edge"/>
          <c:x val="0.29788159212057258"/>
          <c:y val="2.27448127875470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257731958762864E-2"/>
          <c:y val="0.11430331023864511"/>
          <c:w val="0.89584192439862542"/>
          <c:h val="0.63161535523994838"/>
        </c:manualLayout>
      </c:layout>
      <c:lineChart>
        <c:grouping val="standard"/>
        <c:varyColors val="0"/>
        <c:ser>
          <c:idx val="4"/>
          <c:order val="0"/>
          <c:tx>
            <c:strRef>
              <c:f>Load!$A$65</c:f>
              <c:strCache>
                <c:ptCount val="1"/>
                <c:pt idx="0">
                  <c:v>2017 IRP (Preliminary)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Load!$B$68:$V$68</c15:sqref>
                  </c15:fullRef>
                </c:ext>
              </c:extLst>
              <c:f>Load!$C$68:$V$68</c:f>
              <c:numCache>
                <c:formatCode>General</c:formatCode>
                <c:ptCount val="20"/>
                <c:pt idx="10" formatCode="_(* #,##0_);_(* \(#,##0\);_(* &quot;-&quot;??_);_(@_)">
                  <c:v>10167</c:v>
                </c:pt>
                <c:pt idx="11" formatCode="_(* #,##0_);_(* \(#,##0\);_(* &quot;-&quot;??_);_(@_)">
                  <c:v>10286</c:v>
                </c:pt>
                <c:pt idx="12" formatCode="_(* #,##0_);_(* \(#,##0\);_(* &quot;-&quot;??_);_(@_)">
                  <c:v>10401</c:v>
                </c:pt>
                <c:pt idx="13" formatCode="_(* #,##0_);_(* \(#,##0\);_(* &quot;-&quot;??_);_(@_)">
                  <c:v>10507</c:v>
                </c:pt>
                <c:pt idx="14" formatCode="_(* #,##0_);_(* \(#,##0\);_(* &quot;-&quot;??_);_(@_)">
                  <c:v>10630</c:v>
                </c:pt>
                <c:pt idx="15" formatCode="_(* #,##0_);_(* \(#,##0\);_(* &quot;-&quot;??_);_(@_)">
                  <c:v>10742</c:v>
                </c:pt>
                <c:pt idx="16" formatCode="_(* #,##0_);_(* \(#,##0\);_(* &quot;-&quot;??_);_(@_)">
                  <c:v>10830</c:v>
                </c:pt>
                <c:pt idx="17" formatCode="_(* #,##0_);_(* \(#,##0\);_(* &quot;-&quot;??_);_(@_)">
                  <c:v>10934</c:v>
                </c:pt>
                <c:pt idx="18" formatCode="_(* #,##0_);_(* \(#,##0\);_(* &quot;-&quot;??_);_(@_)">
                  <c:v>11058</c:v>
                </c:pt>
                <c:pt idx="19" formatCode="_(* #,##0_);_(* \(#,##0\);_(* &quot;-&quot;??_);_(@_)">
                  <c:v>11082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Load!$A$60</c:f>
              <c:strCache>
                <c:ptCount val="1"/>
                <c:pt idx="0">
                  <c:v>2015 IRP UPDATE</c:v>
                </c:pt>
              </c:strCache>
            </c:strRef>
          </c:tx>
          <c:spPr>
            <a:ln>
              <a:prstDash val="dash"/>
            </a:ln>
          </c:spPr>
          <c:marker>
            <c:spPr>
              <a:ln>
                <a:prstDash val="dash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Load!$B$63:$V$63</c15:sqref>
                  </c15:fullRef>
                </c:ext>
              </c:extLst>
              <c:f>Load!$C$63:$V$63</c:f>
              <c:numCache>
                <c:formatCode>General</c:formatCode>
                <c:ptCount val="20"/>
                <c:pt idx="9" formatCode="_(* #,##0_);_(* \(#,##0\);_(* &quot;-&quot;??_);_(@_)">
                  <c:v>10169</c:v>
                </c:pt>
                <c:pt idx="10" formatCode="_(* #,##0_);_(* \(#,##0\);_(* &quot;-&quot;??_);_(@_)">
                  <c:v>10283</c:v>
                </c:pt>
                <c:pt idx="11" formatCode="_(* #,##0_);_(* \(#,##0\);_(* &quot;-&quot;??_);_(@_)">
                  <c:v>10470</c:v>
                </c:pt>
                <c:pt idx="12" formatCode="_(* #,##0_);_(* \(#,##0\);_(* &quot;-&quot;??_);_(@_)">
                  <c:v>10615</c:v>
                </c:pt>
                <c:pt idx="13" formatCode="_(* #,##0_);_(* \(#,##0\);_(* &quot;-&quot;??_);_(@_)">
                  <c:v>10723</c:v>
                </c:pt>
                <c:pt idx="14" formatCode="_(* #,##0_);_(* \(#,##0\);_(* &quot;-&quot;??_);_(@_)">
                  <c:v>10842</c:v>
                </c:pt>
                <c:pt idx="15" formatCode="_(* #,##0_);_(* \(#,##0\);_(* &quot;-&quot;??_);_(@_)">
                  <c:v>10950</c:v>
                </c:pt>
                <c:pt idx="16" formatCode="_(* #,##0_);_(* \(#,##0\);_(* &quot;-&quot;??_);_(@_)">
                  <c:v>11049</c:v>
                </c:pt>
                <c:pt idx="17" formatCode="_(* #,##0_);_(* \(#,##0\);_(* &quot;-&quot;??_);_(@_)">
                  <c:v>11155</c:v>
                </c:pt>
                <c:pt idx="18" formatCode="_(* #,##0_);_(* \(#,##0\);_(* &quot;-&quot;??_);_(@_)">
                  <c:v>11253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Load!$A$55</c:f>
              <c:strCache>
                <c:ptCount val="1"/>
                <c:pt idx="0">
                  <c:v>2015 IRP </c:v>
                </c:pt>
              </c:strCache>
            </c:strRef>
          </c:tx>
          <c:spPr>
            <a:ln>
              <a:prstDash val="sysDash"/>
            </a:ln>
          </c:spPr>
          <c:marker>
            <c:spPr>
              <a:ln>
                <a:prstDash val="sysDash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Load!$B$58:$V$58</c15:sqref>
                  </c15:fullRef>
                </c:ext>
              </c:extLst>
              <c:f>Load!$C$58:$V$58</c:f>
              <c:numCache>
                <c:formatCode>General</c:formatCode>
                <c:ptCount val="20"/>
                <c:pt idx="8" formatCode="_(* #,##0_);_(* \(#,##0\);_(* &quot;-&quot;??_);_(@_)">
                  <c:v>10363</c:v>
                </c:pt>
                <c:pt idx="9" formatCode="_(* #,##0_);_(* \(#,##0\);_(* &quot;-&quot;??_);_(@_)">
                  <c:v>10214</c:v>
                </c:pt>
                <c:pt idx="10" formatCode="_(* #,##0_);_(* \(#,##0\);_(* &quot;-&quot;??_);_(@_)">
                  <c:v>10373</c:v>
                </c:pt>
                <c:pt idx="11" formatCode="_(* #,##0_);_(* \(#,##0\);_(* &quot;-&quot;??_);_(@_)">
                  <c:v>10509</c:v>
                </c:pt>
                <c:pt idx="12" formatCode="_(* #,##0_);_(* \(#,##0\);_(* &quot;-&quot;??_);_(@_)">
                  <c:v>10618</c:v>
                </c:pt>
                <c:pt idx="13" formatCode="_(* #,##0_);_(* \(#,##0\);_(* &quot;-&quot;??_);_(@_)">
                  <c:v>10736</c:v>
                </c:pt>
                <c:pt idx="14" formatCode="_(* #,##0_);_(* \(#,##0\);_(* &quot;-&quot;??_);_(@_)">
                  <c:v>10854</c:v>
                </c:pt>
                <c:pt idx="15" formatCode="_(* #,##0_);_(* \(#,##0\);_(* &quot;-&quot;??_);_(@_)">
                  <c:v>10958</c:v>
                </c:pt>
                <c:pt idx="16" formatCode="_(* #,##0_);_(* \(#,##0\);_(* &quot;-&quot;??_);_(@_)">
                  <c:v>11072</c:v>
                </c:pt>
                <c:pt idx="17" formatCode="_(* #,##0_);_(* \(#,##0\);_(* &quot;-&quot;??_);_(@_)">
                  <c:v>11116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Load!$A$50</c:f>
              <c:strCache>
                <c:ptCount val="1"/>
                <c:pt idx="0">
                  <c:v>2013 IRP - UPDATE</c:v>
                </c:pt>
              </c:strCache>
            </c:strRef>
          </c:tx>
          <c:spPr>
            <a:ln w="34925">
              <a:prstDash val="sysDot"/>
            </a:ln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Load!$B$53:$V$53</c15:sqref>
                  </c15:fullRef>
                </c:ext>
              </c:extLst>
              <c:f>Load!$C$53:$V$53</c:f>
              <c:numCache>
                <c:formatCode>General</c:formatCode>
                <c:ptCount val="20"/>
                <c:pt idx="7" formatCode="_(* #,##0_);_(* \(#,##0\);_(* &quot;-&quot;??_);_(@_)">
                  <c:v>9984</c:v>
                </c:pt>
                <c:pt idx="8" formatCode="_(* #,##0_);_(* \(#,##0\);_(* &quot;-&quot;??_);_(@_)">
                  <c:v>10151</c:v>
                </c:pt>
                <c:pt idx="9" formatCode="_(* #,##0_);_(* \(#,##0\);_(* &quot;-&quot;??_);_(@_)">
                  <c:v>10043</c:v>
                </c:pt>
                <c:pt idx="10" formatCode="_(* #,##0_);_(* \(#,##0\);_(* &quot;-&quot;??_);_(@_)">
                  <c:v>10210</c:v>
                </c:pt>
                <c:pt idx="11" formatCode="_(* #,##0_);_(* \(#,##0\);_(* &quot;-&quot;??_);_(@_)">
                  <c:v>10353</c:v>
                </c:pt>
                <c:pt idx="12" formatCode="_(* #,##0_);_(* \(#,##0\);_(* &quot;-&quot;??_);_(@_)">
                  <c:v>10482</c:v>
                </c:pt>
                <c:pt idx="13" formatCode="_(* #,##0_);_(* \(#,##0\);_(* &quot;-&quot;??_);_(@_)">
                  <c:v>10777</c:v>
                </c:pt>
                <c:pt idx="14" formatCode="_(* #,##0_);_(* \(#,##0\);_(* &quot;-&quot;??_);_(@_)">
                  <c:v>10929</c:v>
                </c:pt>
                <c:pt idx="15" formatCode="_(* #,##0_);_(* \(#,##0\);_(* &quot;-&quot;??_);_(@_)">
                  <c:v>11077</c:v>
                </c:pt>
                <c:pt idx="16" formatCode="_(* #,##0_);_(* \(#,##0\);_(* &quot;-&quot;??_);_(@_)">
                  <c:v>11232</c:v>
                </c:pt>
              </c:numCache>
            </c:numRef>
          </c:val>
          <c:smooth val="0"/>
        </c:ser>
        <c:ser>
          <c:idx val="3"/>
          <c:order val="4"/>
          <c:tx>
            <c:v>2013 IRP</c:v>
          </c:tx>
          <c:spPr>
            <a:ln>
              <a:prstDash val="sysDash"/>
            </a:ln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Load!$B$47:$V$47</c15:sqref>
                  </c15:fullRef>
                </c:ext>
              </c:extLst>
              <c:f>Load!$C$47:$V$47</c:f>
              <c:numCache>
                <c:formatCode>General</c:formatCode>
                <c:ptCount val="20"/>
                <c:pt idx="6" formatCode="#,##0_);[Red]\(#,##0\)">
                  <c:v>10136</c:v>
                </c:pt>
                <c:pt idx="7" formatCode="#,##0_);[Red]\(#,##0\)">
                  <c:v>10330</c:v>
                </c:pt>
                <c:pt idx="8" formatCode="#,##0_);[Red]\(#,##0\)">
                  <c:v>10495</c:v>
                </c:pt>
                <c:pt idx="9" formatCode="#,##0_);[Red]\(#,##0\)">
                  <c:v>10359</c:v>
                </c:pt>
                <c:pt idx="10" formatCode="#,##0_);[Red]\(#,##0\)">
                  <c:v>10512</c:v>
                </c:pt>
                <c:pt idx="11" formatCode="#,##0_);[Red]\(#,##0\)">
                  <c:v>10687</c:v>
                </c:pt>
                <c:pt idx="12" formatCode="#,##0_);[Red]\(#,##0\)">
                  <c:v>10816</c:v>
                </c:pt>
                <c:pt idx="13" formatCode="#,##0_);[Red]\(#,##0\)">
                  <c:v>10971</c:v>
                </c:pt>
                <c:pt idx="14" formatCode="#,##0_);[Red]\(#,##0\)">
                  <c:v>11133</c:v>
                </c:pt>
                <c:pt idx="15" formatCode="#,##0_);[Red]\(#,##0\)">
                  <c:v>11280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Load!$A$34</c:f>
              <c:strCache>
                <c:ptCount val="1"/>
                <c:pt idx="0">
                  <c:v>2011 IRP UPDATE</c:v>
                </c:pt>
              </c:strCache>
            </c:strRef>
          </c:tx>
          <c:spPr>
            <a:ln>
              <a:prstDash val="lgDash"/>
            </a:ln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Load!$B$37:$V$37</c15:sqref>
                  </c15:fullRef>
                </c:ext>
              </c:extLst>
              <c:f>Load!$C$37:$V$37</c:f>
              <c:numCache>
                <c:formatCode>General</c:formatCode>
                <c:ptCount val="20"/>
                <c:pt idx="5" formatCode="_(* #,##0_);_(* \(#,##0\);_(* &quot;-&quot;??_);_(@_)">
                  <c:v>10176</c:v>
                </c:pt>
                <c:pt idx="6" formatCode="_(* #,##0_);_(* \(#,##0\);_(* &quot;-&quot;??_);_(@_)">
                  <c:v>10418</c:v>
                </c:pt>
                <c:pt idx="7" formatCode="_(* #,##0_);_(* \(#,##0\);_(* &quot;-&quot;??_);_(@_)">
                  <c:v>10735</c:v>
                </c:pt>
                <c:pt idx="8" formatCode="_(* #,##0_);_(* \(#,##0\);_(* &quot;-&quot;??_);_(@_)">
                  <c:v>10985</c:v>
                </c:pt>
                <c:pt idx="9" formatCode="_(* #,##0_);_(* \(#,##0\);_(* &quot;-&quot;??_);_(@_)">
                  <c:v>10882</c:v>
                </c:pt>
                <c:pt idx="10" formatCode="_(* #,##0_);_(* \(#,##0\);_(* &quot;-&quot;??_);_(@_)">
                  <c:v>11201</c:v>
                </c:pt>
                <c:pt idx="11" formatCode="_(* #,##0_);_(* \(#,##0\);_(* &quot;-&quot;??_);_(@_)">
                  <c:v>11394</c:v>
                </c:pt>
                <c:pt idx="12" formatCode="_(* #,##0_);_(* \(#,##0\);_(* &quot;-&quot;??_);_(@_)">
                  <c:v>11578</c:v>
                </c:pt>
                <c:pt idx="13" formatCode="_(* #,##0_);_(* \(#,##0\);_(* &quot;-&quot;??_);_(@_)">
                  <c:v>11777</c:v>
                </c:pt>
                <c:pt idx="14" formatCode="_(* #,##0_);_(* \(#,##0\);_(* &quot;-&quot;??_);_(@_)">
                  <c:v>11976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Load!$A$29</c:f>
              <c:strCache>
                <c:ptCount val="1"/>
                <c:pt idx="0">
                  <c:v>2011 IRP </c:v>
                </c:pt>
              </c:strCache>
            </c:strRef>
          </c:tx>
          <c:spPr>
            <a:ln>
              <a:prstDash val="dash"/>
            </a:ln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Load!$B$32:$V$32</c15:sqref>
                  </c15:fullRef>
                </c:ext>
              </c:extLst>
              <c:f>Load!$C$32:$V$32</c:f>
              <c:numCache>
                <c:formatCode>General</c:formatCode>
                <c:ptCount val="20"/>
                <c:pt idx="4" formatCode="_(* #,##0_);_(* \(#,##0\);_(* &quot;-&quot;??_);_(@_)">
                  <c:v>10450</c:v>
                </c:pt>
                <c:pt idx="5" formatCode="_(* #,##0_);_(* \(#,##0\);_(* &quot;-&quot;??_);_(@_)">
                  <c:v>10718</c:v>
                </c:pt>
                <c:pt idx="6" formatCode="_(* #,##0_);_(* \(#,##0\);_(* &quot;-&quot;??_);_(@_)">
                  <c:v>10961</c:v>
                </c:pt>
                <c:pt idx="7" formatCode="_(* #,##0_);_(* \(#,##0\);_(* &quot;-&quot;??_);_(@_)">
                  <c:v>11253</c:v>
                </c:pt>
                <c:pt idx="8" formatCode="_(* #,##0_);_(* \(#,##0\);_(* &quot;-&quot;??_);_(@_)">
                  <c:v>11500</c:v>
                </c:pt>
                <c:pt idx="9" formatCode="_(* #,##0_);_(* \(#,##0\);_(* &quot;-&quot;??_);_(@_)">
                  <c:v>11742</c:v>
                </c:pt>
                <c:pt idx="10" formatCode="_(* #,##0_);_(* \(#,##0\);_(* &quot;-&quot;??_);_(@_)">
                  <c:v>11960</c:v>
                </c:pt>
                <c:pt idx="11" formatCode="_(* #,##0_);_(* \(#,##0\);_(* &quot;-&quot;??_);_(@_)">
                  <c:v>12194</c:v>
                </c:pt>
                <c:pt idx="12" formatCode="_(* #,##0_);_(* \(#,##0\);_(* &quot;-&quot;??_);_(@_)">
                  <c:v>12378</c:v>
                </c:pt>
                <c:pt idx="13" formatCode="_(* #,##0_);_(* \(#,##0\);_(* &quot;-&quot;??_);_(@_)">
                  <c:v>12608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Load!$A$24</c:f>
              <c:strCache>
                <c:ptCount val="1"/>
                <c:pt idx="0">
                  <c:v>2008 IRP UPDATE </c:v>
                </c:pt>
              </c:strCache>
            </c:strRef>
          </c:tx>
          <c:spPr>
            <a:ln>
              <a:prstDash val="sysDash"/>
            </a:ln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Load!$B$27:$V$27</c15:sqref>
                  </c15:fullRef>
                </c:ext>
              </c:extLst>
              <c:f>Load!$C$27:$V$27</c:f>
              <c:numCache>
                <c:formatCode>General</c:formatCode>
                <c:ptCount val="20"/>
                <c:pt idx="3" formatCode="_(* #,##0_);_(* \(#,##0\);_(* &quot;-&quot;??_);_(@_)">
                  <c:v>9919</c:v>
                </c:pt>
                <c:pt idx="4" formatCode="_(* #,##0_);_(* \(#,##0\);_(* &quot;-&quot;??_);_(@_)">
                  <c:v>10272</c:v>
                </c:pt>
                <c:pt idx="5" formatCode="_(* #,##0_);_(* \(#,##0\);_(* &quot;-&quot;??_);_(@_)">
                  <c:v>10647</c:v>
                </c:pt>
                <c:pt idx="6" formatCode="_(* #,##0_);_(* \(#,##0\);_(* &quot;-&quot;??_);_(@_)">
                  <c:v>10977</c:v>
                </c:pt>
                <c:pt idx="7" formatCode="_(* #,##0_);_(* \(#,##0\);_(* &quot;-&quot;??_);_(@_)">
                  <c:v>11305</c:v>
                </c:pt>
                <c:pt idx="8" formatCode="_(* #,##0_);_(* \(#,##0\);_(* &quot;-&quot;??_);_(@_)">
                  <c:v>11574</c:v>
                </c:pt>
                <c:pt idx="9" formatCode="_(* #,##0_);_(* \(#,##0\);_(* &quot;-&quot;??_);_(@_)">
                  <c:v>11841</c:v>
                </c:pt>
                <c:pt idx="10" formatCode="_(* #,##0_);_(* \(#,##0\);_(* &quot;-&quot;??_);_(@_)">
                  <c:v>12049</c:v>
                </c:pt>
                <c:pt idx="11" formatCode="_(* #,##0_);_(* \(#,##0\);_(* &quot;-&quot;??_);_(@_)">
                  <c:v>12281</c:v>
                </c:pt>
                <c:pt idx="12" formatCode="_(* #,##0_);_(* \(#,##0\);_(* &quot;-&quot;??_);_(@_)">
                  <c:v>12478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Load!$A$19</c:f>
              <c:strCache>
                <c:ptCount val="1"/>
                <c:pt idx="0">
                  <c:v>2008 IRP</c:v>
                </c:pt>
              </c:strCache>
            </c:strRef>
          </c:tx>
          <c:spPr>
            <a:ln>
              <a:prstDash val="sysDot"/>
            </a:ln>
          </c:spPr>
          <c:marker>
            <c:spPr>
              <a:ln w="15875"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Load!$B$22:$V$22</c15:sqref>
                  </c15:fullRef>
                </c:ext>
              </c:extLst>
              <c:f>Load!$C$22:$V$22</c:f>
              <c:numCache>
                <c:formatCode>General</c:formatCode>
                <c:ptCount val="20"/>
                <c:pt idx="2" formatCode="_(* #,##0_);_(* \(#,##0\);_(* &quot;-&quot;??_);_(@_)">
                  <c:v>10150</c:v>
                </c:pt>
                <c:pt idx="3" formatCode="_(* #,##0_);_(* \(#,##0\);_(* &quot;-&quot;??_);_(@_)">
                  <c:v>10371</c:v>
                </c:pt>
                <c:pt idx="4" formatCode="_(* #,##0_);_(* \(#,##0\);_(* &quot;-&quot;??_);_(@_)">
                  <c:v>10640</c:v>
                </c:pt>
                <c:pt idx="5" formatCode="_(* #,##0_);_(* \(#,##0\);_(* &quot;-&quot;??_);_(@_)">
                  <c:v>10991</c:v>
                </c:pt>
                <c:pt idx="6" formatCode="_(* #,##0_);_(* \(#,##0\);_(* &quot;-&quot;??_);_(@_)">
                  <c:v>11281</c:v>
                </c:pt>
                <c:pt idx="7" formatCode="_(* #,##0_);_(* \(#,##0\);_(* &quot;-&quot;??_);_(@_)">
                  <c:v>11501</c:v>
                </c:pt>
                <c:pt idx="8" formatCode="_(* #,##0_);_(* \(#,##0\);_(* &quot;-&quot;??_);_(@_)">
                  <c:v>11798</c:v>
                </c:pt>
                <c:pt idx="9" formatCode="_(* #,##0_);_(* \(#,##0\);_(* &quot;-&quot;??_);_(@_)">
                  <c:v>12127</c:v>
                </c:pt>
                <c:pt idx="10" formatCode="_(* #,##0_);_(* \(#,##0\);_(* &quot;-&quot;??_);_(@_)">
                  <c:v>12384</c:v>
                </c:pt>
                <c:pt idx="11" formatCode="_(* #,##0_);_(* \(#,##0\);_(* &quot;-&quot;??_);_(@_)">
                  <c:v>12674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Load!$A$13</c:f>
              <c:strCache>
                <c:ptCount val="1"/>
                <c:pt idx="0">
                  <c:v>2007 IRP UPDATE</c:v>
                </c:pt>
              </c:strCache>
            </c:strRef>
          </c:tx>
          <c:spPr>
            <a:ln>
              <a:prstDash val="dashDot"/>
            </a:ln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Load!$B$17:$V$17</c15:sqref>
                  </c15:fullRef>
                </c:ext>
              </c:extLst>
              <c:f>Load!$C$17:$V$17</c:f>
              <c:numCache>
                <c:formatCode>General</c:formatCode>
                <c:ptCount val="20"/>
                <c:pt idx="1" formatCode="_(* #,##0_);_(* \(#,##0\);_(* &quot;-&quot;??_);_(@_)">
                  <c:v>9775</c:v>
                </c:pt>
                <c:pt idx="2" formatCode="_(* #,##0_);_(* \(#,##0\);_(* &quot;-&quot;??_);_(@_)">
                  <c:v>10068</c:v>
                </c:pt>
                <c:pt idx="3" formatCode="_(* #,##0_);_(* \(#,##0\);_(* &quot;-&quot;??_);_(@_)">
                  <c:v>10277</c:v>
                </c:pt>
                <c:pt idx="4" formatCode="_(* #,##0_);_(* \(#,##0\);_(* &quot;-&quot;??_);_(@_)">
                  <c:v>10446</c:v>
                </c:pt>
                <c:pt idx="5" formatCode="_(* #,##0_);_(* \(#,##0\);_(* &quot;-&quot;??_);_(@_)">
                  <c:v>10745</c:v>
                </c:pt>
                <c:pt idx="6" formatCode="_(* #,##0_);_(* \(#,##0\);_(* &quot;-&quot;??_);_(@_)">
                  <c:v>11021</c:v>
                </c:pt>
                <c:pt idx="7" formatCode="_(* #,##0_);_(* \(#,##0\);_(* &quot;-&quot;??_);_(@_)">
                  <c:v>11239</c:v>
                </c:pt>
                <c:pt idx="8" formatCode="_(* #,##0_);_(* \(#,##0\);_(* &quot;-&quot;??_);_(@_)">
                  <c:v>11358</c:v>
                </c:pt>
                <c:pt idx="9" formatCode="_(* #,##0_);_(* \(#,##0\);_(* &quot;-&quot;??_);_(@_)">
                  <c:v>11591</c:v>
                </c:pt>
                <c:pt idx="10" formatCode="_(* #,##0_);_(* \(#,##0\);_(* &quot;-&quot;??_);_(@_)">
                  <c:v>11758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Load!$A$8</c:f>
              <c:strCache>
                <c:ptCount val="1"/>
                <c:pt idx="0">
                  <c:v>2007 IRP</c:v>
                </c:pt>
              </c:strCache>
            </c:strRef>
          </c:tx>
          <c:spPr>
            <a:ln>
              <a:prstDash val="sysDot"/>
            </a:ln>
          </c:spPr>
          <c:marker>
            <c:spPr>
              <a:ln w="6350">
                <a:prstDash val="sysDash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Load!$B$3:$V$3</c15:sqref>
                  </c15:fullRef>
                </c:ext>
              </c:extLst>
              <c:f>Load!$C$3:$V$3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Load!$B$12:$V$12</c15:sqref>
                  </c15:fullRef>
                </c:ext>
              </c:extLst>
              <c:f>Load!$C$12:$V$12</c:f>
              <c:numCache>
                <c:formatCode>_(* #,##0_);_(* \(#,##0\);_(* "-"??_);_(@_)</c:formatCode>
                <c:ptCount val="20"/>
                <c:pt idx="0">
                  <c:v>9243</c:v>
                </c:pt>
                <c:pt idx="1">
                  <c:v>9439</c:v>
                </c:pt>
                <c:pt idx="2">
                  <c:v>9752</c:v>
                </c:pt>
                <c:pt idx="3">
                  <c:v>10261</c:v>
                </c:pt>
                <c:pt idx="4">
                  <c:v>10488</c:v>
                </c:pt>
                <c:pt idx="5">
                  <c:v>10835</c:v>
                </c:pt>
                <c:pt idx="6">
                  <c:v>10989</c:v>
                </c:pt>
                <c:pt idx="7">
                  <c:v>11157</c:v>
                </c:pt>
                <c:pt idx="8">
                  <c:v>11297</c:v>
                </c:pt>
                <c:pt idx="9">
                  <c:v>11618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52224"/>
        <c:axId val="195652616"/>
        <c:extLst>
          <c:ext xmlns:c15="http://schemas.microsoft.com/office/drawing/2012/chart" uri="{02D57815-91ED-43cb-92C2-25804820EDAC}">
            <c15:filteredLineSeries>
              <c15:ser>
                <c:idx val="11"/>
                <c:order val="11"/>
                <c:tx>
                  <c:strRef>
                    <c:extLst>
                      <c:ext uri="{02D57815-91ED-43cb-92C2-25804820EDAC}">
                        <c15:formulaRef>
                          <c15:sqref>Load!$A$4</c15:sqref>
                        </c15:formulaRef>
                      </c:ext>
                    </c:extLst>
                    <c:strCache>
                      <c:ptCount val="1"/>
                      <c:pt idx="0">
                        <c:v>2004 IRP UPDATE</c:v>
                      </c:pt>
                    </c:strCache>
                  </c:strRef>
                </c:tx>
                <c:spPr>
                  <a:ln>
                    <a:prstDash val="sysDash"/>
                  </a:ln>
                </c:spPr>
                <c:marker>
                  <c:spPr>
                    <a:ln>
                      <a:prstDash val="sysDot"/>
                    </a:ln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Load!$B$3:$V$3</c15:sqref>
                        </c15:fullRef>
                        <c15:formulaRef>
                          <c15:sqref>Load!$C$3:$V$3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</c:v>
                      </c:pt>
                      <c:pt idx="17">
                        <c:v>2024</c:v>
                      </c:pt>
                      <c:pt idx="18">
                        <c:v>2025</c:v>
                      </c:pt>
                      <c:pt idx="19">
                        <c:v>2026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Load!$B$7:$V$7</c15:sqref>
                        </c15:fullRef>
                        <c15:formulaRef>
                          <c15:sqref>Load!$C$7:$V$7</c15:sqref>
                        </c15:formulaRef>
                      </c:ext>
                    </c:extLst>
                    <c:numCache>
                      <c:formatCode>#,##0_);[Red]\(#,##0\)</c:formatCode>
                      <c:ptCount val="20"/>
                      <c:pt idx="0">
                        <c:v>9980</c:v>
                      </c:pt>
                      <c:pt idx="1">
                        <c:v>9712</c:v>
                      </c:pt>
                      <c:pt idx="2">
                        <c:v>10057</c:v>
                      </c:pt>
                      <c:pt idx="3">
                        <c:v>10321</c:v>
                      </c:pt>
                      <c:pt idx="4">
                        <c:v>10621</c:v>
                      </c:pt>
                      <c:pt idx="5">
                        <c:v>10862</c:v>
                      </c:pt>
                      <c:pt idx="6">
                        <c:v>11197</c:v>
                      </c:pt>
                      <c:pt idx="7">
                        <c:v>11539</c:v>
                      </c:pt>
                      <c:pt idx="8">
                        <c:v>11875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56522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652616"/>
        <c:crosses val="autoZero"/>
        <c:auto val="1"/>
        <c:lblAlgn val="ctr"/>
        <c:lblOffset val="100"/>
        <c:noMultiLvlLbl val="0"/>
      </c:catAx>
      <c:valAx>
        <c:axId val="195652616"/>
        <c:scaling>
          <c:orientation val="minMax"/>
          <c:max val="13000"/>
          <c:min val="90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65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757123143112265E-2"/>
          <c:y val="0.83962151382347416"/>
          <c:w val="0.85448575371377544"/>
          <c:h val="0.151140610887842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95" r="0.70000000000000095" t="0.750000000000005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2008 IRP UPDATE - Load</a:t>
            </a:r>
            <a:r>
              <a:rPr lang="en-US" baseline="0"/>
              <a:t> &amp; Resource Balance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'2008 IRP Update - Mar 2010'!$A$58</c:f>
              <c:strCache>
                <c:ptCount val="1"/>
                <c:pt idx="0">
                  <c:v>Obligation + Reserves</c:v>
                </c:pt>
              </c:strCache>
            </c:strRef>
          </c:tx>
          <c:cat>
            <c:numRef>
              <c:f>'2008 IRP Update - Mar 2010'!$O$44:$X$44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'2008 IRP Update - Mar 2010'!$B$58:$K$58</c:f>
              <c:numCache>
                <c:formatCode>#,##0_);[Red]\(#,##0\)</c:formatCode>
                <c:ptCount val="10"/>
                <c:pt idx="0">
                  <c:v>12278</c:v>
                </c:pt>
                <c:pt idx="1">
                  <c:v>12479</c:v>
                </c:pt>
                <c:pt idx="2">
                  <c:v>13198</c:v>
                </c:pt>
                <c:pt idx="3">
                  <c:v>13629</c:v>
                </c:pt>
                <c:pt idx="4">
                  <c:v>13703</c:v>
                </c:pt>
                <c:pt idx="5">
                  <c:v>13893</c:v>
                </c:pt>
                <c:pt idx="6">
                  <c:v>14138</c:v>
                </c:pt>
                <c:pt idx="7">
                  <c:v>14271</c:v>
                </c:pt>
                <c:pt idx="8">
                  <c:v>14529</c:v>
                </c:pt>
                <c:pt idx="9">
                  <c:v>14748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'2008 IRP Update - Mar 2010'!$A$56</c:f>
              <c:strCache>
                <c:ptCount val="1"/>
                <c:pt idx="0">
                  <c:v>Obligation</c:v>
                </c:pt>
              </c:strCache>
            </c:strRef>
          </c:tx>
          <c:cat>
            <c:numRef>
              <c:f>'2008 IRP Update - Mar 2010'!$O$44:$X$44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'2008 IRP Update - Mar 2010'!$B$56:$K$56</c:f>
              <c:numCache>
                <c:formatCode>#,##0_);[Red]\(#,##0\)</c:formatCode>
                <c:ptCount val="10"/>
                <c:pt idx="0">
                  <c:v>11177</c:v>
                </c:pt>
                <c:pt idx="1">
                  <c:v>11320</c:v>
                </c:pt>
                <c:pt idx="2">
                  <c:v>11902</c:v>
                </c:pt>
                <c:pt idx="3">
                  <c:v>12280</c:v>
                </c:pt>
                <c:pt idx="4">
                  <c:v>12308</c:v>
                </c:pt>
                <c:pt idx="5">
                  <c:v>12477</c:v>
                </c:pt>
                <c:pt idx="6">
                  <c:v>12694</c:v>
                </c:pt>
                <c:pt idx="7">
                  <c:v>12816</c:v>
                </c:pt>
                <c:pt idx="8">
                  <c:v>13048</c:v>
                </c:pt>
                <c:pt idx="9">
                  <c:v>13245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'2008 IRP Update - Mar 2010'!$A$54</c:f>
              <c:strCache>
                <c:ptCount val="1"/>
                <c:pt idx="0">
                  <c:v>Total Resources</c:v>
                </c:pt>
              </c:strCache>
            </c:strRef>
          </c:tx>
          <c:cat>
            <c:numRef>
              <c:f>'2008 IRP Update - Mar 2010'!$O$44:$X$44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'2008 IRP Update - Mar 2010'!$B$54:$K$54</c:f>
              <c:numCache>
                <c:formatCode>#,##0_);[Red]\(#,##0\)</c:formatCode>
                <c:ptCount val="10"/>
                <c:pt idx="0">
                  <c:v>12975</c:v>
                </c:pt>
                <c:pt idx="1">
                  <c:v>12654</c:v>
                </c:pt>
                <c:pt idx="2">
                  <c:v>11933</c:v>
                </c:pt>
                <c:pt idx="3">
                  <c:v>11868</c:v>
                </c:pt>
                <c:pt idx="4">
                  <c:v>11514</c:v>
                </c:pt>
                <c:pt idx="5">
                  <c:v>11523</c:v>
                </c:pt>
                <c:pt idx="6">
                  <c:v>11554</c:v>
                </c:pt>
                <c:pt idx="7">
                  <c:v>11583</c:v>
                </c:pt>
                <c:pt idx="8">
                  <c:v>11600</c:v>
                </c:pt>
                <c:pt idx="9">
                  <c:v>11574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'2008 IRP Update - Mar 2010'!$L$56</c:f>
              <c:strCache>
                <c:ptCount val="1"/>
                <c:pt idx="0">
                  <c:v>1.5% growth</c:v>
                </c:pt>
              </c:strCache>
            </c:strRef>
          </c:tx>
          <c:cat>
            <c:numRef>
              <c:f>'2008 IRP Update - Mar 2010'!$O$44:$X$44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'2008 IRP Update - Mar 2010'!$O$56:$X$56</c:f>
              <c:numCache>
                <c:formatCode>_(* #,##0_);_(* \(#,##0\);_(* "-"??_);_(@_)</c:formatCode>
                <c:ptCount val="10"/>
                <c:pt idx="0" formatCode="#,##0_);[Red]\(#,##0\)">
                  <c:v>12278</c:v>
                </c:pt>
                <c:pt idx="1">
                  <c:v>12462.169999999998</c:v>
                </c:pt>
                <c:pt idx="2">
                  <c:v>12649.102549999998</c:v>
                </c:pt>
                <c:pt idx="3">
                  <c:v>12838.839088249997</c:v>
                </c:pt>
                <c:pt idx="4">
                  <c:v>13031.421674573745</c:v>
                </c:pt>
                <c:pt idx="5">
                  <c:v>13226.892999692349</c:v>
                </c:pt>
                <c:pt idx="6">
                  <c:v>13425.296394687733</c:v>
                </c:pt>
                <c:pt idx="7">
                  <c:v>13626.675840608048</c:v>
                </c:pt>
                <c:pt idx="8">
                  <c:v>13831.075978217168</c:v>
                </c:pt>
                <c:pt idx="9">
                  <c:v>14038.542117890423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0728"/>
        <c:axId val="148821120"/>
      </c:lineChart>
      <c:catAx>
        <c:axId val="14882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8821120"/>
        <c:crosses val="autoZero"/>
        <c:auto val="1"/>
        <c:lblAlgn val="ctr"/>
        <c:lblOffset val="100"/>
        <c:noMultiLvlLbl val="0"/>
      </c:catAx>
      <c:valAx>
        <c:axId val="148821120"/>
        <c:scaling>
          <c:orientation val="minMax"/>
          <c:max val="15000"/>
          <c:min val="11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148820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2011 IRP - Load</a:t>
            </a:r>
            <a:r>
              <a:rPr lang="en-US" baseline="0"/>
              <a:t> &amp; Resource Balance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'2011 IRP - Mar 2011'!$A$58</c:f>
              <c:strCache>
                <c:ptCount val="1"/>
                <c:pt idx="0">
                  <c:v>Obligation + Reserves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 IRP - Mar 2011'!$O$44:$X$44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 IRP - Mar 2011'!$B$58:$K$58</c:f>
              <c:numCache>
                <c:formatCode>#,##0_);[Red]\(#,##0\)</c:formatCode>
                <c:ptCount val="10"/>
                <c:pt idx="0">
                  <c:v>12795</c:v>
                </c:pt>
                <c:pt idx="1">
                  <c:v>13404</c:v>
                </c:pt>
                <c:pt idx="2">
                  <c:v>13735</c:v>
                </c:pt>
                <c:pt idx="3">
                  <c:v>13778</c:v>
                </c:pt>
                <c:pt idx="4">
                  <c:v>13946</c:v>
                </c:pt>
                <c:pt idx="5">
                  <c:v>14164</c:v>
                </c:pt>
                <c:pt idx="6">
                  <c:v>14310</c:v>
                </c:pt>
                <c:pt idx="7">
                  <c:v>14573</c:v>
                </c:pt>
                <c:pt idx="8">
                  <c:v>14779</c:v>
                </c:pt>
                <c:pt idx="9">
                  <c:v>15043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'2011 IRP - Mar 2011'!$A$56</c:f>
              <c:strCache>
                <c:ptCount val="1"/>
                <c:pt idx="0">
                  <c:v>Obligation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 IRP - Mar 2011'!$O$44:$X$44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 IRP - Mar 2011'!$B$56:$K$56</c:f>
              <c:numCache>
                <c:formatCode>#,##0_);[Red]\(#,##0\)</c:formatCode>
                <c:ptCount val="10"/>
                <c:pt idx="0">
                  <c:v>11498</c:v>
                </c:pt>
                <c:pt idx="1">
                  <c:v>11973</c:v>
                </c:pt>
                <c:pt idx="2">
                  <c:v>12264</c:v>
                </c:pt>
                <c:pt idx="3">
                  <c:v>12256</c:v>
                </c:pt>
                <c:pt idx="4">
                  <c:v>12403</c:v>
                </c:pt>
                <c:pt idx="5">
                  <c:v>12595</c:v>
                </c:pt>
                <c:pt idx="6">
                  <c:v>12727</c:v>
                </c:pt>
                <c:pt idx="7">
                  <c:v>12961</c:v>
                </c:pt>
                <c:pt idx="8">
                  <c:v>13145</c:v>
                </c:pt>
                <c:pt idx="9">
                  <c:v>13375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'2011 IRP - Mar 2011'!$A$54</c:f>
              <c:strCache>
                <c:ptCount val="1"/>
                <c:pt idx="0">
                  <c:v>Total Resources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 IRP - Mar 2011'!$O$44:$X$44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 IRP - Mar 2011'!$B$54:$K$54</c:f>
              <c:numCache>
                <c:formatCode>#,##0_);[Red]\(#,##0\)</c:formatCode>
                <c:ptCount val="10"/>
                <c:pt idx="0">
                  <c:v>12468</c:v>
                </c:pt>
                <c:pt idx="1">
                  <c:v>11803</c:v>
                </c:pt>
                <c:pt idx="2">
                  <c:v>11810</c:v>
                </c:pt>
                <c:pt idx="3">
                  <c:v>11404</c:v>
                </c:pt>
                <c:pt idx="4">
                  <c:v>11400</c:v>
                </c:pt>
                <c:pt idx="5">
                  <c:v>11397</c:v>
                </c:pt>
                <c:pt idx="6">
                  <c:v>11412</c:v>
                </c:pt>
                <c:pt idx="7">
                  <c:v>11434</c:v>
                </c:pt>
                <c:pt idx="8">
                  <c:v>11395</c:v>
                </c:pt>
                <c:pt idx="9">
                  <c:v>11192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3320"/>
        <c:axId val="194933712"/>
      </c:lineChart>
      <c:catAx>
        <c:axId val="1949333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4933712"/>
        <c:crosses val="autoZero"/>
        <c:auto val="1"/>
        <c:lblAlgn val="ctr"/>
        <c:lblOffset val="100"/>
        <c:noMultiLvlLbl val="0"/>
      </c:catAx>
      <c:valAx>
        <c:axId val="194933712"/>
        <c:scaling>
          <c:orientation val="minMax"/>
          <c:max val="16000"/>
          <c:min val="1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n-US"/>
          </a:p>
        </c:txPr>
        <c:crossAx val="194933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2011 IRP - Load</a:t>
            </a:r>
            <a:r>
              <a:rPr lang="en-US" baseline="0"/>
              <a:t> &amp; Resource Balance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'2011 IRP Update'!$A$58</c:f>
              <c:strCache>
                <c:ptCount val="1"/>
                <c:pt idx="0">
                  <c:v>Obligation + Reserves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 IRP Update'!$O$44:$X$44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'2011 IRP Update'!$B$58:$K$58</c:f>
              <c:numCache>
                <c:formatCode>#,##0_);[Red]\(#,##0\)</c:formatCode>
                <c:ptCount val="10"/>
                <c:pt idx="0">
                  <c:v>12991</c:v>
                </c:pt>
                <c:pt idx="1">
                  <c:v>13150</c:v>
                </c:pt>
                <c:pt idx="2">
                  <c:v>13287</c:v>
                </c:pt>
                <c:pt idx="3">
                  <c:v>13491</c:v>
                </c:pt>
                <c:pt idx="4">
                  <c:v>13368</c:v>
                </c:pt>
                <c:pt idx="5">
                  <c:v>13602</c:v>
                </c:pt>
                <c:pt idx="6">
                  <c:v>13820</c:v>
                </c:pt>
                <c:pt idx="7">
                  <c:v>14029</c:v>
                </c:pt>
                <c:pt idx="8">
                  <c:v>14254</c:v>
                </c:pt>
                <c:pt idx="9">
                  <c:v>13934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'2011 IRP Update'!$A$56</c:f>
              <c:strCache>
                <c:ptCount val="1"/>
                <c:pt idx="0">
                  <c:v>Obligation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 IRP Update'!$O$44:$X$44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'2011 IRP Update'!$B$56:$K$56</c:f>
              <c:numCache>
                <c:formatCode>#,##0_);[Red]\(#,##0\)</c:formatCode>
                <c:ptCount val="10"/>
                <c:pt idx="0">
                  <c:v>11636</c:v>
                </c:pt>
                <c:pt idx="1">
                  <c:v>11776</c:v>
                </c:pt>
                <c:pt idx="2">
                  <c:v>11792</c:v>
                </c:pt>
                <c:pt idx="3">
                  <c:v>11942</c:v>
                </c:pt>
                <c:pt idx="4">
                  <c:v>11789</c:v>
                </c:pt>
                <c:pt idx="5">
                  <c:v>12022</c:v>
                </c:pt>
                <c:pt idx="6">
                  <c:v>12215</c:v>
                </c:pt>
                <c:pt idx="7">
                  <c:v>12399</c:v>
                </c:pt>
                <c:pt idx="8">
                  <c:v>12598</c:v>
                </c:pt>
                <c:pt idx="9">
                  <c:v>12312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'2011 IRP Update'!$A$54</c:f>
              <c:strCache>
                <c:ptCount val="1"/>
                <c:pt idx="0">
                  <c:v>Total Resources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 IRP Update'!$O$44:$X$44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'2011 IRP Update'!$B$54:$K$54</c:f>
              <c:numCache>
                <c:formatCode>#,##0_);[Red]\(#,##0\)</c:formatCode>
                <c:ptCount val="10"/>
                <c:pt idx="0">
                  <c:v>11772</c:v>
                </c:pt>
                <c:pt idx="1">
                  <c:v>11777</c:v>
                </c:pt>
                <c:pt idx="2">
                  <c:v>11063</c:v>
                </c:pt>
                <c:pt idx="3">
                  <c:v>10898</c:v>
                </c:pt>
                <c:pt idx="4">
                  <c:v>10509</c:v>
                </c:pt>
                <c:pt idx="5">
                  <c:v>10630</c:v>
                </c:pt>
                <c:pt idx="6">
                  <c:v>10616</c:v>
                </c:pt>
                <c:pt idx="7">
                  <c:v>10561</c:v>
                </c:pt>
                <c:pt idx="8">
                  <c:v>10392</c:v>
                </c:pt>
                <c:pt idx="9">
                  <c:v>10362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4496"/>
        <c:axId val="194934888"/>
      </c:lineChart>
      <c:catAx>
        <c:axId val="1949344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4934888"/>
        <c:crosses val="autoZero"/>
        <c:auto val="1"/>
        <c:lblAlgn val="ctr"/>
        <c:lblOffset val="100"/>
        <c:noMultiLvlLbl val="0"/>
      </c:catAx>
      <c:valAx>
        <c:axId val="194934888"/>
        <c:scaling>
          <c:orientation val="minMax"/>
          <c:max val="14500"/>
          <c:min val="1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n-US"/>
          </a:p>
        </c:txPr>
        <c:crossAx val="194934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IRP - Load</a:t>
            </a:r>
            <a:r>
              <a:rPr lang="en-US" baseline="0"/>
              <a:t> &amp; Resource Balance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'2013 IRP'!$A$58</c:f>
              <c:strCache>
                <c:ptCount val="1"/>
                <c:pt idx="0">
                  <c:v>Obligation + Reserves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 IRP'!$O$44:$X$44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'2013 IRP'!$B$58:$K$58</c:f>
              <c:numCache>
                <c:formatCode>#,##0_);[Red]\(#,##0\)</c:formatCode>
                <c:ptCount val="10"/>
                <c:pt idx="0">
                  <c:v>12881</c:v>
                </c:pt>
                <c:pt idx="1">
                  <c:v>12837</c:v>
                </c:pt>
                <c:pt idx="2">
                  <c:v>12943</c:v>
                </c:pt>
                <c:pt idx="3">
                  <c:v>12782</c:v>
                </c:pt>
                <c:pt idx="4">
                  <c:v>12870</c:v>
                </c:pt>
                <c:pt idx="5">
                  <c:v>13069</c:v>
                </c:pt>
                <c:pt idx="6">
                  <c:v>13216</c:v>
                </c:pt>
                <c:pt idx="7">
                  <c:v>13391</c:v>
                </c:pt>
                <c:pt idx="8">
                  <c:v>13035</c:v>
                </c:pt>
                <c:pt idx="9">
                  <c:v>13128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'2013 IRP'!$A$56</c:f>
              <c:strCache>
                <c:ptCount val="1"/>
                <c:pt idx="0">
                  <c:v>Obligation</c:v>
                </c:pt>
              </c:strCache>
            </c:strRef>
          </c:tx>
          <c:dLbls>
            <c:dLbl>
              <c:idx val="0"/>
              <c:layout>
                <c:manualLayout>
                  <c:x val="-4.2231680876781842E-2"/>
                  <c:y val="2.591015921629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31680876781842E-2"/>
                  <c:y val="2.227364564208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 IRP'!$O$44:$X$44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'2013 IRP'!$B$56:$K$56</c:f>
              <c:numCache>
                <c:formatCode>#,##0_);[Red]\(#,##0\)</c:formatCode>
                <c:ptCount val="10"/>
                <c:pt idx="0">
                  <c:v>11506</c:v>
                </c:pt>
                <c:pt idx="1">
                  <c:v>11400</c:v>
                </c:pt>
                <c:pt idx="2">
                  <c:v>11465</c:v>
                </c:pt>
                <c:pt idx="3">
                  <c:v>11279</c:v>
                </c:pt>
                <c:pt idx="4">
                  <c:v>11346</c:v>
                </c:pt>
                <c:pt idx="5">
                  <c:v>11521</c:v>
                </c:pt>
                <c:pt idx="6">
                  <c:v>11650</c:v>
                </c:pt>
                <c:pt idx="7">
                  <c:v>11805</c:v>
                </c:pt>
                <c:pt idx="8">
                  <c:v>11487</c:v>
                </c:pt>
                <c:pt idx="9">
                  <c:v>11570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'2013 IRP'!$A$54</c:f>
              <c:strCache>
                <c:ptCount val="1"/>
                <c:pt idx="0">
                  <c:v>Total Resources</c:v>
                </c:pt>
              </c:strCache>
            </c:strRef>
          </c:tx>
          <c:dLbls>
            <c:dLbl>
              <c:idx val="0"/>
              <c:layout>
                <c:manualLayout>
                  <c:x val="-4.2231680876781842E-2"/>
                  <c:y val="-2.4091902429191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31680876781842E-2"/>
                  <c:y val="-2.7728416003408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 IRP'!$O$44:$X$44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'2013 IRP'!$B$54:$K$54</c:f>
              <c:numCache>
                <c:formatCode>#,##0_);[Red]\(#,##0\)</c:formatCode>
                <c:ptCount val="10"/>
                <c:pt idx="0">
                  <c:v>11711</c:v>
                </c:pt>
                <c:pt idx="1">
                  <c:v>11532</c:v>
                </c:pt>
                <c:pt idx="2">
                  <c:v>11413</c:v>
                </c:pt>
                <c:pt idx="3">
                  <c:v>11012</c:v>
                </c:pt>
                <c:pt idx="4">
                  <c:v>10893</c:v>
                </c:pt>
                <c:pt idx="5">
                  <c:v>10885</c:v>
                </c:pt>
                <c:pt idx="6">
                  <c:v>10824</c:v>
                </c:pt>
                <c:pt idx="7">
                  <c:v>10826</c:v>
                </c:pt>
                <c:pt idx="8">
                  <c:v>10722</c:v>
                </c:pt>
                <c:pt idx="9">
                  <c:v>10626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7632"/>
        <c:axId val="194938024"/>
      </c:lineChart>
      <c:catAx>
        <c:axId val="194937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4938024"/>
        <c:crosses val="autoZero"/>
        <c:auto val="1"/>
        <c:lblAlgn val="ctr"/>
        <c:lblOffset val="100"/>
        <c:noMultiLvlLbl val="0"/>
      </c:catAx>
      <c:valAx>
        <c:axId val="194938024"/>
        <c:scaling>
          <c:orientation val="minMax"/>
          <c:max val="14000"/>
          <c:min val="1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n-US"/>
          </a:p>
        </c:txPr>
        <c:crossAx val="194937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IRP - Load</a:t>
            </a:r>
            <a:r>
              <a:rPr lang="en-US" baseline="0"/>
              <a:t> &amp; Resource Balance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'2013 IRP Apr 2013'!$C$57</c:f>
              <c:strCache>
                <c:ptCount val="1"/>
                <c:pt idx="0">
                  <c:v>Obligation + Reserves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 IRP Apr 2013'!$R$36:$AA$36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'2013 IRP Apr 2013'!$D$57:$M$57</c:f>
              <c:numCache>
                <c:formatCode>#,##0_);[Red]\(#,##0\)</c:formatCode>
                <c:ptCount val="10"/>
                <c:pt idx="0">
                  <c:v>10834</c:v>
                </c:pt>
                <c:pt idx="1">
                  <c:v>11051</c:v>
                </c:pt>
                <c:pt idx="2">
                  <c:v>11224</c:v>
                </c:pt>
                <c:pt idx="3">
                  <c:v>11071</c:v>
                </c:pt>
                <c:pt idx="4">
                  <c:v>11243</c:v>
                </c:pt>
                <c:pt idx="5">
                  <c:v>11441</c:v>
                </c:pt>
                <c:pt idx="6">
                  <c:v>11587</c:v>
                </c:pt>
                <c:pt idx="7">
                  <c:v>11762</c:v>
                </c:pt>
                <c:pt idx="8">
                  <c:v>11946</c:v>
                </c:pt>
                <c:pt idx="9">
                  <c:v>12111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'2013 IRP Apr 2013'!$C$55</c:f>
              <c:strCache>
                <c:ptCount val="1"/>
                <c:pt idx="0">
                  <c:v>Obligation</c:v>
                </c:pt>
              </c:strCache>
            </c:strRef>
          </c:tx>
          <c:dLbls>
            <c:dLbl>
              <c:idx val="0"/>
              <c:layout>
                <c:manualLayout>
                  <c:x val="-4.223168087678187E-2"/>
                  <c:y val="2.591015921629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3168087678187E-2"/>
                  <c:y val="2.2273645642082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 IRP Apr 2013'!$R$36:$AA$36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'2013 IRP Apr 2013'!$D$55:$M$55</c:f>
              <c:numCache>
                <c:formatCode>#,##0_);[Red]\(#,##0\)</c:formatCode>
                <c:ptCount val="10"/>
                <c:pt idx="0">
                  <c:v>9588</c:v>
                </c:pt>
                <c:pt idx="1">
                  <c:v>9780</c:v>
                </c:pt>
                <c:pt idx="2">
                  <c:v>9933</c:v>
                </c:pt>
                <c:pt idx="3">
                  <c:v>9797</c:v>
                </c:pt>
                <c:pt idx="4">
                  <c:v>9950</c:v>
                </c:pt>
                <c:pt idx="5">
                  <c:v>10125</c:v>
                </c:pt>
                <c:pt idx="6">
                  <c:v>10254</c:v>
                </c:pt>
                <c:pt idx="7">
                  <c:v>10409</c:v>
                </c:pt>
                <c:pt idx="8">
                  <c:v>10571</c:v>
                </c:pt>
                <c:pt idx="9">
                  <c:v>10718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'2013 IRP Apr 2013'!$C$53</c:f>
              <c:strCache>
                <c:ptCount val="1"/>
                <c:pt idx="0">
                  <c:v>Total Resources</c:v>
                </c:pt>
              </c:strCache>
            </c:strRef>
          </c:tx>
          <c:dLbls>
            <c:dLbl>
              <c:idx val="0"/>
              <c:layout>
                <c:manualLayout>
                  <c:x val="-4.223168087678187E-2"/>
                  <c:y val="-2.4091902429191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3168087678187E-2"/>
                  <c:y val="-2.7728416003408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 IRP Apr 2013'!$R$36:$AA$36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'2013 IRP Apr 2013'!$D$53:$M$53</c:f>
              <c:numCache>
                <c:formatCode>#,##0_);[Red]\(#,##0\)</c:formatCode>
                <c:ptCount val="10"/>
                <c:pt idx="0">
                  <c:v>10010</c:v>
                </c:pt>
                <c:pt idx="1">
                  <c:v>10065</c:v>
                </c:pt>
                <c:pt idx="2">
                  <c:v>9996</c:v>
                </c:pt>
                <c:pt idx="3">
                  <c:v>9602</c:v>
                </c:pt>
                <c:pt idx="4">
                  <c:v>9556</c:v>
                </c:pt>
                <c:pt idx="5">
                  <c:v>9553</c:v>
                </c:pt>
                <c:pt idx="6">
                  <c:v>9487</c:v>
                </c:pt>
                <c:pt idx="7">
                  <c:v>9488</c:v>
                </c:pt>
                <c:pt idx="8">
                  <c:v>9864</c:v>
                </c:pt>
                <c:pt idx="9">
                  <c:v>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8808"/>
        <c:axId val="194939200"/>
      </c:lineChart>
      <c:catAx>
        <c:axId val="1949388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4939200"/>
        <c:crosses val="autoZero"/>
        <c:auto val="1"/>
        <c:lblAlgn val="ctr"/>
        <c:lblOffset val="100"/>
        <c:noMultiLvlLbl val="0"/>
      </c:catAx>
      <c:valAx>
        <c:axId val="194939200"/>
        <c:scaling>
          <c:orientation val="minMax"/>
          <c:min val="9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n-US"/>
          </a:p>
        </c:txPr>
        <c:crossAx val="194938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IRP UPDATE - Load</a:t>
            </a:r>
            <a:r>
              <a:rPr lang="en-US" baseline="0"/>
              <a:t> &amp; Resource Balance </a:t>
            </a:r>
            <a:endParaRPr lang="en-US"/>
          </a:p>
        </c:rich>
      </c:tx>
      <c:layout>
        <c:manualLayout>
          <c:xMode val="edge"/>
          <c:yMode val="edge"/>
          <c:x val="0.14155392322552188"/>
          <c:y val="1.725940960588070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2013 UPDATE - Obligation and Reserve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 IRP Update'!$R$36:$AA$36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'2013 IRP Update'!$D$57:$M$57</c:f>
              <c:numCache>
                <c:formatCode>#,##0_);[Red]\(#,##0\)</c:formatCode>
                <c:ptCount val="10"/>
                <c:pt idx="0">
                  <c:v>10731</c:v>
                </c:pt>
                <c:pt idx="1">
                  <c:v>10919</c:v>
                </c:pt>
                <c:pt idx="2">
                  <c:v>10767</c:v>
                </c:pt>
                <c:pt idx="3">
                  <c:v>10955</c:v>
                </c:pt>
                <c:pt idx="4">
                  <c:v>11117</c:v>
                </c:pt>
                <c:pt idx="5">
                  <c:v>11262</c:v>
                </c:pt>
                <c:pt idx="6">
                  <c:v>11596</c:v>
                </c:pt>
                <c:pt idx="7">
                  <c:v>11768</c:v>
                </c:pt>
                <c:pt idx="8">
                  <c:v>11935</c:v>
                </c:pt>
                <c:pt idx="9">
                  <c:v>12110</c:v>
                </c:pt>
              </c:numCache>
            </c:numRef>
          </c:val>
          <c:smooth val="0"/>
        </c:ser>
        <c:ser>
          <c:idx val="1"/>
          <c:order val="1"/>
          <c:tx>
            <c:v>2013 UPDATE - Total Resources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 IRP Update'!$R$36:$AA$36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'2013 IRP Update'!$D$53:$M$53</c:f>
              <c:numCache>
                <c:formatCode>#,##0_);[Red]\(#,##0\)</c:formatCode>
                <c:ptCount val="10"/>
                <c:pt idx="0">
                  <c:v>10085</c:v>
                </c:pt>
                <c:pt idx="1">
                  <c:v>10024</c:v>
                </c:pt>
                <c:pt idx="2">
                  <c:v>9658</c:v>
                </c:pt>
                <c:pt idx="3">
                  <c:v>9618</c:v>
                </c:pt>
                <c:pt idx="4">
                  <c:v>9583</c:v>
                </c:pt>
                <c:pt idx="5">
                  <c:v>9550</c:v>
                </c:pt>
                <c:pt idx="6">
                  <c:v>9554</c:v>
                </c:pt>
                <c:pt idx="7">
                  <c:v>9914</c:v>
                </c:pt>
                <c:pt idx="8">
                  <c:v>9954</c:v>
                </c:pt>
                <c:pt idx="9">
                  <c:v>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9984"/>
        <c:axId val="194940376"/>
      </c:lineChart>
      <c:catAx>
        <c:axId val="1949399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4940376"/>
        <c:crosses val="autoZero"/>
        <c:auto val="1"/>
        <c:lblAlgn val="ctr"/>
        <c:lblOffset val="100"/>
        <c:noMultiLvlLbl val="0"/>
      </c:catAx>
      <c:valAx>
        <c:axId val="194940376"/>
        <c:scaling>
          <c:orientation val="minMax"/>
          <c:min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0"/>
            </a:pPr>
            <a:endParaRPr lang="en-US"/>
          </a:p>
        </c:txPr>
        <c:crossAx val="194939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IRP - Load</a:t>
            </a:r>
            <a:r>
              <a:rPr lang="en-US" baseline="0"/>
              <a:t> &amp; Resource Balance </a:t>
            </a:r>
            <a:endParaRPr lang="en-US"/>
          </a:p>
        </c:rich>
      </c:tx>
      <c:layout>
        <c:manualLayout>
          <c:xMode val="edge"/>
          <c:yMode val="edge"/>
          <c:x val="0.21929628567823725"/>
          <c:y val="1.725930755470852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2015 IRP - Obligation and Reserve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 IRP'!$R$38:$AA$38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'2015 IRP'!$D$59:$M$59</c:f>
              <c:numCache>
                <c:formatCode>#,##0_);[Red]\(#,##0\)</c:formatCode>
                <c:ptCount val="10"/>
                <c:pt idx="0">
                  <c:v>11438</c:v>
                </c:pt>
                <c:pt idx="1">
                  <c:v>11240</c:v>
                </c:pt>
                <c:pt idx="2">
                  <c:v>11420</c:v>
                </c:pt>
                <c:pt idx="3">
                  <c:v>11573</c:v>
                </c:pt>
                <c:pt idx="4">
                  <c:v>11696</c:v>
                </c:pt>
                <c:pt idx="5">
                  <c:v>11830</c:v>
                </c:pt>
                <c:pt idx="6">
                  <c:v>11963</c:v>
                </c:pt>
                <c:pt idx="7">
                  <c:v>12081</c:v>
                </c:pt>
                <c:pt idx="8">
                  <c:v>12209</c:v>
                </c:pt>
                <c:pt idx="9">
                  <c:v>12259</c:v>
                </c:pt>
              </c:numCache>
            </c:numRef>
          </c:val>
          <c:smooth val="0"/>
        </c:ser>
        <c:ser>
          <c:idx val="1"/>
          <c:order val="1"/>
          <c:tx>
            <c:v>2015 IRP - Total Resources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 IRP'!$R$38:$AA$38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'2015 IRP'!$D$55:$M$55</c:f>
              <c:numCache>
                <c:formatCode>#,##0_);[Red]\(#,##0\)</c:formatCode>
                <c:ptCount val="10"/>
                <c:pt idx="0">
                  <c:v>10569</c:v>
                </c:pt>
                <c:pt idx="1">
                  <c:v>10043</c:v>
                </c:pt>
                <c:pt idx="2">
                  <c:v>10144</c:v>
                </c:pt>
                <c:pt idx="3">
                  <c:v>10217</c:v>
                </c:pt>
                <c:pt idx="4">
                  <c:v>10144</c:v>
                </c:pt>
                <c:pt idx="5">
                  <c:v>10125</c:v>
                </c:pt>
                <c:pt idx="6">
                  <c:v>10485</c:v>
                </c:pt>
                <c:pt idx="7">
                  <c:v>10444</c:v>
                </c:pt>
                <c:pt idx="8">
                  <c:v>10456</c:v>
                </c:pt>
                <c:pt idx="9">
                  <c:v>10424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6848"/>
        <c:axId val="194936456"/>
      </c:lineChart>
      <c:catAx>
        <c:axId val="1949368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4936456"/>
        <c:crosses val="autoZero"/>
        <c:auto val="1"/>
        <c:lblAlgn val="ctr"/>
        <c:lblOffset val="100"/>
        <c:noMultiLvlLbl val="0"/>
      </c:catAx>
      <c:valAx>
        <c:axId val="194936456"/>
        <c:scaling>
          <c:orientation val="minMax"/>
          <c:min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0"/>
            </a:pPr>
            <a:endParaRPr lang="en-US"/>
          </a:p>
        </c:txPr>
        <c:crossAx val="19493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IRP UPDATE- Load</a:t>
            </a:r>
            <a:r>
              <a:rPr lang="en-US" baseline="0"/>
              <a:t> &amp; Resource Balance </a:t>
            </a:r>
            <a:endParaRPr lang="en-US"/>
          </a:p>
        </c:rich>
      </c:tx>
      <c:layout>
        <c:manualLayout>
          <c:xMode val="edge"/>
          <c:yMode val="edge"/>
          <c:x val="0.13723493725350566"/>
          <c:y val="2.150559205577009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'2015 IRP Update'!$C$61</c:f>
              <c:strCache>
                <c:ptCount val="1"/>
                <c:pt idx="0">
                  <c:v>Obligation + Reserves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 IRP Update'!$R$39:$AA$39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'2015 IRP Update'!$D$61:$M$61</c:f>
              <c:numCache>
                <c:formatCode>#,##0_);[Red]\(#,##0\)</c:formatCode>
                <c:ptCount val="10"/>
                <c:pt idx="0">
                  <c:v>11186</c:v>
                </c:pt>
                <c:pt idx="1">
                  <c:v>11315</c:v>
                </c:pt>
                <c:pt idx="2">
                  <c:v>11527</c:v>
                </c:pt>
                <c:pt idx="3">
                  <c:v>11691</c:v>
                </c:pt>
                <c:pt idx="4">
                  <c:v>11812</c:v>
                </c:pt>
                <c:pt idx="5">
                  <c:v>11947</c:v>
                </c:pt>
                <c:pt idx="6">
                  <c:v>12069</c:v>
                </c:pt>
                <c:pt idx="7">
                  <c:v>12181</c:v>
                </c:pt>
                <c:pt idx="8">
                  <c:v>12300</c:v>
                </c:pt>
                <c:pt idx="9">
                  <c:v>12411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 IRP Update'!$C$57</c:f>
              <c:strCache>
                <c:ptCount val="1"/>
                <c:pt idx="0">
                  <c:v>Total Resources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 IRP Update'!$R$39:$AA$39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'2015 IRP Update'!$D$57:$M$57</c:f>
              <c:numCache>
                <c:formatCode>#,##0_);[Red]\(#,##0\)</c:formatCode>
                <c:ptCount val="10"/>
                <c:pt idx="0">
                  <c:v>10131</c:v>
                </c:pt>
                <c:pt idx="1">
                  <c:v>10316</c:v>
                </c:pt>
                <c:pt idx="2">
                  <c:v>10042</c:v>
                </c:pt>
                <c:pt idx="3">
                  <c:v>9920</c:v>
                </c:pt>
                <c:pt idx="4">
                  <c:v>9973</c:v>
                </c:pt>
                <c:pt idx="5">
                  <c:v>10235</c:v>
                </c:pt>
                <c:pt idx="6">
                  <c:v>10136</c:v>
                </c:pt>
                <c:pt idx="7">
                  <c:v>10221</c:v>
                </c:pt>
                <c:pt idx="8">
                  <c:v>10180</c:v>
                </c:pt>
                <c:pt idx="9">
                  <c:v>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5672"/>
        <c:axId val="194935280"/>
      </c:lineChart>
      <c:catAx>
        <c:axId val="1949356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4935280"/>
        <c:crosses val="autoZero"/>
        <c:auto val="1"/>
        <c:lblAlgn val="ctr"/>
        <c:lblOffset val="100"/>
        <c:noMultiLvlLbl val="0"/>
      </c:catAx>
      <c:valAx>
        <c:axId val="194935280"/>
        <c:scaling>
          <c:orientation val="minMax"/>
          <c:min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0"/>
            </a:pPr>
            <a:endParaRPr lang="en-US"/>
          </a:p>
        </c:txPr>
        <c:crossAx val="194935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17</xdr:row>
      <xdr:rowOff>187324</xdr:rowOff>
    </xdr:from>
    <xdr:to>
      <xdr:col>20</xdr:col>
      <xdr:colOff>555625</xdr:colOff>
      <xdr:row>39</xdr:row>
      <xdr:rowOff>158749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234084</xdr:colOff>
      <xdr:row>5</xdr:row>
      <xdr:rowOff>47625</xdr:rowOff>
    </xdr:from>
    <xdr:to>
      <xdr:col>23</xdr:col>
      <xdr:colOff>19050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171450</xdr:colOff>
      <xdr:row>54</xdr:row>
      <xdr:rowOff>76199</xdr:rowOff>
    </xdr:from>
    <xdr:to>
      <xdr:col>44</xdr:col>
      <xdr:colOff>247650</xdr:colOff>
      <xdr:row>84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180975</xdr:colOff>
      <xdr:row>28</xdr:row>
      <xdr:rowOff>76200</xdr:rowOff>
    </xdr:from>
    <xdr:to>
      <xdr:col>44</xdr:col>
      <xdr:colOff>257175</xdr:colOff>
      <xdr:row>51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234083</xdr:colOff>
      <xdr:row>2</xdr:row>
      <xdr:rowOff>14142</xdr:rowOff>
    </xdr:from>
    <xdr:to>
      <xdr:col>23</xdr:col>
      <xdr:colOff>373784</xdr:colOff>
      <xdr:row>38</xdr:row>
      <xdr:rowOff>83704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234083</xdr:colOff>
      <xdr:row>2</xdr:row>
      <xdr:rowOff>14142</xdr:rowOff>
    </xdr:from>
    <xdr:to>
      <xdr:col>23</xdr:col>
      <xdr:colOff>373784</xdr:colOff>
      <xdr:row>38</xdr:row>
      <xdr:rowOff>83704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234083</xdr:colOff>
      <xdr:row>2</xdr:row>
      <xdr:rowOff>14142</xdr:rowOff>
    </xdr:from>
    <xdr:to>
      <xdr:col>23</xdr:col>
      <xdr:colOff>373784</xdr:colOff>
      <xdr:row>38</xdr:row>
      <xdr:rowOff>83704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234083</xdr:colOff>
      <xdr:row>2</xdr:row>
      <xdr:rowOff>14142</xdr:rowOff>
    </xdr:from>
    <xdr:to>
      <xdr:col>23</xdr:col>
      <xdr:colOff>373784</xdr:colOff>
      <xdr:row>38</xdr:row>
      <xdr:rowOff>83704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234083</xdr:colOff>
      <xdr:row>2</xdr:row>
      <xdr:rowOff>14142</xdr:rowOff>
    </xdr:from>
    <xdr:to>
      <xdr:col>25</xdr:col>
      <xdr:colOff>373784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234084</xdr:colOff>
      <xdr:row>5</xdr:row>
      <xdr:rowOff>47625</xdr:rowOff>
    </xdr:from>
    <xdr:to>
      <xdr:col>23</xdr:col>
      <xdr:colOff>19050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234084</xdr:colOff>
      <xdr:row>5</xdr:row>
      <xdr:rowOff>47625</xdr:rowOff>
    </xdr:from>
    <xdr:to>
      <xdr:col>23</xdr:col>
      <xdr:colOff>19050</xdr:colOff>
      <xdr:row>20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234084</xdr:colOff>
      <xdr:row>5</xdr:row>
      <xdr:rowOff>47625</xdr:rowOff>
    </xdr:from>
    <xdr:to>
      <xdr:col>23</xdr:col>
      <xdr:colOff>19050</xdr:colOff>
      <xdr:row>20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B46" sqref="B46"/>
    </sheetView>
  </sheetViews>
  <sheetFormatPr defaultRowHeight="15" x14ac:dyDescent="0.25"/>
  <cols>
    <col min="1" max="1" width="21.140625" customWidth="1"/>
  </cols>
  <sheetData>
    <row r="1" spans="1:13" x14ac:dyDescent="0.25">
      <c r="A1" t="s">
        <v>44</v>
      </c>
    </row>
    <row r="3" spans="1:13" ht="18.75" x14ac:dyDescent="0.3">
      <c r="A3" s="72" t="s">
        <v>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>
        <v>0.15</v>
      </c>
    </row>
    <row r="4" spans="1:13" x14ac:dyDescent="0.25">
      <c r="A4" s="73" t="s">
        <v>46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6" spans="1:13" x14ac:dyDescent="0.25">
      <c r="A6" t="s">
        <v>0</v>
      </c>
      <c r="B6">
        <v>2006</v>
      </c>
      <c r="C6">
        <f>+B6+1</f>
        <v>2007</v>
      </c>
      <c r="D6">
        <f t="shared" ref="D6:K6" si="0">+C6+1</f>
        <v>2008</v>
      </c>
      <c r="E6">
        <f t="shared" si="0"/>
        <v>2009</v>
      </c>
      <c r="F6">
        <f t="shared" si="0"/>
        <v>2010</v>
      </c>
      <c r="G6">
        <f t="shared" si="0"/>
        <v>2011</v>
      </c>
      <c r="H6">
        <f t="shared" si="0"/>
        <v>2012</v>
      </c>
      <c r="I6">
        <f t="shared" si="0"/>
        <v>2013</v>
      </c>
      <c r="J6">
        <f t="shared" si="0"/>
        <v>2014</v>
      </c>
      <c r="K6">
        <f t="shared" si="0"/>
        <v>2015</v>
      </c>
    </row>
    <row r="7" spans="1:13" x14ac:dyDescent="0.25">
      <c r="A7" s="8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x14ac:dyDescent="0.25">
      <c r="A8" t="s">
        <v>1</v>
      </c>
      <c r="B8" s="3">
        <v>5600</v>
      </c>
      <c r="C8" s="3">
        <v>6139</v>
      </c>
      <c r="D8" s="3">
        <v>5949</v>
      </c>
      <c r="E8" s="3">
        <v>5949</v>
      </c>
      <c r="F8" s="3">
        <v>5949</v>
      </c>
      <c r="G8" s="3">
        <v>5949</v>
      </c>
      <c r="H8" s="3">
        <v>5949</v>
      </c>
      <c r="I8" s="3">
        <v>5949</v>
      </c>
      <c r="J8" s="3">
        <v>5949</v>
      </c>
      <c r="K8" s="3">
        <v>5949</v>
      </c>
    </row>
    <row r="9" spans="1:13" x14ac:dyDescent="0.25">
      <c r="A9" t="s">
        <v>2</v>
      </c>
      <c r="B9" s="3">
        <v>108</v>
      </c>
      <c r="C9" s="3">
        <v>108</v>
      </c>
      <c r="D9" s="3">
        <v>110</v>
      </c>
      <c r="E9" s="3">
        <v>107</v>
      </c>
      <c r="F9" s="3">
        <v>107</v>
      </c>
      <c r="G9" s="3">
        <v>107</v>
      </c>
      <c r="H9" s="3">
        <v>106</v>
      </c>
      <c r="I9" s="3">
        <v>106</v>
      </c>
      <c r="J9" s="3">
        <v>106</v>
      </c>
      <c r="K9" s="3">
        <v>103</v>
      </c>
    </row>
    <row r="10" spans="1:13" x14ac:dyDescent="0.25">
      <c r="A10" t="s">
        <v>3</v>
      </c>
      <c r="B10" s="3">
        <v>143</v>
      </c>
      <c r="C10" s="3">
        <v>153</v>
      </c>
      <c r="D10" s="3">
        <v>163</v>
      </c>
      <c r="E10" s="3">
        <v>163</v>
      </c>
      <c r="F10" s="3">
        <v>163</v>
      </c>
      <c r="G10" s="3">
        <v>163</v>
      </c>
      <c r="H10" s="3">
        <v>163</v>
      </c>
      <c r="I10" s="3">
        <v>163</v>
      </c>
      <c r="J10" s="3">
        <v>130</v>
      </c>
      <c r="K10" s="3">
        <v>100</v>
      </c>
    </row>
    <row r="11" spans="1:13" x14ac:dyDescent="0.25">
      <c r="A11" t="s">
        <v>4</v>
      </c>
      <c r="B11" s="3">
        <v>56</v>
      </c>
      <c r="C11" s="3">
        <v>56</v>
      </c>
      <c r="D11" s="3">
        <v>56</v>
      </c>
      <c r="E11" s="3">
        <v>56</v>
      </c>
      <c r="F11" s="3">
        <v>56</v>
      </c>
      <c r="G11" s="3">
        <v>56</v>
      </c>
      <c r="H11" s="3">
        <v>56</v>
      </c>
      <c r="I11" s="3">
        <v>56</v>
      </c>
      <c r="J11" s="3">
        <v>55</v>
      </c>
      <c r="K11" s="3">
        <v>55</v>
      </c>
    </row>
    <row r="12" spans="1:13" x14ac:dyDescent="0.25">
      <c r="A12" t="s">
        <v>5</v>
      </c>
      <c r="B12" s="3">
        <v>408</v>
      </c>
      <c r="C12" s="3">
        <v>459</v>
      </c>
      <c r="D12" s="3">
        <v>109</v>
      </c>
      <c r="E12" s="3">
        <v>108</v>
      </c>
      <c r="F12" s="3">
        <v>-92</v>
      </c>
      <c r="G12" s="3">
        <v>-92</v>
      </c>
      <c r="H12" s="3">
        <v>-92</v>
      </c>
      <c r="I12" s="3">
        <v>-92</v>
      </c>
      <c r="J12" s="3">
        <v>-92</v>
      </c>
      <c r="K12" s="3">
        <v>-98</v>
      </c>
    </row>
    <row r="13" spans="1:13" x14ac:dyDescent="0.25">
      <c r="A13" t="s">
        <v>50</v>
      </c>
      <c r="B13" s="3">
        <f>275+252</f>
        <v>527</v>
      </c>
      <c r="C13" s="3">
        <f>274+252</f>
        <v>526</v>
      </c>
      <c r="D13" s="3">
        <f>274+252</f>
        <v>526</v>
      </c>
      <c r="E13" s="3">
        <f>274+252</f>
        <v>526</v>
      </c>
      <c r="F13" s="3">
        <v>526</v>
      </c>
      <c r="G13" s="3">
        <v>526</v>
      </c>
      <c r="H13" s="3">
        <v>526</v>
      </c>
      <c r="I13" s="3">
        <v>526</v>
      </c>
      <c r="J13" s="3">
        <v>526</v>
      </c>
      <c r="K13" s="3">
        <v>526</v>
      </c>
    </row>
    <row r="14" spans="1:13" x14ac:dyDescent="0.25">
      <c r="A14" t="s">
        <v>40</v>
      </c>
      <c r="B14" s="3">
        <v>454</v>
      </c>
      <c r="C14" s="3">
        <v>454</v>
      </c>
      <c r="D14" s="3">
        <v>454</v>
      </c>
      <c r="E14" s="3">
        <v>454</v>
      </c>
      <c r="F14" s="3">
        <v>454</v>
      </c>
      <c r="G14" s="3">
        <v>454</v>
      </c>
      <c r="H14" s="3">
        <v>454</v>
      </c>
      <c r="I14" s="3">
        <v>454</v>
      </c>
      <c r="J14" s="3">
        <v>454</v>
      </c>
      <c r="K14" s="3">
        <v>454</v>
      </c>
    </row>
    <row r="15" spans="1:13" x14ac:dyDescent="0.25">
      <c r="A15" t="s">
        <v>48</v>
      </c>
      <c r="B15" s="3">
        <v>140</v>
      </c>
      <c r="C15" s="3">
        <v>140</v>
      </c>
      <c r="D15" s="3">
        <v>480</v>
      </c>
      <c r="E15" s="3">
        <v>630</v>
      </c>
      <c r="F15" s="3">
        <v>920</v>
      </c>
      <c r="G15" s="3">
        <v>920</v>
      </c>
      <c r="H15" s="3">
        <v>940</v>
      </c>
      <c r="I15" s="3">
        <v>940</v>
      </c>
      <c r="J15" s="3">
        <v>940</v>
      </c>
      <c r="K15" s="3">
        <v>940</v>
      </c>
    </row>
    <row r="16" spans="1:13" x14ac:dyDescent="0.25">
      <c r="A16" t="s">
        <v>47</v>
      </c>
      <c r="B16" s="3">
        <f>SUM(B8:B15)</f>
        <v>7436</v>
      </c>
      <c r="C16" s="3">
        <f t="shared" ref="C16:K16" si="1">SUM(C8:C15)</f>
        <v>8035</v>
      </c>
      <c r="D16" s="3">
        <f t="shared" si="1"/>
        <v>7847</v>
      </c>
      <c r="E16" s="3">
        <f t="shared" si="1"/>
        <v>7993</v>
      </c>
      <c r="F16" s="3">
        <f t="shared" si="1"/>
        <v>8083</v>
      </c>
      <c r="G16" s="3">
        <f t="shared" si="1"/>
        <v>8083</v>
      </c>
      <c r="H16" s="3">
        <f t="shared" si="1"/>
        <v>8102</v>
      </c>
      <c r="I16" s="3">
        <f t="shared" si="1"/>
        <v>8102</v>
      </c>
      <c r="J16" s="3">
        <f t="shared" si="1"/>
        <v>8068</v>
      </c>
      <c r="K16" s="3">
        <f t="shared" si="1"/>
        <v>8029</v>
      </c>
    </row>
    <row r="17" spans="1:1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t="s">
        <v>8</v>
      </c>
      <c r="B18" s="3">
        <v>6121</v>
      </c>
      <c r="C18" s="3">
        <v>6331</v>
      </c>
      <c r="D18" s="3">
        <v>6602</v>
      </c>
      <c r="E18" s="3">
        <v>6895</v>
      </c>
      <c r="F18" s="3">
        <v>7107</v>
      </c>
      <c r="G18" s="3">
        <v>7368</v>
      </c>
      <c r="H18" s="3">
        <v>7567</v>
      </c>
      <c r="I18" s="3">
        <v>7837</v>
      </c>
      <c r="J18" s="3">
        <v>8091</v>
      </c>
      <c r="K18" s="3">
        <v>8359</v>
      </c>
    </row>
    <row r="19" spans="1:11" x14ac:dyDescent="0.25">
      <c r="A19" t="s">
        <v>9</v>
      </c>
      <c r="B19" s="3">
        <v>273</v>
      </c>
      <c r="C19" s="3">
        <v>261</v>
      </c>
      <c r="D19" s="3">
        <v>237</v>
      </c>
      <c r="E19" s="3">
        <v>141</v>
      </c>
      <c r="F19" s="3">
        <v>120</v>
      </c>
      <c r="G19" s="3">
        <v>99</v>
      </c>
      <c r="H19" s="3">
        <v>77</v>
      </c>
      <c r="I19" s="3">
        <v>77</v>
      </c>
      <c r="J19" s="3">
        <v>77</v>
      </c>
      <c r="K19" s="3">
        <v>77</v>
      </c>
    </row>
    <row r="20" spans="1:11" x14ac:dyDescent="0.25">
      <c r="A20" t="s">
        <v>10</v>
      </c>
      <c r="B20" s="3">
        <f>+B19+B18</f>
        <v>6394</v>
      </c>
      <c r="C20" s="3">
        <f t="shared" ref="C20:K20" si="2">+C19+C18</f>
        <v>6592</v>
      </c>
      <c r="D20" s="3">
        <f t="shared" si="2"/>
        <v>6839</v>
      </c>
      <c r="E20" s="3">
        <f t="shared" si="2"/>
        <v>7036</v>
      </c>
      <c r="F20" s="3">
        <f t="shared" si="2"/>
        <v>7227</v>
      </c>
      <c r="G20" s="3">
        <f t="shared" si="2"/>
        <v>7467</v>
      </c>
      <c r="H20" s="3">
        <f t="shared" si="2"/>
        <v>7644</v>
      </c>
      <c r="I20" s="3">
        <f t="shared" si="2"/>
        <v>7914</v>
      </c>
      <c r="J20" s="3">
        <f t="shared" si="2"/>
        <v>8168</v>
      </c>
      <c r="K20" s="3">
        <f t="shared" si="2"/>
        <v>8436</v>
      </c>
    </row>
    <row r="21" spans="1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t="s">
        <v>49</v>
      </c>
      <c r="B22" s="3">
        <f>+B23-B20</f>
        <v>959</v>
      </c>
      <c r="C22" s="3">
        <f t="shared" ref="C22:K22" si="3">+C23-C20</f>
        <v>989</v>
      </c>
      <c r="D22" s="3">
        <f t="shared" si="3"/>
        <v>1026</v>
      </c>
      <c r="E22" s="3">
        <f t="shared" si="3"/>
        <v>1055</v>
      </c>
      <c r="F22" s="3">
        <f t="shared" si="3"/>
        <v>1084</v>
      </c>
      <c r="G22" s="3">
        <f t="shared" si="3"/>
        <v>1120</v>
      </c>
      <c r="H22" s="3">
        <f t="shared" si="3"/>
        <v>1146</v>
      </c>
      <c r="I22" s="3">
        <f t="shared" si="3"/>
        <v>1187</v>
      </c>
      <c r="J22" s="3">
        <f t="shared" si="3"/>
        <v>1225</v>
      </c>
      <c r="K22" s="3">
        <f t="shared" si="3"/>
        <v>1265</v>
      </c>
    </row>
    <row r="23" spans="1:11" x14ac:dyDescent="0.25">
      <c r="A23" t="s">
        <v>12</v>
      </c>
      <c r="B23" s="3">
        <v>7353</v>
      </c>
      <c r="C23" s="3">
        <v>7581</v>
      </c>
      <c r="D23" s="3">
        <v>7865</v>
      </c>
      <c r="E23" s="3">
        <v>8091</v>
      </c>
      <c r="F23" s="3">
        <v>8311</v>
      </c>
      <c r="G23" s="3">
        <v>8587</v>
      </c>
      <c r="H23" s="3">
        <v>8790</v>
      </c>
      <c r="I23" s="3">
        <v>9101</v>
      </c>
      <c r="J23" s="3">
        <v>9393</v>
      </c>
      <c r="K23" s="3">
        <v>9701</v>
      </c>
    </row>
    <row r="24" spans="1:11" x14ac:dyDescent="0.25">
      <c r="A24" t="s">
        <v>13</v>
      </c>
      <c r="B24" s="3">
        <f t="shared" ref="B24:K24" si="4">+B16-B23</f>
        <v>83</v>
      </c>
      <c r="C24" s="3">
        <f t="shared" si="4"/>
        <v>454</v>
      </c>
      <c r="D24" s="3">
        <f t="shared" si="4"/>
        <v>-18</v>
      </c>
      <c r="E24" s="3">
        <f t="shared" si="4"/>
        <v>-98</v>
      </c>
      <c r="F24" s="3">
        <f t="shared" si="4"/>
        <v>-228</v>
      </c>
      <c r="G24" s="3">
        <f t="shared" si="4"/>
        <v>-504</v>
      </c>
      <c r="H24" s="3">
        <f t="shared" si="4"/>
        <v>-688</v>
      </c>
      <c r="I24" s="3">
        <f t="shared" si="4"/>
        <v>-999</v>
      </c>
      <c r="J24" s="3">
        <f t="shared" si="4"/>
        <v>-1325</v>
      </c>
      <c r="K24" s="3">
        <f t="shared" si="4"/>
        <v>-1672</v>
      </c>
    </row>
    <row r="25" spans="1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8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t="s">
        <v>1</v>
      </c>
      <c r="B27" s="3">
        <v>2284</v>
      </c>
      <c r="C27" s="3">
        <v>2284</v>
      </c>
      <c r="D27" s="3">
        <v>2044</v>
      </c>
      <c r="E27" s="3">
        <v>2044</v>
      </c>
      <c r="F27" s="3">
        <v>2044</v>
      </c>
      <c r="G27" s="3">
        <v>2044</v>
      </c>
      <c r="H27" s="3">
        <v>2044</v>
      </c>
      <c r="I27" s="3">
        <v>2044</v>
      </c>
      <c r="J27" s="3">
        <v>2044</v>
      </c>
      <c r="K27" s="3">
        <v>2044</v>
      </c>
    </row>
    <row r="28" spans="1:11" x14ac:dyDescent="0.25">
      <c r="A28" t="s">
        <v>2</v>
      </c>
      <c r="B28" s="3">
        <v>1354</v>
      </c>
      <c r="C28" s="3">
        <v>1326</v>
      </c>
      <c r="D28" s="3">
        <v>1249</v>
      </c>
      <c r="E28" s="3">
        <v>1206</v>
      </c>
      <c r="F28" s="3">
        <v>1237</v>
      </c>
      <c r="G28" s="3">
        <v>1193</v>
      </c>
      <c r="H28" s="3">
        <v>1141</v>
      </c>
      <c r="I28" s="3">
        <v>1138</v>
      </c>
      <c r="J28" s="3">
        <v>1131</v>
      </c>
      <c r="K28" s="3">
        <v>1129</v>
      </c>
    </row>
    <row r="29" spans="1:11" x14ac:dyDescent="0.25">
      <c r="A29" t="s">
        <v>51</v>
      </c>
      <c r="B29" s="3">
        <f>48</f>
        <v>48</v>
      </c>
      <c r="C29" s="3">
        <v>47</v>
      </c>
      <c r="D29" s="3">
        <v>47</v>
      </c>
      <c r="E29" s="3">
        <v>47</v>
      </c>
      <c r="F29" s="3">
        <v>47</v>
      </c>
      <c r="G29" s="3">
        <v>47</v>
      </c>
      <c r="H29" s="3">
        <v>44</v>
      </c>
      <c r="I29" s="3">
        <v>42</v>
      </c>
      <c r="J29" s="3">
        <v>43</v>
      </c>
      <c r="K29" s="3">
        <v>43</v>
      </c>
    </row>
    <row r="30" spans="1:11" x14ac:dyDescent="0.25">
      <c r="A30" t="s">
        <v>5</v>
      </c>
      <c r="B30" s="3">
        <v>1329</v>
      </c>
      <c r="C30" s="3">
        <v>1054</v>
      </c>
      <c r="D30" s="3">
        <v>770</v>
      </c>
      <c r="E30" s="3">
        <v>770</v>
      </c>
      <c r="F30" s="3">
        <v>770</v>
      </c>
      <c r="G30" s="3">
        <v>720</v>
      </c>
      <c r="H30" s="3">
        <v>82</v>
      </c>
      <c r="I30" s="3">
        <v>111</v>
      </c>
      <c r="J30" s="3">
        <v>-23</v>
      </c>
      <c r="K30" s="3">
        <v>77</v>
      </c>
    </row>
    <row r="31" spans="1:11" x14ac:dyDescent="0.25">
      <c r="A31" t="s">
        <v>40</v>
      </c>
      <c r="B31" s="3">
        <f>+B14*-1</f>
        <v>-454</v>
      </c>
      <c r="C31" s="3">
        <f t="shared" ref="C31:K31" si="5">+C14*-1</f>
        <v>-454</v>
      </c>
      <c r="D31" s="3">
        <f t="shared" si="5"/>
        <v>-454</v>
      </c>
      <c r="E31" s="3">
        <f t="shared" si="5"/>
        <v>-454</v>
      </c>
      <c r="F31" s="3">
        <f t="shared" si="5"/>
        <v>-454</v>
      </c>
      <c r="G31" s="3">
        <f t="shared" si="5"/>
        <v>-454</v>
      </c>
      <c r="H31" s="3">
        <f t="shared" si="5"/>
        <v>-454</v>
      </c>
      <c r="I31" s="3">
        <f t="shared" si="5"/>
        <v>-454</v>
      </c>
      <c r="J31" s="3">
        <f t="shared" si="5"/>
        <v>-454</v>
      </c>
      <c r="K31" s="3">
        <f t="shared" si="5"/>
        <v>-454</v>
      </c>
    </row>
    <row r="32" spans="1:11" x14ac:dyDescent="0.25">
      <c r="A32" t="s">
        <v>48</v>
      </c>
      <c r="B32" s="3">
        <v>0</v>
      </c>
      <c r="C32" s="3">
        <v>40</v>
      </c>
      <c r="D32" s="3">
        <v>140</v>
      </c>
      <c r="E32" s="3">
        <v>480</v>
      </c>
      <c r="F32" s="3">
        <v>480</v>
      </c>
      <c r="G32" s="3">
        <v>620</v>
      </c>
      <c r="H32" s="3">
        <v>620</v>
      </c>
      <c r="I32" s="3">
        <v>620</v>
      </c>
      <c r="J32" s="3">
        <v>620</v>
      </c>
      <c r="K32" s="3">
        <v>620</v>
      </c>
    </row>
    <row r="33" spans="1:11" x14ac:dyDescent="0.25">
      <c r="A33" t="s">
        <v>15</v>
      </c>
      <c r="B33" s="3">
        <f>SUM(B27:B32)</f>
        <v>4561</v>
      </c>
      <c r="C33" s="3">
        <f t="shared" ref="C33:K33" si="6">SUM(C27:C32)</f>
        <v>4297</v>
      </c>
      <c r="D33" s="3">
        <f t="shared" si="6"/>
        <v>3796</v>
      </c>
      <c r="E33" s="3">
        <f t="shared" si="6"/>
        <v>4093</v>
      </c>
      <c r="F33" s="3">
        <f t="shared" si="6"/>
        <v>4124</v>
      </c>
      <c r="G33" s="3">
        <f t="shared" si="6"/>
        <v>4170</v>
      </c>
      <c r="H33" s="3">
        <f t="shared" si="6"/>
        <v>3477</v>
      </c>
      <c r="I33" s="3">
        <f t="shared" si="6"/>
        <v>3501</v>
      </c>
      <c r="J33" s="3">
        <f t="shared" si="6"/>
        <v>3361</v>
      </c>
      <c r="K33" s="3">
        <f t="shared" si="6"/>
        <v>3459</v>
      </c>
    </row>
    <row r="34" spans="1:1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t="s">
        <v>8</v>
      </c>
      <c r="B35" s="3">
        <v>3529</v>
      </c>
      <c r="C35" s="3">
        <v>3649</v>
      </c>
      <c r="D35" s="3">
        <v>3110</v>
      </c>
      <c r="E35" s="3">
        <v>3162</v>
      </c>
      <c r="F35" s="3">
        <v>3214</v>
      </c>
      <c r="G35" s="3">
        <v>3253</v>
      </c>
      <c r="H35" s="3">
        <v>3295</v>
      </c>
      <c r="I35" s="3">
        <v>3360</v>
      </c>
      <c r="J35" s="3">
        <v>3448</v>
      </c>
      <c r="K35" s="3">
        <v>3516</v>
      </c>
    </row>
    <row r="36" spans="1:11" x14ac:dyDescent="0.25">
      <c r="A36" t="s">
        <v>9</v>
      </c>
      <c r="B36" s="3">
        <v>166</v>
      </c>
      <c r="C36" s="3">
        <v>96</v>
      </c>
      <c r="D36" s="3">
        <v>96</v>
      </c>
      <c r="E36" s="3">
        <v>96</v>
      </c>
      <c r="F36" s="3">
        <v>87</v>
      </c>
      <c r="G36" s="3">
        <v>87</v>
      </c>
      <c r="H36" s="3">
        <v>83</v>
      </c>
      <c r="I36" s="3">
        <v>83</v>
      </c>
      <c r="J36" s="3">
        <v>83</v>
      </c>
      <c r="K36" s="3">
        <v>83</v>
      </c>
    </row>
    <row r="37" spans="1:11" x14ac:dyDescent="0.25">
      <c r="A37" t="s">
        <v>16</v>
      </c>
      <c r="B37" s="3">
        <f>+B36+B35</f>
        <v>3695</v>
      </c>
      <c r="C37" s="3">
        <f t="shared" ref="C37:K37" si="7">+C36+C35</f>
        <v>3745</v>
      </c>
      <c r="D37" s="3">
        <f t="shared" si="7"/>
        <v>3206</v>
      </c>
      <c r="E37" s="3">
        <f t="shared" si="7"/>
        <v>3258</v>
      </c>
      <c r="F37" s="3">
        <f t="shared" si="7"/>
        <v>3301</v>
      </c>
      <c r="G37" s="3">
        <f t="shared" si="7"/>
        <v>3340</v>
      </c>
      <c r="H37" s="3">
        <f t="shared" si="7"/>
        <v>3378</v>
      </c>
      <c r="I37" s="3">
        <f t="shared" si="7"/>
        <v>3443</v>
      </c>
      <c r="J37" s="3">
        <f t="shared" si="7"/>
        <v>3531</v>
      </c>
      <c r="K37" s="3">
        <f t="shared" si="7"/>
        <v>3599</v>
      </c>
    </row>
    <row r="38" spans="1:1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t="s">
        <v>49</v>
      </c>
      <c r="B39" s="3">
        <f>+B40-B37</f>
        <v>554</v>
      </c>
      <c r="C39" s="3">
        <f t="shared" ref="C39:K39" si="8">+C40-C37</f>
        <v>562</v>
      </c>
      <c r="D39" s="3">
        <f t="shared" si="8"/>
        <v>481</v>
      </c>
      <c r="E39" s="3">
        <f t="shared" si="8"/>
        <v>489</v>
      </c>
      <c r="F39" s="3">
        <f t="shared" si="8"/>
        <v>495</v>
      </c>
      <c r="G39" s="3">
        <f t="shared" si="8"/>
        <v>501</v>
      </c>
      <c r="H39" s="3">
        <f t="shared" si="8"/>
        <v>507</v>
      </c>
      <c r="I39" s="3">
        <f t="shared" si="8"/>
        <v>517</v>
      </c>
      <c r="J39" s="3">
        <f t="shared" si="8"/>
        <v>530</v>
      </c>
      <c r="K39" s="3">
        <f t="shared" si="8"/>
        <v>540</v>
      </c>
    </row>
    <row r="40" spans="1:11" x14ac:dyDescent="0.25">
      <c r="A40" t="s">
        <v>18</v>
      </c>
      <c r="B40" s="3">
        <v>4249</v>
      </c>
      <c r="C40" s="3">
        <v>4307</v>
      </c>
      <c r="D40" s="3">
        <v>3687</v>
      </c>
      <c r="E40" s="3">
        <v>3747</v>
      </c>
      <c r="F40" s="3">
        <v>3796</v>
      </c>
      <c r="G40" s="3">
        <v>3841</v>
      </c>
      <c r="H40" s="3">
        <v>3885</v>
      </c>
      <c r="I40" s="3">
        <v>3960</v>
      </c>
      <c r="J40" s="3">
        <v>4061</v>
      </c>
      <c r="K40" s="3">
        <v>4139</v>
      </c>
    </row>
    <row r="41" spans="1:11" x14ac:dyDescent="0.25">
      <c r="A41" t="s">
        <v>19</v>
      </c>
      <c r="B41" s="3">
        <f t="shared" ref="B41:K41" si="9">+B33-B40</f>
        <v>312</v>
      </c>
      <c r="C41" s="3">
        <f t="shared" si="9"/>
        <v>-10</v>
      </c>
      <c r="D41" s="3">
        <f t="shared" si="9"/>
        <v>109</v>
      </c>
      <c r="E41" s="3">
        <f t="shared" si="9"/>
        <v>346</v>
      </c>
      <c r="F41" s="3">
        <f t="shared" si="9"/>
        <v>328</v>
      </c>
      <c r="G41" s="3">
        <f t="shared" si="9"/>
        <v>329</v>
      </c>
      <c r="H41" s="3">
        <f t="shared" si="9"/>
        <v>-408</v>
      </c>
      <c r="I41" s="3">
        <f t="shared" si="9"/>
        <v>-459</v>
      </c>
      <c r="J41" s="3">
        <f t="shared" si="9"/>
        <v>-700</v>
      </c>
      <c r="K41" s="3">
        <f t="shared" si="9"/>
        <v>-680</v>
      </c>
    </row>
    <row r="42" spans="1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8" t="s">
        <v>34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t="s">
        <v>21</v>
      </c>
      <c r="B44" s="3">
        <f t="shared" ref="B44:K44" si="10">+B16+B33</f>
        <v>11997</v>
      </c>
      <c r="C44" s="3">
        <f t="shared" si="10"/>
        <v>12332</v>
      </c>
      <c r="D44" s="3">
        <f t="shared" si="10"/>
        <v>11643</v>
      </c>
      <c r="E44" s="3">
        <f t="shared" si="10"/>
        <v>12086</v>
      </c>
      <c r="F44" s="3">
        <f t="shared" si="10"/>
        <v>12207</v>
      </c>
      <c r="G44" s="3">
        <f t="shared" si="10"/>
        <v>12253</v>
      </c>
      <c r="H44" s="3">
        <f t="shared" si="10"/>
        <v>11579</v>
      </c>
      <c r="I44" s="3">
        <f t="shared" si="10"/>
        <v>11603</v>
      </c>
      <c r="J44" s="3">
        <f t="shared" si="10"/>
        <v>11429</v>
      </c>
      <c r="K44" s="3">
        <f t="shared" si="10"/>
        <v>11488</v>
      </c>
    </row>
    <row r="45" spans="1:11" x14ac:dyDescent="0.25">
      <c r="A45" t="s">
        <v>35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x14ac:dyDescent="0.25">
      <c r="A46" t="s">
        <v>36</v>
      </c>
      <c r="B46" s="3">
        <f>+B37+B20</f>
        <v>10089</v>
      </c>
      <c r="C46" s="3">
        <f t="shared" ref="C46:K46" si="11">+C37+C20</f>
        <v>10337</v>
      </c>
      <c r="D46" s="3">
        <f t="shared" si="11"/>
        <v>10045</v>
      </c>
      <c r="E46" s="3">
        <f t="shared" si="11"/>
        <v>10294</v>
      </c>
      <c r="F46" s="3">
        <f t="shared" si="11"/>
        <v>10528</v>
      </c>
      <c r="G46" s="3">
        <f t="shared" si="11"/>
        <v>10807</v>
      </c>
      <c r="H46" s="3">
        <f t="shared" si="11"/>
        <v>11022</v>
      </c>
      <c r="I46" s="3">
        <f t="shared" si="11"/>
        <v>11357</v>
      </c>
      <c r="J46" s="3">
        <f t="shared" si="11"/>
        <v>11699</v>
      </c>
      <c r="K46" s="3">
        <f t="shared" si="11"/>
        <v>12035</v>
      </c>
    </row>
    <row r="47" spans="1:11" x14ac:dyDescent="0.25">
      <c r="A47" t="s">
        <v>37</v>
      </c>
      <c r="B47" s="3">
        <f>+B40+B23</f>
        <v>11602</v>
      </c>
      <c r="C47" s="3">
        <f t="shared" ref="C47:K47" si="12">+C40+C23</f>
        <v>11888</v>
      </c>
      <c r="D47" s="3">
        <f t="shared" si="12"/>
        <v>11552</v>
      </c>
      <c r="E47" s="3">
        <f t="shared" si="12"/>
        <v>11838</v>
      </c>
      <c r="F47" s="3">
        <f t="shared" si="12"/>
        <v>12107</v>
      </c>
      <c r="G47" s="3">
        <f t="shared" si="12"/>
        <v>12428</v>
      </c>
      <c r="H47" s="3">
        <f t="shared" si="12"/>
        <v>12675</v>
      </c>
      <c r="I47" s="3">
        <f t="shared" si="12"/>
        <v>13061</v>
      </c>
      <c r="J47" s="3">
        <f t="shared" si="12"/>
        <v>13454</v>
      </c>
      <c r="K47" s="3">
        <f t="shared" si="12"/>
        <v>13840</v>
      </c>
    </row>
    <row r="48" spans="1:11" x14ac:dyDescent="0.25">
      <c r="A48" t="s">
        <v>38</v>
      </c>
      <c r="B48" s="3">
        <f t="shared" ref="B48:K48" si="13">+B44+B45-B47</f>
        <v>395</v>
      </c>
      <c r="C48" s="3">
        <f t="shared" si="13"/>
        <v>444</v>
      </c>
      <c r="D48" s="3">
        <f t="shared" si="13"/>
        <v>91</v>
      </c>
      <c r="E48" s="3">
        <f t="shared" si="13"/>
        <v>248</v>
      </c>
      <c r="F48" s="3">
        <f t="shared" si="13"/>
        <v>100</v>
      </c>
      <c r="G48" s="3">
        <f t="shared" si="13"/>
        <v>-175</v>
      </c>
      <c r="H48" s="3">
        <f t="shared" si="13"/>
        <v>-1096</v>
      </c>
      <c r="I48" s="3">
        <f t="shared" si="13"/>
        <v>-1458</v>
      </c>
      <c r="J48" s="3">
        <f t="shared" si="13"/>
        <v>-2025</v>
      </c>
      <c r="K48" s="3">
        <f t="shared" si="13"/>
        <v>-2352</v>
      </c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mergeCells count="2">
    <mergeCell ref="A3:K3"/>
    <mergeCell ref="A4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X110"/>
  <sheetViews>
    <sheetView topLeftCell="H1" zoomScaleNormal="100" workbookViewId="0">
      <selection activeCell="Y13" sqref="Y13"/>
    </sheetView>
  </sheetViews>
  <sheetFormatPr defaultRowHeight="15" x14ac:dyDescent="0.25"/>
  <cols>
    <col min="1" max="1" width="26.140625" customWidth="1"/>
  </cols>
  <sheetData>
    <row r="2" spans="1:11" x14ac:dyDescent="0.25">
      <c r="J2" s="25">
        <v>0.13</v>
      </c>
    </row>
    <row r="3" spans="1:11" ht="15.75" x14ac:dyDescent="0.25">
      <c r="A3" s="75" t="s">
        <v>84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 x14ac:dyDescent="0.3">
      <c r="A4" s="72" t="s">
        <v>81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x14ac:dyDescent="0.25">
      <c r="A5" s="73" t="s">
        <v>85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7" spans="1:11" x14ac:dyDescent="0.25">
      <c r="A7" t="s">
        <v>0</v>
      </c>
      <c r="B7">
        <v>2013</v>
      </c>
      <c r="C7">
        <f>+B7+1</f>
        <v>2014</v>
      </c>
      <c r="D7">
        <f t="shared" ref="D7:K7" si="0">+C7+1</f>
        <v>2015</v>
      </c>
      <c r="E7">
        <f t="shared" si="0"/>
        <v>2016</v>
      </c>
      <c r="F7">
        <f t="shared" si="0"/>
        <v>2017</v>
      </c>
      <c r="G7">
        <f t="shared" si="0"/>
        <v>2018</v>
      </c>
      <c r="H7">
        <f t="shared" si="0"/>
        <v>2019</v>
      </c>
      <c r="I7">
        <f t="shared" si="0"/>
        <v>2020</v>
      </c>
      <c r="J7">
        <f t="shared" si="0"/>
        <v>2021</v>
      </c>
      <c r="K7">
        <f t="shared" si="0"/>
        <v>2022</v>
      </c>
    </row>
    <row r="8" spans="1:11" x14ac:dyDescent="0.25">
      <c r="A8" s="8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t="s">
        <v>1</v>
      </c>
      <c r="B9" s="3">
        <v>6198</v>
      </c>
      <c r="C9" s="3">
        <v>6614</v>
      </c>
      <c r="D9" s="3">
        <v>6454</v>
      </c>
      <c r="E9" s="3">
        <v>6448</v>
      </c>
      <c r="F9" s="3">
        <v>6447</v>
      </c>
      <c r="G9" s="3">
        <v>6447</v>
      </c>
      <c r="H9" s="3">
        <v>6447</v>
      </c>
      <c r="I9" s="3">
        <v>6447</v>
      </c>
      <c r="J9" s="3">
        <v>6447</v>
      </c>
      <c r="K9" s="3">
        <v>6447</v>
      </c>
    </row>
    <row r="10" spans="1:11" x14ac:dyDescent="0.25">
      <c r="A10" t="s">
        <v>2</v>
      </c>
      <c r="B10" s="3">
        <v>134</v>
      </c>
      <c r="C10" s="3">
        <v>139</v>
      </c>
      <c r="D10" s="3">
        <v>139</v>
      </c>
      <c r="E10" s="3">
        <v>134</v>
      </c>
      <c r="F10" s="3">
        <v>134</v>
      </c>
      <c r="G10" s="3">
        <v>131</v>
      </c>
      <c r="H10" s="3">
        <v>134</v>
      </c>
      <c r="I10" s="3">
        <v>134</v>
      </c>
      <c r="J10" s="3">
        <v>134</v>
      </c>
      <c r="K10" s="3">
        <v>134</v>
      </c>
    </row>
    <row r="11" spans="1:11" x14ac:dyDescent="0.25">
      <c r="A11" t="s">
        <v>3</v>
      </c>
      <c r="B11" s="3">
        <v>329</v>
      </c>
      <c r="C11" s="3">
        <v>329</v>
      </c>
      <c r="D11" s="3">
        <v>329</v>
      </c>
      <c r="E11" s="3">
        <v>329</v>
      </c>
      <c r="F11" s="3">
        <v>329</v>
      </c>
      <c r="G11" s="3">
        <v>329</v>
      </c>
      <c r="H11" s="3">
        <v>329</v>
      </c>
      <c r="I11" s="3">
        <v>329</v>
      </c>
      <c r="J11" s="3">
        <v>329</v>
      </c>
      <c r="K11" s="3">
        <v>329</v>
      </c>
    </row>
    <row r="12" spans="1:11" x14ac:dyDescent="0.25">
      <c r="A12" t="s">
        <v>4</v>
      </c>
      <c r="B12" s="3">
        <v>85</v>
      </c>
      <c r="C12" s="3">
        <v>85</v>
      </c>
      <c r="D12" s="3">
        <v>84</v>
      </c>
      <c r="E12" s="3">
        <v>84</v>
      </c>
      <c r="F12" s="3">
        <v>84</v>
      </c>
      <c r="G12" s="3">
        <v>84</v>
      </c>
      <c r="H12" s="3">
        <v>84</v>
      </c>
      <c r="I12" s="3">
        <v>84</v>
      </c>
      <c r="J12" s="3">
        <v>83</v>
      </c>
      <c r="K12" s="3">
        <v>81</v>
      </c>
    </row>
    <row r="13" spans="1:11" x14ac:dyDescent="0.25">
      <c r="A13" t="s">
        <v>5</v>
      </c>
      <c r="B13" s="38">
        <v>729</v>
      </c>
      <c r="C13" s="38">
        <v>404</v>
      </c>
      <c r="D13" s="38">
        <v>404</v>
      </c>
      <c r="E13" s="38">
        <v>215</v>
      </c>
      <c r="F13" s="38">
        <v>115</v>
      </c>
      <c r="G13" s="38">
        <v>115</v>
      </c>
      <c r="H13" s="38">
        <v>115</v>
      </c>
      <c r="I13" s="38">
        <v>115</v>
      </c>
      <c r="J13" s="38">
        <v>90</v>
      </c>
      <c r="K13" s="3">
        <v>90</v>
      </c>
    </row>
    <row r="14" spans="1:11" x14ac:dyDescent="0.25">
      <c r="A14" t="s">
        <v>6</v>
      </c>
      <c r="B14" s="38">
        <v>85</v>
      </c>
      <c r="C14" s="38">
        <v>75</v>
      </c>
      <c r="D14" s="38">
        <v>74</v>
      </c>
      <c r="E14" s="38">
        <v>74</v>
      </c>
      <c r="F14" s="38">
        <v>74</v>
      </c>
      <c r="G14" s="38">
        <v>74</v>
      </c>
      <c r="H14" s="38">
        <v>74</v>
      </c>
      <c r="I14" s="38">
        <v>74</v>
      </c>
      <c r="J14" s="38">
        <v>74</v>
      </c>
      <c r="K14" s="38">
        <v>27</v>
      </c>
    </row>
    <row r="15" spans="1:11" x14ac:dyDescent="0.25">
      <c r="A15" t="s">
        <v>29</v>
      </c>
      <c r="B15" s="38">
        <v>303</v>
      </c>
      <c r="C15" s="38">
        <v>280</v>
      </c>
      <c r="D15" s="38">
        <v>292</v>
      </c>
      <c r="E15" s="38">
        <v>292</v>
      </c>
      <c r="F15" s="38">
        <v>292</v>
      </c>
      <c r="G15" s="38">
        <v>292</v>
      </c>
      <c r="H15" s="38">
        <v>292</v>
      </c>
      <c r="I15" s="38">
        <v>292</v>
      </c>
      <c r="J15" s="38">
        <v>292</v>
      </c>
      <c r="K15" s="38">
        <v>292</v>
      </c>
    </row>
    <row r="16" spans="1:11" x14ac:dyDescent="0.25">
      <c r="A16" t="s">
        <v>40</v>
      </c>
      <c r="B16" s="38">
        <v>626</v>
      </c>
      <c r="C16" s="38">
        <v>585</v>
      </c>
      <c r="D16" s="38">
        <v>586</v>
      </c>
      <c r="E16" s="38">
        <v>585</v>
      </c>
      <c r="F16" s="38">
        <v>586</v>
      </c>
      <c r="G16" s="38">
        <v>584</v>
      </c>
      <c r="H16" s="38">
        <v>443</v>
      </c>
      <c r="I16" s="38">
        <v>585</v>
      </c>
      <c r="J16" s="38">
        <v>585</v>
      </c>
      <c r="K16" s="3">
        <v>586</v>
      </c>
    </row>
    <row r="17" spans="1:11" x14ac:dyDescent="0.25">
      <c r="A17" t="s">
        <v>7</v>
      </c>
      <c r="B17" s="38">
        <f t="shared" ref="B17:K17" si="1">SUM(B9:B16)</f>
        <v>8489</v>
      </c>
      <c r="C17" s="38">
        <f t="shared" si="1"/>
        <v>8511</v>
      </c>
      <c r="D17" s="38">
        <f t="shared" si="1"/>
        <v>8362</v>
      </c>
      <c r="E17" s="38">
        <f t="shared" si="1"/>
        <v>8161</v>
      </c>
      <c r="F17" s="38">
        <f t="shared" si="1"/>
        <v>8061</v>
      </c>
      <c r="G17" s="38">
        <f t="shared" si="1"/>
        <v>8056</v>
      </c>
      <c r="H17" s="38">
        <f t="shared" si="1"/>
        <v>7918</v>
      </c>
      <c r="I17" s="38">
        <f t="shared" si="1"/>
        <v>8060</v>
      </c>
      <c r="J17" s="38">
        <f t="shared" si="1"/>
        <v>8034</v>
      </c>
      <c r="K17" s="3">
        <f t="shared" si="1"/>
        <v>7986</v>
      </c>
    </row>
    <row r="18" spans="1:1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"/>
    </row>
    <row r="19" spans="1:11" x14ac:dyDescent="0.25">
      <c r="A19" t="s">
        <v>8</v>
      </c>
      <c r="B19" s="38">
        <v>6920</v>
      </c>
      <c r="C19" s="38">
        <v>7061</v>
      </c>
      <c r="D19" s="38">
        <v>7188</v>
      </c>
      <c r="E19" s="38">
        <v>6994</v>
      </c>
      <c r="F19" s="38">
        <v>7105</v>
      </c>
      <c r="G19" s="38">
        <v>7217</v>
      </c>
      <c r="H19" s="38">
        <v>7337</v>
      </c>
      <c r="I19" s="38">
        <v>7455</v>
      </c>
      <c r="J19" s="38">
        <v>7584</v>
      </c>
      <c r="K19" s="3">
        <v>7697</v>
      </c>
    </row>
    <row r="20" spans="1:11" x14ac:dyDescent="0.25">
      <c r="A20" t="s">
        <v>9</v>
      </c>
      <c r="B20" s="38">
        <v>1043</v>
      </c>
      <c r="C20" s="38">
        <v>743</v>
      </c>
      <c r="D20" s="38">
        <v>743</v>
      </c>
      <c r="E20" s="38">
        <v>743</v>
      </c>
      <c r="F20" s="38">
        <v>657</v>
      </c>
      <c r="G20" s="38">
        <v>657</v>
      </c>
      <c r="H20" s="38">
        <v>657</v>
      </c>
      <c r="I20" s="38">
        <v>657</v>
      </c>
      <c r="J20" s="38">
        <v>177</v>
      </c>
      <c r="K20" s="3">
        <v>177</v>
      </c>
    </row>
    <row r="21" spans="1:11" x14ac:dyDescent="0.25">
      <c r="A21" t="s">
        <v>10</v>
      </c>
      <c r="B21" s="3">
        <f t="shared" ref="B21:K21" si="2">+B20+B19</f>
        <v>7963</v>
      </c>
      <c r="C21" s="3">
        <f t="shared" si="2"/>
        <v>7804</v>
      </c>
      <c r="D21" s="3">
        <f t="shared" si="2"/>
        <v>7931</v>
      </c>
      <c r="E21" s="3">
        <f t="shared" si="2"/>
        <v>7737</v>
      </c>
      <c r="F21" s="3">
        <f t="shared" si="2"/>
        <v>7762</v>
      </c>
      <c r="G21" s="3">
        <f t="shared" si="2"/>
        <v>7874</v>
      </c>
      <c r="H21" s="3">
        <f t="shared" si="2"/>
        <v>7994</v>
      </c>
      <c r="I21" s="3">
        <f t="shared" si="2"/>
        <v>8112</v>
      </c>
      <c r="J21" s="3">
        <f t="shared" si="2"/>
        <v>7761</v>
      </c>
      <c r="K21" s="3">
        <f t="shared" si="2"/>
        <v>7874</v>
      </c>
    </row>
    <row r="22" spans="1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t="s">
        <v>30</v>
      </c>
      <c r="B23" s="38">
        <v>858</v>
      </c>
      <c r="C23" s="38">
        <v>883</v>
      </c>
      <c r="D23" s="38">
        <v>898</v>
      </c>
      <c r="E23" s="38">
        <v>897</v>
      </c>
      <c r="F23" s="38">
        <v>913</v>
      </c>
      <c r="G23" s="38">
        <v>928</v>
      </c>
      <c r="H23" s="38">
        <v>944</v>
      </c>
      <c r="I23" s="38">
        <v>959</v>
      </c>
      <c r="J23" s="38">
        <v>917</v>
      </c>
      <c r="K23" s="38">
        <v>931</v>
      </c>
    </row>
    <row r="24" spans="1:11" x14ac:dyDescent="0.25">
      <c r="A24" t="s">
        <v>31</v>
      </c>
      <c r="B24" s="38">
        <v>103</v>
      </c>
      <c r="C24" s="38">
        <v>103</v>
      </c>
      <c r="D24" s="38">
        <v>138</v>
      </c>
      <c r="E24" s="38">
        <v>138</v>
      </c>
      <c r="F24" s="38">
        <v>138</v>
      </c>
      <c r="G24" s="38">
        <v>138</v>
      </c>
      <c r="H24" s="38">
        <v>138</v>
      </c>
      <c r="I24" s="38">
        <v>138</v>
      </c>
      <c r="J24" s="38">
        <v>138</v>
      </c>
      <c r="K24" s="38">
        <v>138</v>
      </c>
    </row>
    <row r="25" spans="1:11" x14ac:dyDescent="0.25">
      <c r="A25" t="s">
        <v>11</v>
      </c>
      <c r="B25" s="38">
        <f t="shared" ref="B25:K25" si="3">+B24+B23</f>
        <v>961</v>
      </c>
      <c r="C25" s="38">
        <f t="shared" si="3"/>
        <v>986</v>
      </c>
      <c r="D25" s="38">
        <f t="shared" si="3"/>
        <v>1036</v>
      </c>
      <c r="E25" s="38">
        <f t="shared" si="3"/>
        <v>1035</v>
      </c>
      <c r="F25" s="38">
        <f t="shared" si="3"/>
        <v>1051</v>
      </c>
      <c r="G25" s="38">
        <f t="shared" si="3"/>
        <v>1066</v>
      </c>
      <c r="H25" s="38">
        <f t="shared" si="3"/>
        <v>1082</v>
      </c>
      <c r="I25" s="38">
        <f t="shared" si="3"/>
        <v>1097</v>
      </c>
      <c r="J25" s="38">
        <f t="shared" si="3"/>
        <v>1055</v>
      </c>
      <c r="K25" s="38">
        <f t="shared" si="3"/>
        <v>1069</v>
      </c>
    </row>
    <row r="26" spans="1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t="s">
        <v>12</v>
      </c>
      <c r="B27" s="3">
        <f>+B25+B21</f>
        <v>8924</v>
      </c>
      <c r="C27" s="3">
        <f t="shared" ref="C27:K27" si="4">+C25+C21</f>
        <v>8790</v>
      </c>
      <c r="D27" s="3">
        <f t="shared" si="4"/>
        <v>8967</v>
      </c>
      <c r="E27" s="3">
        <f t="shared" si="4"/>
        <v>8772</v>
      </c>
      <c r="F27" s="3">
        <f t="shared" si="4"/>
        <v>8813</v>
      </c>
      <c r="G27" s="3">
        <f t="shared" si="4"/>
        <v>8940</v>
      </c>
      <c r="H27" s="3">
        <f t="shared" si="4"/>
        <v>9076</v>
      </c>
      <c r="I27" s="3">
        <f t="shared" si="4"/>
        <v>9209</v>
      </c>
      <c r="J27" s="3">
        <f t="shared" si="4"/>
        <v>8816</v>
      </c>
      <c r="K27" s="3">
        <f t="shared" si="4"/>
        <v>8943</v>
      </c>
    </row>
    <row r="28" spans="1:11" x14ac:dyDescent="0.25">
      <c r="A28" t="s">
        <v>13</v>
      </c>
      <c r="B28" s="3">
        <f t="shared" ref="B28:K28" si="5">+B17-B27</f>
        <v>-435</v>
      </c>
      <c r="C28" s="3">
        <f t="shared" si="5"/>
        <v>-279</v>
      </c>
      <c r="D28" s="3">
        <f t="shared" si="5"/>
        <v>-605</v>
      </c>
      <c r="E28" s="3">
        <f t="shared" si="5"/>
        <v>-611</v>
      </c>
      <c r="F28" s="3">
        <f t="shared" si="5"/>
        <v>-752</v>
      </c>
      <c r="G28" s="3">
        <f t="shared" si="5"/>
        <v>-884</v>
      </c>
      <c r="H28" s="3">
        <f t="shared" si="5"/>
        <v>-1158</v>
      </c>
      <c r="I28" s="3">
        <f t="shared" si="5"/>
        <v>-1149</v>
      </c>
      <c r="J28" s="3">
        <f t="shared" si="5"/>
        <v>-782</v>
      </c>
      <c r="K28" s="3">
        <f t="shared" si="5"/>
        <v>-957</v>
      </c>
    </row>
    <row r="29" spans="1:11" x14ac:dyDescent="0.25">
      <c r="A29" t="s">
        <v>14</v>
      </c>
      <c r="B29" s="39">
        <f>(B$17+(B$11+B$13+B$15)*$J$2-B$24)/B$21-1</f>
        <v>7.5339696094436803E-2</v>
      </c>
      <c r="C29" s="39">
        <f>(C$17+(C$11+C$13+C$15)*$J$2-C$24)/C$21-1</f>
        <v>9.4270886724756586E-2</v>
      </c>
      <c r="D29" s="39">
        <f t="shared" ref="D29:K29" si="6">(D$17+(D$11+D$13+D$15)*$J$2-D$24)/D$21-1</f>
        <v>5.3744798890430046E-2</v>
      </c>
      <c r="E29" s="39">
        <f t="shared" si="6"/>
        <v>5.1012020162853888E-2</v>
      </c>
      <c r="F29" s="39">
        <f t="shared" si="6"/>
        <v>3.3068796701881009E-2</v>
      </c>
      <c r="G29" s="39">
        <f t="shared" si="6"/>
        <v>1.7739395478790998E-2</v>
      </c>
      <c r="H29" s="39">
        <f t="shared" si="6"/>
        <v>-1.480110082561914E-2</v>
      </c>
      <c r="I29" s="39">
        <f t="shared" si="6"/>
        <v>-1.1627218934911254E-2</v>
      </c>
      <c r="J29" s="39">
        <f t="shared" si="6"/>
        <v>2.9304213374565125E-2</v>
      </c>
      <c r="K29" s="39">
        <f t="shared" si="6"/>
        <v>8.4366268732538607E-3</v>
      </c>
    </row>
    <row r="30" spans="1:11" x14ac:dyDescent="0.25">
      <c r="B30" s="3"/>
      <c r="C30" s="27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8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t="s">
        <v>1</v>
      </c>
      <c r="B32" s="3">
        <v>2524</v>
      </c>
      <c r="C32" s="3">
        <v>2524</v>
      </c>
      <c r="D32" s="3">
        <v>2524</v>
      </c>
      <c r="E32" s="3">
        <v>2520</v>
      </c>
      <c r="F32" s="3">
        <v>2503</v>
      </c>
      <c r="G32" s="38">
        <v>2503</v>
      </c>
      <c r="H32" s="38">
        <v>2503</v>
      </c>
      <c r="I32" s="38">
        <v>2503</v>
      </c>
      <c r="J32" s="38">
        <v>2503</v>
      </c>
      <c r="K32" s="38">
        <v>2500</v>
      </c>
    </row>
    <row r="33" spans="1:24" x14ac:dyDescent="0.25">
      <c r="A33" t="s">
        <v>2</v>
      </c>
      <c r="B33" s="3">
        <v>776</v>
      </c>
      <c r="C33" s="3">
        <v>750</v>
      </c>
      <c r="D33" s="3">
        <v>776</v>
      </c>
      <c r="E33" s="3">
        <v>782</v>
      </c>
      <c r="F33" s="3">
        <v>780</v>
      </c>
      <c r="G33" s="38">
        <v>778</v>
      </c>
      <c r="H33" s="38">
        <v>722</v>
      </c>
      <c r="I33" s="38">
        <v>724</v>
      </c>
      <c r="J33" s="38">
        <v>647</v>
      </c>
      <c r="K33" s="38">
        <v>618</v>
      </c>
    </row>
    <row r="34" spans="1:24" x14ac:dyDescent="0.25">
      <c r="A34" t="s">
        <v>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24" x14ac:dyDescent="0.25">
      <c r="A35" t="s">
        <v>4</v>
      </c>
      <c r="B35" s="3">
        <v>36</v>
      </c>
      <c r="C35" s="3">
        <v>36</v>
      </c>
      <c r="D35" s="3">
        <v>36</v>
      </c>
      <c r="E35" s="3">
        <v>36</v>
      </c>
      <c r="F35" s="3">
        <v>36</v>
      </c>
      <c r="G35" s="38">
        <v>36</v>
      </c>
      <c r="H35" s="38">
        <v>36</v>
      </c>
      <c r="I35" s="38">
        <v>36</v>
      </c>
      <c r="J35" s="38">
        <v>36</v>
      </c>
      <c r="K35" s="38">
        <v>19</v>
      </c>
    </row>
    <row r="36" spans="1:24" x14ac:dyDescent="0.25">
      <c r="A36" t="s">
        <v>5</v>
      </c>
      <c r="B36" s="38">
        <v>426</v>
      </c>
      <c r="C36" s="38">
        <v>199</v>
      </c>
      <c r="D36" s="38">
        <v>204</v>
      </c>
      <c r="E36" s="38">
        <v>11</v>
      </c>
      <c r="F36" s="38">
        <v>11</v>
      </c>
      <c r="G36" s="38">
        <v>11</v>
      </c>
      <c r="H36" s="38">
        <v>1</v>
      </c>
      <c r="I36" s="38">
        <v>1</v>
      </c>
      <c r="J36" s="38">
        <v>1</v>
      </c>
      <c r="K36" s="38">
        <v>1</v>
      </c>
    </row>
    <row r="37" spans="1:24" x14ac:dyDescent="0.25">
      <c r="A37" t="s">
        <v>6</v>
      </c>
      <c r="B37" s="38">
        <v>87</v>
      </c>
      <c r="C37" s="38">
        <v>99</v>
      </c>
      <c r="D37" s="38">
        <v>99</v>
      </c>
      <c r="E37" s="38">
        <v>89</v>
      </c>
      <c r="F37" s="38">
        <v>89</v>
      </c>
      <c r="G37" s="38">
        <v>89</v>
      </c>
      <c r="H37" s="38">
        <v>89</v>
      </c>
      <c r="I37" s="38">
        <v>89</v>
      </c>
      <c r="J37" s="38">
        <v>89</v>
      </c>
      <c r="K37" s="38">
        <v>89</v>
      </c>
    </row>
    <row r="38" spans="1:24" x14ac:dyDescent="0.25">
      <c r="A38" t="s">
        <v>40</v>
      </c>
      <c r="B38" s="38">
        <v>-627</v>
      </c>
      <c r="C38" s="38">
        <v>-587</v>
      </c>
      <c r="D38" s="38">
        <v>-588</v>
      </c>
      <c r="E38" s="38">
        <v>-587</v>
      </c>
      <c r="F38" s="38">
        <v>-587</v>
      </c>
      <c r="G38" s="38">
        <v>-588</v>
      </c>
      <c r="H38" s="38">
        <v>-445</v>
      </c>
      <c r="I38" s="38">
        <v>-587</v>
      </c>
      <c r="J38" s="38">
        <v>-588</v>
      </c>
      <c r="K38" s="38">
        <v>-587</v>
      </c>
    </row>
    <row r="39" spans="1:24" x14ac:dyDescent="0.25">
      <c r="A39" t="s">
        <v>15</v>
      </c>
      <c r="B39" s="38">
        <f t="shared" ref="B39:K39" si="7">SUM(B32:B38)</f>
        <v>3222</v>
      </c>
      <c r="C39" s="38">
        <f t="shared" si="7"/>
        <v>3021</v>
      </c>
      <c r="D39" s="38">
        <f t="shared" si="7"/>
        <v>3051</v>
      </c>
      <c r="E39" s="38">
        <f t="shared" si="7"/>
        <v>2851</v>
      </c>
      <c r="F39" s="38">
        <f t="shared" si="7"/>
        <v>2832</v>
      </c>
      <c r="G39" s="38">
        <f t="shared" si="7"/>
        <v>2829</v>
      </c>
      <c r="H39" s="38">
        <f t="shared" si="7"/>
        <v>2906</v>
      </c>
      <c r="I39" s="38">
        <f t="shared" si="7"/>
        <v>2766</v>
      </c>
      <c r="J39" s="38">
        <f t="shared" si="7"/>
        <v>2688</v>
      </c>
      <c r="K39" s="38">
        <f t="shared" si="7"/>
        <v>2640</v>
      </c>
    </row>
    <row r="40" spans="1:24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24" x14ac:dyDescent="0.25">
      <c r="A41" t="s">
        <v>8</v>
      </c>
      <c r="B41" s="38">
        <v>3216</v>
      </c>
      <c r="C41" s="38">
        <v>3269</v>
      </c>
      <c r="D41" s="38">
        <v>3307</v>
      </c>
      <c r="E41" s="38">
        <v>3365</v>
      </c>
      <c r="F41" s="38">
        <v>3407</v>
      </c>
      <c r="G41" s="38">
        <v>3470</v>
      </c>
      <c r="H41" s="38">
        <v>3479</v>
      </c>
      <c r="I41" s="38">
        <v>3516</v>
      </c>
      <c r="J41" s="38">
        <v>3549</v>
      </c>
      <c r="K41" s="38">
        <v>3583</v>
      </c>
    </row>
    <row r="42" spans="1:24" x14ac:dyDescent="0.25">
      <c r="A42" t="s">
        <v>9</v>
      </c>
      <c r="B42" s="38">
        <v>327</v>
      </c>
      <c r="C42" s="38">
        <v>327</v>
      </c>
      <c r="D42" s="38">
        <v>227</v>
      </c>
      <c r="E42" s="38">
        <v>177</v>
      </c>
      <c r="F42" s="38">
        <v>177</v>
      </c>
      <c r="G42" s="38">
        <v>177</v>
      </c>
      <c r="H42" s="38">
        <v>177</v>
      </c>
      <c r="I42" s="38">
        <v>177</v>
      </c>
      <c r="J42" s="38">
        <v>177</v>
      </c>
      <c r="K42" s="38">
        <v>113</v>
      </c>
    </row>
    <row r="43" spans="1:24" x14ac:dyDescent="0.25">
      <c r="A43" t="s">
        <v>16</v>
      </c>
      <c r="B43" s="38">
        <f t="shared" ref="B43:K43" si="8">+B42+B41</f>
        <v>3543</v>
      </c>
      <c r="C43" s="38">
        <f t="shared" si="8"/>
        <v>3596</v>
      </c>
      <c r="D43" s="38">
        <f t="shared" si="8"/>
        <v>3534</v>
      </c>
      <c r="E43" s="38">
        <f t="shared" si="8"/>
        <v>3542</v>
      </c>
      <c r="F43" s="38">
        <f t="shared" si="8"/>
        <v>3584</v>
      </c>
      <c r="G43" s="38">
        <f t="shared" si="8"/>
        <v>3647</v>
      </c>
      <c r="H43" s="38">
        <f t="shared" si="8"/>
        <v>3656</v>
      </c>
      <c r="I43" s="38">
        <f t="shared" si="8"/>
        <v>3693</v>
      </c>
      <c r="J43" s="38">
        <f t="shared" si="8"/>
        <v>3726</v>
      </c>
      <c r="K43" s="38">
        <f t="shared" si="8"/>
        <v>3696</v>
      </c>
    </row>
    <row r="44" spans="1:24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O44">
        <f>+B7</f>
        <v>2013</v>
      </c>
      <c r="P44">
        <f t="shared" ref="P44:W44" si="9">+C7</f>
        <v>2014</v>
      </c>
      <c r="Q44">
        <f t="shared" si="9"/>
        <v>2015</v>
      </c>
      <c r="R44">
        <f t="shared" si="9"/>
        <v>2016</v>
      </c>
      <c r="S44">
        <f t="shared" si="9"/>
        <v>2017</v>
      </c>
      <c r="T44">
        <f t="shared" si="9"/>
        <v>2018</v>
      </c>
      <c r="U44">
        <f t="shared" si="9"/>
        <v>2019</v>
      </c>
      <c r="V44">
        <f t="shared" si="9"/>
        <v>2020</v>
      </c>
      <c r="W44">
        <f t="shared" si="9"/>
        <v>2021</v>
      </c>
      <c r="X44">
        <f>+K7</f>
        <v>2022</v>
      </c>
    </row>
    <row r="45" spans="1:24" x14ac:dyDescent="0.25">
      <c r="A45" t="s">
        <v>30</v>
      </c>
      <c r="B45" s="38">
        <v>405</v>
      </c>
      <c r="C45" s="38">
        <v>442</v>
      </c>
      <c r="D45" s="38">
        <v>433</v>
      </c>
      <c r="E45" s="38">
        <v>459</v>
      </c>
      <c r="F45" s="38">
        <v>464</v>
      </c>
      <c r="G45" s="38">
        <v>473</v>
      </c>
      <c r="H45" s="38">
        <v>475</v>
      </c>
      <c r="I45" s="38">
        <v>480</v>
      </c>
      <c r="J45" s="38">
        <v>484</v>
      </c>
      <c r="K45" s="38">
        <v>480</v>
      </c>
      <c r="L45" t="str">
        <f>+A27</f>
        <v>East Obligation + Reserves</v>
      </c>
      <c r="O45" s="6">
        <f>+B27</f>
        <v>8924</v>
      </c>
      <c r="P45" s="6">
        <f t="shared" ref="P45:W45" si="10">+C27</f>
        <v>8790</v>
      </c>
      <c r="Q45" s="6">
        <f t="shared" si="10"/>
        <v>8967</v>
      </c>
      <c r="R45" s="6">
        <f t="shared" si="10"/>
        <v>8772</v>
      </c>
      <c r="S45" s="6">
        <f t="shared" si="10"/>
        <v>8813</v>
      </c>
      <c r="T45" s="6">
        <f t="shared" si="10"/>
        <v>8940</v>
      </c>
      <c r="U45" s="6">
        <f t="shared" si="10"/>
        <v>9076</v>
      </c>
      <c r="V45" s="6">
        <f t="shared" si="10"/>
        <v>9209</v>
      </c>
      <c r="W45" s="6">
        <f t="shared" si="10"/>
        <v>8816</v>
      </c>
      <c r="X45" s="6">
        <f>+K27</f>
        <v>8943</v>
      </c>
    </row>
    <row r="46" spans="1:24" x14ac:dyDescent="0.25">
      <c r="A46" t="s">
        <v>31</v>
      </c>
      <c r="B46" s="38">
        <v>9</v>
      </c>
      <c r="C46" s="38">
        <v>9</v>
      </c>
      <c r="D46" s="38">
        <v>9</v>
      </c>
      <c r="E46" s="38">
        <v>9</v>
      </c>
      <c r="F46" s="38">
        <v>9</v>
      </c>
      <c r="G46" s="38">
        <v>9</v>
      </c>
      <c r="H46" s="38">
        <v>9</v>
      </c>
      <c r="I46" s="38">
        <v>9</v>
      </c>
      <c r="J46" s="38">
        <v>9</v>
      </c>
      <c r="K46" s="38">
        <v>9</v>
      </c>
      <c r="P46" s="43">
        <f>(P45-O45)/O45</f>
        <v>-1.5015688032272524E-2</v>
      </c>
      <c r="Q46" s="43">
        <f t="shared" ref="Q46:X46" si="11">(Q45-P45)/P45</f>
        <v>2.0136518771331057E-2</v>
      </c>
      <c r="R46" s="43">
        <f t="shared" si="11"/>
        <v>-2.1746403479424557E-2</v>
      </c>
      <c r="S46" s="43">
        <f t="shared" si="11"/>
        <v>4.6739626082991335E-3</v>
      </c>
      <c r="T46" s="29">
        <f t="shared" si="11"/>
        <v>1.4410529899012823E-2</v>
      </c>
      <c r="U46" s="29">
        <f t="shared" si="11"/>
        <v>1.5212527964205816E-2</v>
      </c>
      <c r="V46" s="29">
        <f t="shared" si="11"/>
        <v>1.4654032613486117E-2</v>
      </c>
      <c r="W46" s="29">
        <f t="shared" si="11"/>
        <v>-4.2675643392333588E-2</v>
      </c>
      <c r="X46" s="29">
        <f t="shared" si="11"/>
        <v>1.4405626134301271E-2</v>
      </c>
    </row>
    <row r="47" spans="1:24" x14ac:dyDescent="0.25">
      <c r="A47" t="s">
        <v>17</v>
      </c>
      <c r="B47" s="38">
        <f t="shared" ref="B47:K47" si="12">+B46+B45</f>
        <v>414</v>
      </c>
      <c r="C47" s="38">
        <f t="shared" si="12"/>
        <v>451</v>
      </c>
      <c r="D47" s="38">
        <f t="shared" si="12"/>
        <v>442</v>
      </c>
      <c r="E47" s="38">
        <f t="shared" si="12"/>
        <v>468</v>
      </c>
      <c r="F47" s="38">
        <f t="shared" si="12"/>
        <v>473</v>
      </c>
      <c r="G47" s="38">
        <f t="shared" si="12"/>
        <v>482</v>
      </c>
      <c r="H47" s="38">
        <f t="shared" si="12"/>
        <v>484</v>
      </c>
      <c r="I47" s="38">
        <f t="shared" si="12"/>
        <v>489</v>
      </c>
      <c r="J47" s="38">
        <f t="shared" si="12"/>
        <v>493</v>
      </c>
      <c r="K47" s="38">
        <f t="shared" si="12"/>
        <v>489</v>
      </c>
      <c r="P47" s="42"/>
      <c r="Q47" s="42"/>
      <c r="R47" s="42"/>
      <c r="S47" s="42"/>
    </row>
    <row r="48" spans="1:24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t="str">
        <f>+A49</f>
        <v>West Obligation + Reserves</v>
      </c>
      <c r="O48" s="6">
        <f>+B49</f>
        <v>3957</v>
      </c>
      <c r="P48" s="24">
        <f t="shared" ref="P48:W48" si="13">+C49</f>
        <v>4047</v>
      </c>
      <c r="Q48" s="24">
        <f t="shared" si="13"/>
        <v>3976</v>
      </c>
      <c r="R48" s="24">
        <f t="shared" si="13"/>
        <v>4010</v>
      </c>
      <c r="S48" s="24">
        <f t="shared" si="13"/>
        <v>4057</v>
      </c>
      <c r="T48" s="6">
        <f t="shared" si="13"/>
        <v>4129</v>
      </c>
      <c r="U48" s="6">
        <f t="shared" si="13"/>
        <v>4140</v>
      </c>
      <c r="V48" s="6">
        <f t="shared" si="13"/>
        <v>4182</v>
      </c>
      <c r="W48" s="6">
        <f t="shared" si="13"/>
        <v>4219</v>
      </c>
      <c r="X48" s="6">
        <f>+K49</f>
        <v>4185</v>
      </c>
    </row>
    <row r="49" spans="1:24" x14ac:dyDescent="0.25">
      <c r="A49" t="s">
        <v>18</v>
      </c>
      <c r="B49" s="38">
        <f t="shared" ref="B49:K49" si="14">+B47+B43</f>
        <v>3957</v>
      </c>
      <c r="C49" s="38">
        <f t="shared" si="14"/>
        <v>4047</v>
      </c>
      <c r="D49" s="38">
        <f t="shared" si="14"/>
        <v>3976</v>
      </c>
      <c r="E49" s="38">
        <f t="shared" si="14"/>
        <v>4010</v>
      </c>
      <c r="F49" s="38">
        <f t="shared" si="14"/>
        <v>4057</v>
      </c>
      <c r="G49" s="38">
        <f t="shared" si="14"/>
        <v>4129</v>
      </c>
      <c r="H49" s="38">
        <f t="shared" si="14"/>
        <v>4140</v>
      </c>
      <c r="I49" s="38">
        <f t="shared" si="14"/>
        <v>4182</v>
      </c>
      <c r="J49" s="38">
        <f t="shared" si="14"/>
        <v>4219</v>
      </c>
      <c r="K49" s="38">
        <f t="shared" si="14"/>
        <v>4185</v>
      </c>
      <c r="P49" s="43">
        <f>(P48-O48)/O48</f>
        <v>2.2744503411675512E-2</v>
      </c>
      <c r="Q49" s="43">
        <f t="shared" ref="Q49:X49" si="15">(Q48-P48)/P48</f>
        <v>-1.7543859649122806E-2</v>
      </c>
      <c r="R49" s="43">
        <f t="shared" si="15"/>
        <v>8.5513078470824955E-3</v>
      </c>
      <c r="S49" s="43">
        <f t="shared" si="15"/>
        <v>1.172069825436409E-2</v>
      </c>
      <c r="T49" s="29">
        <f t="shared" si="15"/>
        <v>1.7747103771259553E-2</v>
      </c>
      <c r="U49" s="29">
        <f t="shared" si="15"/>
        <v>2.6640833131508839E-3</v>
      </c>
      <c r="V49" s="29">
        <f t="shared" si="15"/>
        <v>1.0144927536231883E-2</v>
      </c>
      <c r="W49" s="29">
        <f t="shared" si="15"/>
        <v>8.8474414155906272E-3</v>
      </c>
      <c r="X49" s="29">
        <f t="shared" si="15"/>
        <v>-8.0587817018250765E-3</v>
      </c>
    </row>
    <row r="50" spans="1:24" x14ac:dyDescent="0.25">
      <c r="A50" t="s">
        <v>19</v>
      </c>
      <c r="B50" s="38">
        <f t="shared" ref="B50:K50" si="16">+B39-B49</f>
        <v>-735</v>
      </c>
      <c r="C50" s="38">
        <f t="shared" si="16"/>
        <v>-1026</v>
      </c>
      <c r="D50" s="38">
        <f t="shared" si="16"/>
        <v>-925</v>
      </c>
      <c r="E50" s="38">
        <f t="shared" si="16"/>
        <v>-1159</v>
      </c>
      <c r="F50" s="38">
        <f t="shared" si="16"/>
        <v>-1225</v>
      </c>
      <c r="G50" s="38">
        <f t="shared" si="16"/>
        <v>-1300</v>
      </c>
      <c r="H50" s="38">
        <f t="shared" si="16"/>
        <v>-1234</v>
      </c>
      <c r="I50" s="38">
        <f t="shared" si="16"/>
        <v>-1416</v>
      </c>
      <c r="J50" s="38">
        <f t="shared" si="16"/>
        <v>-1531</v>
      </c>
      <c r="K50" s="38">
        <f t="shared" si="16"/>
        <v>-1545</v>
      </c>
      <c r="P50" s="42"/>
      <c r="Q50" s="42"/>
      <c r="R50" s="42"/>
      <c r="S50" s="42"/>
    </row>
    <row r="51" spans="1:24" x14ac:dyDescent="0.25">
      <c r="A51" t="s">
        <v>20</v>
      </c>
      <c r="B51" s="39">
        <f t="shared" ref="B51:K51" si="17">(B$39+(B$34+B$36)*$J$2-B$46)/B$43-1</f>
        <v>-7.7510584250635062E-2</v>
      </c>
      <c r="C51" s="39">
        <f t="shared" si="17"/>
        <v>-0.15520856507230263</v>
      </c>
      <c r="D51" s="39">
        <f t="shared" si="17"/>
        <v>-0.13171477079796268</v>
      </c>
      <c r="E51" s="39">
        <f t="shared" si="17"/>
        <v>-0.19722473178994926</v>
      </c>
      <c r="F51" s="39">
        <f t="shared" si="17"/>
        <v>-0.21193359375000009</v>
      </c>
      <c r="G51" s="39">
        <f t="shared" si="17"/>
        <v>-0.22636961886482043</v>
      </c>
      <c r="H51" s="39">
        <f t="shared" si="17"/>
        <v>-0.20756838074398243</v>
      </c>
      <c r="I51" s="5">
        <f t="shared" si="17"/>
        <v>-0.25341727592743024</v>
      </c>
      <c r="J51" s="5">
        <f t="shared" si="17"/>
        <v>-0.28096349973161561</v>
      </c>
      <c r="K51" s="5">
        <f t="shared" si="17"/>
        <v>-0.28811417748917745</v>
      </c>
      <c r="L51" t="str">
        <f>+A58</f>
        <v>Obligation + Reserves</v>
      </c>
      <c r="O51" s="6">
        <f>+B58</f>
        <v>12881</v>
      </c>
      <c r="P51" s="24">
        <f t="shared" ref="P51:W51" si="18">+C58</f>
        <v>12837</v>
      </c>
      <c r="Q51" s="24">
        <f t="shared" si="18"/>
        <v>12943</v>
      </c>
      <c r="R51" s="24">
        <f t="shared" si="18"/>
        <v>12782</v>
      </c>
      <c r="S51" s="24">
        <f t="shared" si="18"/>
        <v>12870</v>
      </c>
      <c r="T51" s="6">
        <f t="shared" si="18"/>
        <v>13069</v>
      </c>
      <c r="U51" s="6">
        <f t="shared" si="18"/>
        <v>13216</v>
      </c>
      <c r="V51" s="6">
        <f t="shared" si="18"/>
        <v>13391</v>
      </c>
      <c r="W51" s="6">
        <f t="shared" si="18"/>
        <v>13035</v>
      </c>
      <c r="X51" s="6">
        <f>+K58</f>
        <v>13128</v>
      </c>
    </row>
    <row r="52" spans="1:24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P52" s="43">
        <f>(P51-O51)/O51</f>
        <v>-3.4158838599487617E-3</v>
      </c>
      <c r="Q52" s="43">
        <f t="shared" ref="Q52:X52" si="19">(Q51-P51)/P51</f>
        <v>8.2573810080236818E-3</v>
      </c>
      <c r="R52" s="43">
        <f t="shared" si="19"/>
        <v>-1.2439156300703082E-2</v>
      </c>
      <c r="S52" s="43">
        <f t="shared" si="19"/>
        <v>6.8846815834767644E-3</v>
      </c>
      <c r="T52" s="29">
        <f t="shared" si="19"/>
        <v>1.5462315462315463E-2</v>
      </c>
      <c r="U52" s="29">
        <f t="shared" si="19"/>
        <v>1.1247991430101767E-2</v>
      </c>
      <c r="V52" s="29">
        <f t="shared" si="19"/>
        <v>1.3241525423728813E-2</v>
      </c>
      <c r="W52" s="29">
        <f t="shared" si="19"/>
        <v>-2.6585019789410799E-2</v>
      </c>
      <c r="X52" s="29">
        <f t="shared" si="19"/>
        <v>7.1346375143843494E-3</v>
      </c>
    </row>
    <row r="53" spans="1:24" x14ac:dyDescent="0.25">
      <c r="A53" s="8" t="s">
        <v>34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24" x14ac:dyDescent="0.25">
      <c r="A54" t="s">
        <v>21</v>
      </c>
      <c r="B54" s="3">
        <f t="shared" ref="B54:K54" si="20">+B17+B39</f>
        <v>11711</v>
      </c>
      <c r="C54" s="3">
        <f t="shared" si="20"/>
        <v>11532</v>
      </c>
      <c r="D54" s="3">
        <f t="shared" si="20"/>
        <v>11413</v>
      </c>
      <c r="E54" s="3">
        <f t="shared" si="20"/>
        <v>11012</v>
      </c>
      <c r="F54" s="3">
        <f>+F17+F39</f>
        <v>10893</v>
      </c>
      <c r="G54" s="3">
        <f>+G17+G39</f>
        <v>10885</v>
      </c>
      <c r="H54" s="3">
        <f t="shared" si="20"/>
        <v>10824</v>
      </c>
      <c r="I54" s="3">
        <f t="shared" si="20"/>
        <v>10826</v>
      </c>
      <c r="J54" s="3">
        <f t="shared" si="20"/>
        <v>10722</v>
      </c>
      <c r="K54" s="3">
        <f t="shared" si="20"/>
        <v>10626</v>
      </c>
    </row>
    <row r="55" spans="1:24" x14ac:dyDescent="0.25">
      <c r="A55" t="s">
        <v>35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24" x14ac:dyDescent="0.25">
      <c r="A56" t="s">
        <v>36</v>
      </c>
      <c r="B56" s="3">
        <f t="shared" ref="B56:K56" si="21">+B43+B21</f>
        <v>11506</v>
      </c>
      <c r="C56" s="3">
        <f t="shared" si="21"/>
        <v>11400</v>
      </c>
      <c r="D56" s="3">
        <f t="shared" si="21"/>
        <v>11465</v>
      </c>
      <c r="E56" s="3">
        <f t="shared" si="21"/>
        <v>11279</v>
      </c>
      <c r="F56" s="3">
        <f t="shared" si="21"/>
        <v>11346</v>
      </c>
      <c r="G56" s="3">
        <f t="shared" si="21"/>
        <v>11521</v>
      </c>
      <c r="H56" s="3">
        <f t="shared" si="21"/>
        <v>11650</v>
      </c>
      <c r="I56" s="3">
        <f t="shared" si="21"/>
        <v>11805</v>
      </c>
      <c r="J56" s="3">
        <f t="shared" si="21"/>
        <v>11487</v>
      </c>
      <c r="K56" s="3">
        <f t="shared" si="21"/>
        <v>11570</v>
      </c>
    </row>
    <row r="57" spans="1:24" x14ac:dyDescent="0.25">
      <c r="A57" t="s">
        <v>22</v>
      </c>
      <c r="B57" s="3">
        <f t="shared" ref="B57:K57" si="22">+B25+B47</f>
        <v>1375</v>
      </c>
      <c r="C57" s="3">
        <f t="shared" si="22"/>
        <v>1437</v>
      </c>
      <c r="D57" s="3">
        <f t="shared" si="22"/>
        <v>1478</v>
      </c>
      <c r="E57" s="3">
        <f t="shared" si="22"/>
        <v>1503</v>
      </c>
      <c r="F57" s="3">
        <f t="shared" si="22"/>
        <v>1524</v>
      </c>
      <c r="G57" s="3">
        <f t="shared" si="22"/>
        <v>1548</v>
      </c>
      <c r="H57" s="3">
        <f t="shared" si="22"/>
        <v>1566</v>
      </c>
      <c r="I57" s="3">
        <f t="shared" si="22"/>
        <v>1586</v>
      </c>
      <c r="J57" s="3">
        <f t="shared" si="22"/>
        <v>1548</v>
      </c>
      <c r="K57" s="3">
        <f t="shared" si="22"/>
        <v>1558</v>
      </c>
    </row>
    <row r="58" spans="1:24" x14ac:dyDescent="0.25">
      <c r="A58" t="s">
        <v>37</v>
      </c>
      <c r="B58" s="3">
        <f t="shared" ref="B58:K58" si="23">+B57+B56</f>
        <v>12881</v>
      </c>
      <c r="C58" s="3">
        <f t="shared" si="23"/>
        <v>12837</v>
      </c>
      <c r="D58" s="3">
        <f t="shared" si="23"/>
        <v>12943</v>
      </c>
      <c r="E58" s="3">
        <f t="shared" si="23"/>
        <v>12782</v>
      </c>
      <c r="F58" s="3">
        <f t="shared" si="23"/>
        <v>12870</v>
      </c>
      <c r="G58" s="3">
        <f t="shared" si="23"/>
        <v>13069</v>
      </c>
      <c r="H58" s="3">
        <f t="shared" si="23"/>
        <v>13216</v>
      </c>
      <c r="I58" s="3">
        <f t="shared" si="23"/>
        <v>13391</v>
      </c>
      <c r="J58" s="3">
        <f t="shared" si="23"/>
        <v>13035</v>
      </c>
      <c r="K58" s="3">
        <f t="shared" si="23"/>
        <v>13128</v>
      </c>
    </row>
    <row r="59" spans="1:24" x14ac:dyDescent="0.25">
      <c r="A59" t="s">
        <v>38</v>
      </c>
      <c r="B59" s="3">
        <f>+B54+B55-B58</f>
        <v>-1170</v>
      </c>
      <c r="C59" s="3">
        <f t="shared" ref="C59:K59" si="24">+C54+C55-C58</f>
        <v>-1305</v>
      </c>
      <c r="D59" s="3">
        <f t="shared" si="24"/>
        <v>-1530</v>
      </c>
      <c r="E59" s="3">
        <f t="shared" si="24"/>
        <v>-1770</v>
      </c>
      <c r="F59" s="3">
        <f t="shared" si="24"/>
        <v>-1977</v>
      </c>
      <c r="G59" s="3">
        <f t="shared" si="24"/>
        <v>-2184</v>
      </c>
      <c r="H59" s="3">
        <f t="shared" si="24"/>
        <v>-2392</v>
      </c>
      <c r="I59" s="3">
        <f t="shared" si="24"/>
        <v>-2565</v>
      </c>
      <c r="J59" s="3">
        <f t="shared" si="24"/>
        <v>-2313</v>
      </c>
      <c r="K59" s="3">
        <f t="shared" si="24"/>
        <v>-2502</v>
      </c>
    </row>
    <row r="60" spans="1:24" x14ac:dyDescent="0.25">
      <c r="A60" t="s">
        <v>23</v>
      </c>
      <c r="B60" s="5">
        <f>(B$54+(B$11+B$13+B$15+B$34+B$36)*$J$2-B$24-B$46)/B$56-1</f>
        <v>2.8273074917434249E-2</v>
      </c>
      <c r="C60" s="5">
        <f t="shared" ref="C60:K60" si="25">(C$54+(C$11+C$13+C$15+C$34+C$36)*$J$2-C$24-C$46)/C$56-1</f>
        <v>1.5575438596491242E-2</v>
      </c>
      <c r="D60" s="5">
        <f t="shared" si="25"/>
        <v>-3.421718273004748E-3</v>
      </c>
      <c r="E60" s="5">
        <f t="shared" si="25"/>
        <v>-2.6942991399946714E-2</v>
      </c>
      <c r="F60" s="5">
        <f t="shared" si="25"/>
        <v>-4.432310946589102E-2</v>
      </c>
      <c r="G60" s="5">
        <f t="shared" si="25"/>
        <v>-5.9533894627202488E-2</v>
      </c>
      <c r="H60" s="5">
        <f t="shared" si="25"/>
        <v>-7.5295278969957136E-2</v>
      </c>
      <c r="I60" s="5">
        <f t="shared" si="25"/>
        <v>-8.7267259635747663E-2</v>
      </c>
      <c r="J60" s="5">
        <f t="shared" si="25"/>
        <v>-7.133629320100987E-2</v>
      </c>
      <c r="K60" s="5">
        <f t="shared" si="25"/>
        <v>-8.6295592048401093E-2</v>
      </c>
      <c r="Q60" s="31"/>
      <c r="R60" s="31"/>
      <c r="S60" s="31"/>
      <c r="T60" s="31"/>
    </row>
    <row r="61" spans="1:24" x14ac:dyDescent="0.25">
      <c r="B61" s="3"/>
      <c r="C61" s="3"/>
      <c r="D61" s="3"/>
      <c r="E61" s="3"/>
      <c r="F61" s="3"/>
      <c r="G61" s="3"/>
      <c r="H61" s="3"/>
      <c r="I61" s="3"/>
    </row>
    <row r="62" spans="1:24" x14ac:dyDescent="0.25">
      <c r="A62" t="s">
        <v>68</v>
      </c>
      <c r="C62" s="40">
        <f>+C82</f>
        <v>-1.5284774997865255E-2</v>
      </c>
      <c r="D62" s="40">
        <f t="shared" ref="D62:K62" si="26">+D82</f>
        <v>-1.0319112036073535E-2</v>
      </c>
      <c r="E62" s="40">
        <f t="shared" si="26"/>
        <v>-3.5135371944274074E-2</v>
      </c>
      <c r="F62" s="40">
        <f t="shared" si="26"/>
        <v>-1.0806393025790046E-2</v>
      </c>
      <c r="G62" s="31">
        <f t="shared" si="26"/>
        <v>-7.3441659781511067E-4</v>
      </c>
      <c r="H62" s="31">
        <f t="shared" si="26"/>
        <v>-5.6040422599908128E-3</v>
      </c>
      <c r="I62" s="31">
        <f t="shared" si="26"/>
        <v>1.8477457501847746E-4</v>
      </c>
      <c r="J62" s="31">
        <f t="shared" si="26"/>
        <v>-9.6065028634768155E-3</v>
      </c>
      <c r="K62" s="31">
        <f t="shared" si="26"/>
        <v>-8.9535534415221048E-3</v>
      </c>
    </row>
    <row r="63" spans="1:24" x14ac:dyDescent="0.25">
      <c r="B63" s="18"/>
      <c r="C63" s="41"/>
      <c r="D63" s="41"/>
      <c r="E63" s="41"/>
      <c r="F63" s="42"/>
    </row>
    <row r="64" spans="1:24" x14ac:dyDescent="0.25">
      <c r="A64" t="s">
        <v>69</v>
      </c>
      <c r="C64" s="40">
        <f>+C86</f>
        <v>-3.4158838599487617E-3</v>
      </c>
      <c r="D64" s="40">
        <f t="shared" ref="D64:K64" si="27">+D86</f>
        <v>8.2573810080236818E-3</v>
      </c>
      <c r="E64" s="40">
        <f t="shared" si="27"/>
        <v>-1.2439156300703082E-2</v>
      </c>
      <c r="F64" s="40">
        <f t="shared" si="27"/>
        <v>6.8846815834767644E-3</v>
      </c>
      <c r="G64" s="31">
        <f t="shared" si="27"/>
        <v>1.5462315462315463E-2</v>
      </c>
      <c r="H64" s="31">
        <f t="shared" si="27"/>
        <v>1.1247991430101767E-2</v>
      </c>
      <c r="I64" s="31">
        <f t="shared" si="27"/>
        <v>1.3241525423728813E-2</v>
      </c>
      <c r="J64" s="31">
        <f t="shared" si="27"/>
        <v>-2.6585019789410799E-2</v>
      </c>
      <c r="K64" s="31">
        <f t="shared" si="27"/>
        <v>7.1346375143843494E-3</v>
      </c>
    </row>
    <row r="65" spans="1:24" x14ac:dyDescent="0.25">
      <c r="C65" s="42"/>
      <c r="D65" s="42"/>
      <c r="E65" s="42"/>
      <c r="F65" s="42"/>
    </row>
    <row r="66" spans="1:24" x14ac:dyDescent="0.25">
      <c r="L66" t="s">
        <v>73</v>
      </c>
      <c r="O66" s="6">
        <f>+O51</f>
        <v>12881</v>
      </c>
      <c r="P66" s="17">
        <f>+O66*(1+P67)</f>
        <v>13074.214999999998</v>
      </c>
      <c r="Q66" s="17">
        <f>+P66*(1+Q67)</f>
        <v>13270.328224999997</v>
      </c>
      <c r="R66" s="17">
        <f t="shared" ref="R66:X66" si="28">+Q66*(1+R67)</f>
        <v>13469.383148374996</v>
      </c>
      <c r="S66" s="17">
        <f t="shared" si="28"/>
        <v>13671.423895600619</v>
      </c>
      <c r="T66" s="17">
        <f t="shared" si="28"/>
        <v>13876.495254034628</v>
      </c>
      <c r="U66" s="17">
        <f t="shared" si="28"/>
        <v>14084.642682845146</v>
      </c>
      <c r="V66" s="17">
        <f t="shared" si="28"/>
        <v>14295.912323087821</v>
      </c>
      <c r="W66" s="17">
        <f t="shared" si="28"/>
        <v>14510.351007934138</v>
      </c>
      <c r="X66" s="17">
        <f t="shared" si="28"/>
        <v>14728.006273053148</v>
      </c>
    </row>
    <row r="67" spans="1:24" x14ac:dyDescent="0.25">
      <c r="P67" s="29">
        <v>1.4999999999999999E-2</v>
      </c>
      <c r="Q67" s="29">
        <f>+P67</f>
        <v>1.4999999999999999E-2</v>
      </c>
      <c r="R67" s="29">
        <f t="shared" ref="R67:X67" si="29">+Q67</f>
        <v>1.4999999999999999E-2</v>
      </c>
      <c r="S67" s="29">
        <f t="shared" si="29"/>
        <v>1.4999999999999999E-2</v>
      </c>
      <c r="T67" s="29">
        <f t="shared" si="29"/>
        <v>1.4999999999999999E-2</v>
      </c>
      <c r="U67" s="29">
        <f t="shared" si="29"/>
        <v>1.4999999999999999E-2</v>
      </c>
      <c r="V67" s="29">
        <f t="shared" si="29"/>
        <v>1.4999999999999999E-2</v>
      </c>
      <c r="W67" s="29">
        <f t="shared" si="29"/>
        <v>1.4999999999999999E-2</v>
      </c>
      <c r="X67" s="29">
        <f t="shared" si="29"/>
        <v>1.4999999999999999E-2</v>
      </c>
    </row>
    <row r="69" spans="1:24" x14ac:dyDescent="0.25">
      <c r="A69" t="str">
        <f>+A17</f>
        <v>East Existing Resources</v>
      </c>
      <c r="B69" s="17">
        <f t="shared" ref="B69:K69" si="30">+B17</f>
        <v>8489</v>
      </c>
      <c r="C69" s="17">
        <f>+C17</f>
        <v>8511</v>
      </c>
      <c r="D69" s="17">
        <f t="shared" si="30"/>
        <v>8362</v>
      </c>
      <c r="E69" s="17">
        <f t="shared" si="30"/>
        <v>8161</v>
      </c>
      <c r="F69" s="17">
        <f t="shared" si="30"/>
        <v>8061</v>
      </c>
      <c r="G69" s="17">
        <f t="shared" si="30"/>
        <v>8056</v>
      </c>
      <c r="H69" s="17">
        <f t="shared" si="30"/>
        <v>7918</v>
      </c>
      <c r="I69" s="17">
        <f t="shared" si="30"/>
        <v>8060</v>
      </c>
      <c r="J69" s="17">
        <f t="shared" si="30"/>
        <v>8034</v>
      </c>
      <c r="K69" s="17">
        <f t="shared" si="30"/>
        <v>7986</v>
      </c>
    </row>
    <row r="70" spans="1:24" x14ac:dyDescent="0.25">
      <c r="B70" s="17"/>
      <c r="C70" s="29">
        <f>(C69-B69)/B69</f>
        <v>2.5915891153257156E-3</v>
      </c>
      <c r="D70" s="29">
        <f t="shared" ref="D70:K70" si="31">(D69-C69)/C69</f>
        <v>-1.7506755962871576E-2</v>
      </c>
      <c r="E70" s="29">
        <f t="shared" si="31"/>
        <v>-2.4037311647931117E-2</v>
      </c>
      <c r="F70" s="29">
        <f t="shared" si="31"/>
        <v>-1.2253400318588408E-2</v>
      </c>
      <c r="G70" s="29">
        <f t="shared" si="31"/>
        <v>-6.2027043791092911E-4</v>
      </c>
      <c r="H70" s="29">
        <f t="shared" si="31"/>
        <v>-1.7130089374379345E-2</v>
      </c>
      <c r="I70" s="29">
        <f t="shared" si="31"/>
        <v>1.793382167213943E-2</v>
      </c>
      <c r="J70" s="29">
        <f t="shared" si="31"/>
        <v>-3.2258064516129032E-3</v>
      </c>
      <c r="K70" s="29">
        <f t="shared" si="31"/>
        <v>-5.9746079163554896E-3</v>
      </c>
    </row>
    <row r="71" spans="1:24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24" x14ac:dyDescent="0.25">
      <c r="A72" t="str">
        <f>+A27</f>
        <v>East Obligation + Reserves</v>
      </c>
      <c r="B72" s="17">
        <f t="shared" ref="B72:K72" si="32">+B27</f>
        <v>8924</v>
      </c>
      <c r="C72" s="17">
        <f t="shared" si="32"/>
        <v>8790</v>
      </c>
      <c r="D72" s="17">
        <f t="shared" si="32"/>
        <v>8967</v>
      </c>
      <c r="E72" s="17">
        <f t="shared" si="32"/>
        <v>8772</v>
      </c>
      <c r="F72" s="17">
        <f t="shared" si="32"/>
        <v>8813</v>
      </c>
      <c r="G72" s="17">
        <f t="shared" si="32"/>
        <v>8940</v>
      </c>
      <c r="H72" s="17">
        <f t="shared" si="32"/>
        <v>9076</v>
      </c>
      <c r="I72" s="17">
        <f t="shared" si="32"/>
        <v>9209</v>
      </c>
      <c r="J72" s="17">
        <f t="shared" si="32"/>
        <v>8816</v>
      </c>
      <c r="K72" s="17">
        <f t="shared" si="32"/>
        <v>8943</v>
      </c>
    </row>
    <row r="73" spans="1:24" x14ac:dyDescent="0.25">
      <c r="B73" s="17"/>
      <c r="C73" s="29">
        <f>(C72-B72)/B72</f>
        <v>-1.5015688032272524E-2</v>
      </c>
      <c r="D73" s="29">
        <f t="shared" ref="D73:K73" si="33">(D72-C72)/C72</f>
        <v>2.0136518771331057E-2</v>
      </c>
      <c r="E73" s="29">
        <f t="shared" si="33"/>
        <v>-2.1746403479424557E-2</v>
      </c>
      <c r="F73" s="29">
        <f t="shared" si="33"/>
        <v>4.6739626082991335E-3</v>
      </c>
      <c r="G73" s="29">
        <f t="shared" si="33"/>
        <v>1.4410529899012823E-2</v>
      </c>
      <c r="H73" s="29">
        <f t="shared" si="33"/>
        <v>1.5212527964205816E-2</v>
      </c>
      <c r="I73" s="29">
        <f t="shared" si="33"/>
        <v>1.4654032613486117E-2</v>
      </c>
      <c r="J73" s="29">
        <f t="shared" si="33"/>
        <v>-4.2675643392333588E-2</v>
      </c>
      <c r="K73" s="29">
        <f t="shared" si="33"/>
        <v>1.4405626134301271E-2</v>
      </c>
    </row>
    <row r="74" spans="1:24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24" x14ac:dyDescent="0.25">
      <c r="A75" t="str">
        <f>+A39</f>
        <v>West Existing Resources</v>
      </c>
      <c r="B75" s="17">
        <f t="shared" ref="B75:K75" si="34">+B39</f>
        <v>3222</v>
      </c>
      <c r="C75" s="17">
        <f t="shared" si="34"/>
        <v>3021</v>
      </c>
      <c r="D75" s="17">
        <f t="shared" si="34"/>
        <v>3051</v>
      </c>
      <c r="E75" s="17">
        <f t="shared" si="34"/>
        <v>2851</v>
      </c>
      <c r="F75" s="17">
        <f t="shared" si="34"/>
        <v>2832</v>
      </c>
      <c r="G75" s="17">
        <f t="shared" si="34"/>
        <v>2829</v>
      </c>
      <c r="H75" s="17">
        <f t="shared" si="34"/>
        <v>2906</v>
      </c>
      <c r="I75" s="17">
        <f t="shared" si="34"/>
        <v>2766</v>
      </c>
      <c r="J75" s="17">
        <f t="shared" si="34"/>
        <v>2688</v>
      </c>
      <c r="K75" s="17">
        <f t="shared" si="34"/>
        <v>2640</v>
      </c>
    </row>
    <row r="76" spans="1:24" x14ac:dyDescent="0.25">
      <c r="B76" s="17"/>
      <c r="C76" s="29">
        <f>(C75-B75)/B75</f>
        <v>-6.2383612662942269E-2</v>
      </c>
      <c r="D76" s="29">
        <f t="shared" ref="D76:K76" si="35">(D75-C75)/C75</f>
        <v>9.9304865938430985E-3</v>
      </c>
      <c r="E76" s="29">
        <f t="shared" si="35"/>
        <v>-6.5552277941658479E-2</v>
      </c>
      <c r="F76" s="29">
        <f t="shared" si="35"/>
        <v>-6.6643283058575942E-3</v>
      </c>
      <c r="G76" s="29">
        <f t="shared" si="35"/>
        <v>-1.0593220338983051E-3</v>
      </c>
      <c r="H76" s="29">
        <f t="shared" si="35"/>
        <v>2.7218098267939202E-2</v>
      </c>
      <c r="I76" s="29">
        <f t="shared" si="35"/>
        <v>-4.817618719889883E-2</v>
      </c>
      <c r="J76" s="29">
        <f t="shared" si="35"/>
        <v>-2.8199566160520606E-2</v>
      </c>
      <c r="K76" s="29">
        <f t="shared" si="35"/>
        <v>-1.7857142857142856E-2</v>
      </c>
    </row>
    <row r="77" spans="1:24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24" x14ac:dyDescent="0.25">
      <c r="A78" t="str">
        <f>+A49</f>
        <v>West Obligation + Reserves</v>
      </c>
      <c r="B78" s="17">
        <f t="shared" ref="B78:K78" si="36">+B49</f>
        <v>3957</v>
      </c>
      <c r="C78" s="17">
        <f t="shared" si="36"/>
        <v>4047</v>
      </c>
      <c r="D78" s="17">
        <f t="shared" si="36"/>
        <v>3976</v>
      </c>
      <c r="E78" s="17">
        <f t="shared" si="36"/>
        <v>4010</v>
      </c>
      <c r="F78" s="17">
        <f t="shared" si="36"/>
        <v>4057</v>
      </c>
      <c r="G78" s="17">
        <f t="shared" si="36"/>
        <v>4129</v>
      </c>
      <c r="H78" s="17">
        <f t="shared" si="36"/>
        <v>4140</v>
      </c>
      <c r="I78" s="17">
        <f t="shared" si="36"/>
        <v>4182</v>
      </c>
      <c r="J78" s="17">
        <f t="shared" si="36"/>
        <v>4219</v>
      </c>
      <c r="K78" s="17">
        <f t="shared" si="36"/>
        <v>4185</v>
      </c>
    </row>
    <row r="79" spans="1:24" x14ac:dyDescent="0.25">
      <c r="B79" s="17"/>
      <c r="C79" s="29">
        <f>(C78-B78)/B78</f>
        <v>2.2744503411675512E-2</v>
      </c>
      <c r="D79" s="29">
        <f t="shared" ref="D79:K79" si="37">(D78-C78)/C78</f>
        <v>-1.7543859649122806E-2</v>
      </c>
      <c r="E79" s="29">
        <f t="shared" si="37"/>
        <v>8.5513078470824955E-3</v>
      </c>
      <c r="F79" s="29">
        <f t="shared" si="37"/>
        <v>1.172069825436409E-2</v>
      </c>
      <c r="G79" s="29">
        <f t="shared" si="37"/>
        <v>1.7747103771259553E-2</v>
      </c>
      <c r="H79" s="29">
        <f t="shared" si="37"/>
        <v>2.6640833131508839E-3</v>
      </c>
      <c r="I79" s="29">
        <f t="shared" si="37"/>
        <v>1.0144927536231883E-2</v>
      </c>
      <c r="J79" s="29">
        <f t="shared" si="37"/>
        <v>8.8474414155906272E-3</v>
      </c>
      <c r="K79" s="29">
        <f t="shared" si="37"/>
        <v>-8.0587817018250765E-3</v>
      </c>
    </row>
    <row r="80" spans="1:24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3" x14ac:dyDescent="0.25">
      <c r="A81" t="str">
        <f>+A54</f>
        <v>Total Resources</v>
      </c>
      <c r="B81" s="17">
        <f t="shared" ref="B81:K81" si="38">+B54</f>
        <v>11711</v>
      </c>
      <c r="C81" s="17">
        <f t="shared" si="38"/>
        <v>11532</v>
      </c>
      <c r="D81" s="17">
        <f t="shared" si="38"/>
        <v>11413</v>
      </c>
      <c r="E81" s="17">
        <f t="shared" si="38"/>
        <v>11012</v>
      </c>
      <c r="F81" s="17">
        <f t="shared" si="38"/>
        <v>10893</v>
      </c>
      <c r="G81" s="17">
        <f t="shared" si="38"/>
        <v>10885</v>
      </c>
      <c r="H81" s="17">
        <f t="shared" si="38"/>
        <v>10824</v>
      </c>
      <c r="I81" s="17">
        <f t="shared" si="38"/>
        <v>10826</v>
      </c>
      <c r="J81" s="17">
        <f t="shared" si="38"/>
        <v>10722</v>
      </c>
      <c r="K81" s="17">
        <f t="shared" si="38"/>
        <v>10626</v>
      </c>
    </row>
    <row r="82" spans="1:13" x14ac:dyDescent="0.25">
      <c r="B82" s="17"/>
      <c r="C82" s="29">
        <f>(C81-B81)/B81</f>
        <v>-1.5284774997865255E-2</v>
      </c>
      <c r="D82" s="29">
        <f t="shared" ref="D82:K82" si="39">(D81-C81)/C81</f>
        <v>-1.0319112036073535E-2</v>
      </c>
      <c r="E82" s="29">
        <f t="shared" si="39"/>
        <v>-3.5135371944274074E-2</v>
      </c>
      <c r="F82" s="29">
        <f t="shared" si="39"/>
        <v>-1.0806393025790046E-2</v>
      </c>
      <c r="G82" s="29">
        <f t="shared" si="39"/>
        <v>-7.3441659781511067E-4</v>
      </c>
      <c r="H82" s="29">
        <f t="shared" si="39"/>
        <v>-5.6040422599908128E-3</v>
      </c>
      <c r="I82" s="29">
        <f t="shared" si="39"/>
        <v>1.8477457501847746E-4</v>
      </c>
      <c r="J82" s="29">
        <f t="shared" si="39"/>
        <v>-9.6065028634768155E-3</v>
      </c>
      <c r="K82" s="29">
        <f t="shared" si="39"/>
        <v>-8.9535534415221048E-3</v>
      </c>
    </row>
    <row r="83" spans="1:13" x14ac:dyDescent="0.25">
      <c r="B83" s="17"/>
      <c r="C83" s="17">
        <f>+C81-B81</f>
        <v>-179</v>
      </c>
      <c r="D83" s="17">
        <f t="shared" ref="D83:K83" si="40">+D81-C81</f>
        <v>-119</v>
      </c>
      <c r="E83" s="17">
        <f t="shared" si="40"/>
        <v>-401</v>
      </c>
      <c r="F83" s="17">
        <f t="shared" si="40"/>
        <v>-119</v>
      </c>
      <c r="G83" s="17">
        <f t="shared" si="40"/>
        <v>-8</v>
      </c>
      <c r="H83" s="17">
        <f t="shared" si="40"/>
        <v>-61</v>
      </c>
      <c r="I83" s="17">
        <f t="shared" si="40"/>
        <v>2</v>
      </c>
      <c r="J83" s="17">
        <f t="shared" si="40"/>
        <v>-104</v>
      </c>
      <c r="K83" s="17">
        <f t="shared" si="40"/>
        <v>-96</v>
      </c>
    </row>
    <row r="84" spans="1:13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3" x14ac:dyDescent="0.25">
      <c r="A85" t="str">
        <f>+A58</f>
        <v>Obligation + Reserves</v>
      </c>
      <c r="B85" s="17">
        <f t="shared" ref="B85:K85" si="41">+B58</f>
        <v>12881</v>
      </c>
      <c r="C85" s="17">
        <f t="shared" si="41"/>
        <v>12837</v>
      </c>
      <c r="D85" s="17">
        <f t="shared" si="41"/>
        <v>12943</v>
      </c>
      <c r="E85" s="17">
        <f t="shared" si="41"/>
        <v>12782</v>
      </c>
      <c r="F85" s="17">
        <f t="shared" si="41"/>
        <v>12870</v>
      </c>
      <c r="G85" s="17">
        <f t="shared" si="41"/>
        <v>13069</v>
      </c>
      <c r="H85" s="17">
        <f t="shared" si="41"/>
        <v>13216</v>
      </c>
      <c r="I85" s="17">
        <f t="shared" si="41"/>
        <v>13391</v>
      </c>
      <c r="J85" s="17">
        <f t="shared" si="41"/>
        <v>13035</v>
      </c>
      <c r="K85" s="17">
        <f t="shared" si="41"/>
        <v>13128</v>
      </c>
    </row>
    <row r="86" spans="1:13" x14ac:dyDescent="0.25">
      <c r="C86" s="29">
        <f>(C85-B85)/B85</f>
        <v>-3.4158838599487617E-3</v>
      </c>
      <c r="D86" s="29">
        <f t="shared" ref="D86:K86" si="42">(D85-C85)/C85</f>
        <v>8.2573810080236818E-3</v>
      </c>
      <c r="E86" s="29">
        <f t="shared" si="42"/>
        <v>-1.2439156300703082E-2</v>
      </c>
      <c r="F86" s="29">
        <f t="shared" si="42"/>
        <v>6.8846815834767644E-3</v>
      </c>
      <c r="G86" s="29">
        <f t="shared" si="42"/>
        <v>1.5462315462315463E-2</v>
      </c>
      <c r="H86" s="29">
        <f t="shared" si="42"/>
        <v>1.1247991430101767E-2</v>
      </c>
      <c r="I86" s="29">
        <f t="shared" si="42"/>
        <v>1.3241525423728813E-2</v>
      </c>
      <c r="J86" s="29">
        <f t="shared" si="42"/>
        <v>-2.6585019789410799E-2</v>
      </c>
      <c r="K86" s="29">
        <f t="shared" si="42"/>
        <v>7.1346375143843494E-3</v>
      </c>
    </row>
    <row r="87" spans="1:13" x14ac:dyDescent="0.25">
      <c r="C87" s="17">
        <f t="shared" ref="C87:K87" si="43">+C85-B85</f>
        <v>-44</v>
      </c>
      <c r="D87" s="17">
        <f t="shared" si="43"/>
        <v>106</v>
      </c>
      <c r="E87" s="17">
        <f t="shared" si="43"/>
        <v>-161</v>
      </c>
      <c r="F87" s="17">
        <f t="shared" si="43"/>
        <v>88</v>
      </c>
      <c r="G87" s="17">
        <f t="shared" si="43"/>
        <v>199</v>
      </c>
      <c r="H87" s="17">
        <f t="shared" si="43"/>
        <v>147</v>
      </c>
      <c r="I87" s="17">
        <f t="shared" si="43"/>
        <v>175</v>
      </c>
      <c r="J87" s="17">
        <f t="shared" si="43"/>
        <v>-356</v>
      </c>
      <c r="K87" s="17">
        <f t="shared" si="43"/>
        <v>93</v>
      </c>
    </row>
    <row r="89" spans="1:13" x14ac:dyDescent="0.25">
      <c r="C89" s="26">
        <f>+C87+C83</f>
        <v>-223</v>
      </c>
      <c r="D89" s="26">
        <f>+D87+D83</f>
        <v>-13</v>
      </c>
      <c r="E89" s="26">
        <f t="shared" ref="E89:K89" si="44">+E87+E83</f>
        <v>-562</v>
      </c>
      <c r="F89" s="26">
        <f t="shared" si="44"/>
        <v>-31</v>
      </c>
      <c r="G89" s="26">
        <f t="shared" si="44"/>
        <v>191</v>
      </c>
      <c r="H89" s="26">
        <f t="shared" si="44"/>
        <v>86</v>
      </c>
      <c r="I89" s="26">
        <f t="shared" si="44"/>
        <v>177</v>
      </c>
      <c r="J89" s="26">
        <f t="shared" si="44"/>
        <v>-460</v>
      </c>
      <c r="K89" s="26">
        <f t="shared" si="44"/>
        <v>-3</v>
      </c>
    </row>
    <row r="91" spans="1:13" x14ac:dyDescent="0.25">
      <c r="A91" t="s">
        <v>8</v>
      </c>
      <c r="B91" s="6">
        <f t="shared" ref="B91:K91" si="45">+B19+B41</f>
        <v>10136</v>
      </c>
      <c r="C91" s="6">
        <f t="shared" si="45"/>
        <v>10330</v>
      </c>
      <c r="D91" s="6">
        <f t="shared" si="45"/>
        <v>10495</v>
      </c>
      <c r="E91" s="6">
        <f t="shared" si="45"/>
        <v>10359</v>
      </c>
      <c r="F91" s="6">
        <f t="shared" si="45"/>
        <v>10512</v>
      </c>
      <c r="G91" s="6">
        <f t="shared" si="45"/>
        <v>10687</v>
      </c>
      <c r="H91" s="6">
        <f t="shared" si="45"/>
        <v>10816</v>
      </c>
      <c r="I91" s="6">
        <f t="shared" si="45"/>
        <v>10971</v>
      </c>
      <c r="J91" s="6">
        <f t="shared" si="45"/>
        <v>11133</v>
      </c>
      <c r="K91" s="6">
        <f t="shared" si="45"/>
        <v>11280</v>
      </c>
      <c r="M91" s="18">
        <f>((K91-B91)/B91)/9</f>
        <v>1.2540559501885469E-2</v>
      </c>
    </row>
    <row r="92" spans="1:13" x14ac:dyDescent="0.25">
      <c r="C92" s="18">
        <f>(C91-B91)/B91</f>
        <v>1.9139700078926597E-2</v>
      </c>
      <c r="D92" s="18">
        <f t="shared" ref="D92:K92" si="46">(D91-C91)/C91</f>
        <v>1.5972894482090997E-2</v>
      </c>
      <c r="E92" s="18">
        <f t="shared" si="46"/>
        <v>-1.2958551691281562E-2</v>
      </c>
      <c r="F92" s="18">
        <f t="shared" si="46"/>
        <v>1.4769765421372719E-2</v>
      </c>
      <c r="G92" s="18">
        <f t="shared" si="46"/>
        <v>1.6647640791476407E-2</v>
      </c>
      <c r="H92" s="18">
        <f t="shared" si="46"/>
        <v>1.2070740151586039E-2</v>
      </c>
      <c r="I92" s="18">
        <f t="shared" si="46"/>
        <v>1.4330621301775148E-2</v>
      </c>
      <c r="J92" s="18">
        <f t="shared" si="46"/>
        <v>1.4766201804757998E-2</v>
      </c>
      <c r="K92" s="18">
        <f t="shared" si="46"/>
        <v>1.3203988143357586E-2</v>
      </c>
      <c r="M92" s="25">
        <f>AVERAGE(C92:K92)</f>
        <v>1.1993666720451327E-2</v>
      </c>
    </row>
    <row r="94" spans="1:13" x14ac:dyDescent="0.25">
      <c r="C94" s="18">
        <v>2.87239071427755E-2</v>
      </c>
      <c r="D94" s="18">
        <v>3.5256368979479896E-2</v>
      </c>
      <c r="E94" s="18">
        <v>2.9428803325411892E-2</v>
      </c>
      <c r="F94" s="18">
        <v>2.7422864020473423E-2</v>
      </c>
      <c r="G94" s="18">
        <v>2.1862679822407041E-2</v>
      </c>
      <c r="H94" s="18">
        <v>2.1056254005471575E-2</v>
      </c>
      <c r="I94" s="18">
        <v>1.2310186417676238E-2</v>
      </c>
      <c r="J94" s="18">
        <v>1.5151671438056175E-2</v>
      </c>
      <c r="K94" s="18">
        <v>1.56894084756815E-2</v>
      </c>
    </row>
    <row r="96" spans="1:13" x14ac:dyDescent="0.25">
      <c r="C96" s="25">
        <f>+C92-C94</f>
        <v>-9.5842070638489027E-3</v>
      </c>
      <c r="D96" s="25">
        <f t="shared" ref="D96:K96" si="47">+D92-D94</f>
        <v>-1.9283474497388899E-2</v>
      </c>
      <c r="E96" s="25">
        <f t="shared" si="47"/>
        <v>-4.2387355016693454E-2</v>
      </c>
      <c r="F96" s="25">
        <f t="shared" si="47"/>
        <v>-1.2653098599100705E-2</v>
      </c>
      <c r="G96" s="25">
        <f t="shared" si="47"/>
        <v>-5.2150390309306342E-3</v>
      </c>
      <c r="H96" s="25">
        <f t="shared" si="47"/>
        <v>-8.9855138538855357E-3</v>
      </c>
      <c r="I96" s="25">
        <f t="shared" si="47"/>
        <v>2.0204348840989102E-3</v>
      </c>
      <c r="J96" s="25">
        <f t="shared" si="47"/>
        <v>-3.8546963329817718E-4</v>
      </c>
      <c r="K96" s="25">
        <f t="shared" si="47"/>
        <v>-2.4854203323239135E-3</v>
      </c>
    </row>
    <row r="99" spans="1:12" x14ac:dyDescent="0.25">
      <c r="A99" s="36" t="s">
        <v>74</v>
      </c>
      <c r="B99" s="37">
        <f>+B57/B56</f>
        <v>0.11950286806883365</v>
      </c>
      <c r="C99" s="37">
        <f t="shared" ref="C99:K99" si="48">+C57/C56</f>
        <v>0.12605263157894736</v>
      </c>
      <c r="D99" s="37">
        <f t="shared" si="48"/>
        <v>0.12891408634976015</v>
      </c>
      <c r="E99" s="37">
        <f t="shared" si="48"/>
        <v>0.13325649437006826</v>
      </c>
      <c r="F99" s="37">
        <f t="shared" si="48"/>
        <v>0.13432046536224221</v>
      </c>
      <c r="G99" s="37">
        <f t="shared" si="48"/>
        <v>0.13436333651592744</v>
      </c>
      <c r="H99" s="37">
        <f t="shared" si="48"/>
        <v>0.1344206008583691</v>
      </c>
      <c r="I99" s="37">
        <f t="shared" si="48"/>
        <v>0.13434985175772979</v>
      </c>
      <c r="J99" s="37">
        <f t="shared" si="48"/>
        <v>0.13476103421258814</v>
      </c>
      <c r="K99" s="37">
        <f t="shared" si="48"/>
        <v>0.13465859982713915</v>
      </c>
    </row>
    <row r="101" spans="1:12" x14ac:dyDescent="0.25">
      <c r="A101" t="s">
        <v>88</v>
      </c>
      <c r="B101" s="6">
        <f>+B56</f>
        <v>11506</v>
      </c>
      <c r="C101" s="17">
        <f>+B101*1.01</f>
        <v>11621.06</v>
      </c>
      <c r="D101" s="17">
        <f t="shared" ref="D101:K101" si="49">+C101*1.01</f>
        <v>11737.2706</v>
      </c>
      <c r="E101" s="17">
        <f t="shared" si="49"/>
        <v>11854.643306</v>
      </c>
      <c r="F101" s="17">
        <f t="shared" si="49"/>
        <v>11973.189739060001</v>
      </c>
      <c r="G101" s="17">
        <f t="shared" si="49"/>
        <v>12092.921636450601</v>
      </c>
      <c r="H101" s="17">
        <f t="shared" si="49"/>
        <v>12213.850852815107</v>
      </c>
      <c r="I101" s="17">
        <f t="shared" si="49"/>
        <v>12335.989361343258</v>
      </c>
      <c r="J101" s="17">
        <f t="shared" si="49"/>
        <v>12459.349254956691</v>
      </c>
      <c r="K101" s="17">
        <f t="shared" si="49"/>
        <v>12583.942747506258</v>
      </c>
    </row>
    <row r="102" spans="1:12" x14ac:dyDescent="0.25">
      <c r="A102" t="s">
        <v>87</v>
      </c>
      <c r="B102" s="6">
        <f>+B57</f>
        <v>1375</v>
      </c>
      <c r="C102" s="6">
        <f>+C101*C99</f>
        <v>1464.8651947368419</v>
      </c>
      <c r="D102" s="6">
        <f t="shared" ref="D102:K102" si="50">+D101*D99</f>
        <v>1513.099515638901</v>
      </c>
      <c r="E102" s="6">
        <f t="shared" si="50"/>
        <v>1579.7082089651562</v>
      </c>
      <c r="F102" s="6">
        <f t="shared" si="50"/>
        <v>1608.2444176209626</v>
      </c>
      <c r="G102" s="6">
        <f t="shared" si="50"/>
        <v>1624.845299299152</v>
      </c>
      <c r="H102" s="6">
        <f t="shared" si="50"/>
        <v>1641.7931704299106</v>
      </c>
      <c r="I102" s="6">
        <f t="shared" si="50"/>
        <v>1657.3383419813983</v>
      </c>
      <c r="J102" s="6">
        <f t="shared" si="50"/>
        <v>1679.0347912138031</v>
      </c>
      <c r="K102" s="6">
        <f t="shared" si="50"/>
        <v>1694.5361106840753</v>
      </c>
      <c r="L102" s="6"/>
    </row>
    <row r="103" spans="1:12" x14ac:dyDescent="0.25">
      <c r="A103" t="s">
        <v>89</v>
      </c>
      <c r="B103" s="6">
        <f>+B102+B101</f>
        <v>12881</v>
      </c>
      <c r="C103" s="6">
        <f t="shared" ref="C103:K103" si="51">+C102+C101</f>
        <v>13085.925194736841</v>
      </c>
      <c r="D103" s="6">
        <f t="shared" si="51"/>
        <v>13250.370115638902</v>
      </c>
      <c r="E103" s="6">
        <f t="shared" si="51"/>
        <v>13434.351514965156</v>
      </c>
      <c r="F103" s="6">
        <f t="shared" si="51"/>
        <v>13581.434156680963</v>
      </c>
      <c r="G103" s="6">
        <f t="shared" si="51"/>
        <v>13717.766935749753</v>
      </c>
      <c r="H103" s="6">
        <f t="shared" si="51"/>
        <v>13855.644023245017</v>
      </c>
      <c r="I103" s="6">
        <f t="shared" si="51"/>
        <v>13993.327703324656</v>
      </c>
      <c r="J103" s="6">
        <f t="shared" si="51"/>
        <v>14138.384046170493</v>
      </c>
      <c r="K103" s="6">
        <f t="shared" si="51"/>
        <v>14278.478858190334</v>
      </c>
    </row>
    <row r="104" spans="1:12" x14ac:dyDescent="0.25">
      <c r="B104" s="6"/>
      <c r="C104" s="6"/>
      <c r="D104" s="6"/>
      <c r="E104" s="6"/>
      <c r="F104" s="6"/>
      <c r="G104" s="6"/>
      <c r="H104" s="6"/>
      <c r="I104" s="6"/>
      <c r="J104" s="6"/>
    </row>
    <row r="105" spans="1:12" x14ac:dyDescent="0.25">
      <c r="A105" t="s">
        <v>90</v>
      </c>
      <c r="B105" s="6">
        <f>+B54-B103</f>
        <v>-1170</v>
      </c>
      <c r="C105" s="6">
        <f t="shared" ref="C105:K105" si="52">+C54-C103</f>
        <v>-1553.9251947368411</v>
      </c>
      <c r="D105" s="6">
        <f t="shared" si="52"/>
        <v>-1837.3701156389016</v>
      </c>
      <c r="E105" s="6">
        <f t="shared" si="52"/>
        <v>-2422.3515149651557</v>
      </c>
      <c r="F105" s="6">
        <f t="shared" si="52"/>
        <v>-2688.4341566809635</v>
      </c>
      <c r="G105" s="6">
        <f t="shared" si="52"/>
        <v>-2832.7669357497525</v>
      </c>
      <c r="H105" s="6">
        <f t="shared" si="52"/>
        <v>-3031.6440232450168</v>
      </c>
      <c r="I105" s="6">
        <f t="shared" si="52"/>
        <v>-3167.3277033246559</v>
      </c>
      <c r="J105" s="6">
        <f t="shared" si="52"/>
        <v>-3416.3840461704931</v>
      </c>
      <c r="K105" s="6">
        <f t="shared" si="52"/>
        <v>-3652.478858190334</v>
      </c>
    </row>
    <row r="106" spans="1:12" x14ac:dyDescent="0.25">
      <c r="A106" t="s">
        <v>91</v>
      </c>
      <c r="B106" s="3">
        <f t="shared" ref="B106:K106" si="53">+B59</f>
        <v>-1170</v>
      </c>
      <c r="C106" s="3">
        <f t="shared" si="53"/>
        <v>-1305</v>
      </c>
      <c r="D106" s="3">
        <f t="shared" si="53"/>
        <v>-1530</v>
      </c>
      <c r="E106" s="3">
        <f t="shared" si="53"/>
        <v>-1770</v>
      </c>
      <c r="F106" s="3">
        <f t="shared" si="53"/>
        <v>-1977</v>
      </c>
      <c r="G106" s="3">
        <f t="shared" si="53"/>
        <v>-2184</v>
      </c>
      <c r="H106" s="3">
        <f t="shared" si="53"/>
        <v>-2392</v>
      </c>
      <c r="I106" s="3">
        <f t="shared" si="53"/>
        <v>-2565</v>
      </c>
      <c r="J106" s="3">
        <f t="shared" si="53"/>
        <v>-2313</v>
      </c>
      <c r="K106" s="3">
        <f t="shared" si="53"/>
        <v>-2502</v>
      </c>
    </row>
    <row r="107" spans="1:12" x14ac:dyDescent="0.25">
      <c r="A107" t="s">
        <v>62</v>
      </c>
      <c r="B107" s="6">
        <f>+B105-B106</f>
        <v>0</v>
      </c>
      <c r="C107" s="6">
        <f>+C105-C106</f>
        <v>-248.92519473684115</v>
      </c>
      <c r="D107" s="6">
        <f t="shared" ref="D107:K107" si="54">+D105-D106</f>
        <v>-307.37011563890155</v>
      </c>
      <c r="E107" s="6">
        <f t="shared" si="54"/>
        <v>-652.35151496515573</v>
      </c>
      <c r="F107" s="6">
        <f t="shared" si="54"/>
        <v>-711.4341566809635</v>
      </c>
      <c r="G107" s="6">
        <f t="shared" si="54"/>
        <v>-648.76693574975252</v>
      </c>
      <c r="H107" s="6">
        <f t="shared" si="54"/>
        <v>-639.6440232450168</v>
      </c>
      <c r="I107" s="6">
        <f t="shared" si="54"/>
        <v>-602.32770332465589</v>
      </c>
      <c r="J107" s="6">
        <f t="shared" si="54"/>
        <v>-1103.3840461704931</v>
      </c>
      <c r="K107" s="6">
        <f t="shared" si="54"/>
        <v>-1150.478858190334</v>
      </c>
    </row>
    <row r="109" spans="1:12" x14ac:dyDescent="0.25">
      <c r="A109" t="s">
        <v>93</v>
      </c>
      <c r="B109" s="6">
        <f>+B13+B36</f>
        <v>1155</v>
      </c>
      <c r="C109" s="6">
        <f t="shared" ref="C109:K109" si="55">+C13+C36</f>
        <v>603</v>
      </c>
      <c r="D109" s="6">
        <f t="shared" si="55"/>
        <v>608</v>
      </c>
      <c r="E109" s="6">
        <f t="shared" si="55"/>
        <v>226</v>
      </c>
      <c r="F109" s="6">
        <f t="shared" si="55"/>
        <v>126</v>
      </c>
      <c r="G109" s="6">
        <f t="shared" si="55"/>
        <v>126</v>
      </c>
      <c r="H109" s="6">
        <f t="shared" si="55"/>
        <v>116</v>
      </c>
      <c r="I109" s="6">
        <f t="shared" si="55"/>
        <v>116</v>
      </c>
      <c r="J109" s="6">
        <f t="shared" si="55"/>
        <v>91</v>
      </c>
      <c r="K109" s="6">
        <f t="shared" si="55"/>
        <v>91</v>
      </c>
    </row>
    <row r="110" spans="1:12" x14ac:dyDescent="0.25">
      <c r="A110" t="s">
        <v>94</v>
      </c>
      <c r="B110" s="6">
        <f>+B109-B59</f>
        <v>2325</v>
      </c>
      <c r="C110" s="6">
        <f t="shared" ref="C110:K110" si="56">+C109-C59</f>
        <v>1908</v>
      </c>
      <c r="D110" s="6">
        <f t="shared" si="56"/>
        <v>2138</v>
      </c>
      <c r="E110" s="6">
        <f t="shared" si="56"/>
        <v>1996</v>
      </c>
      <c r="F110" s="6">
        <f t="shared" si="56"/>
        <v>2103</v>
      </c>
      <c r="G110" s="6">
        <f t="shared" si="56"/>
        <v>2310</v>
      </c>
      <c r="H110" s="6">
        <f t="shared" si="56"/>
        <v>2508</v>
      </c>
      <c r="I110" s="6">
        <f t="shared" si="56"/>
        <v>2681</v>
      </c>
      <c r="J110" s="6">
        <f t="shared" si="56"/>
        <v>2404</v>
      </c>
      <c r="K110" s="6">
        <f t="shared" si="56"/>
        <v>2593</v>
      </c>
    </row>
  </sheetData>
  <mergeCells count="3">
    <mergeCell ref="A3:K3"/>
    <mergeCell ref="A4:K4"/>
    <mergeCell ref="A5:K5"/>
  </mergeCells>
  <pageMargins left="0.7" right="0.7" top="0.75" bottom="0.75" header="0.3" footer="0.3"/>
  <pageSetup scale="76" orientation="portrait" r:id="rId1"/>
  <colBreaks count="1" manualBreakCount="1">
    <brk id="1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A109"/>
  <sheetViews>
    <sheetView topLeftCell="A34" workbookViewId="0">
      <selection activeCell="A36" sqref="A36"/>
    </sheetView>
  </sheetViews>
  <sheetFormatPr defaultRowHeight="15" x14ac:dyDescent="0.25"/>
  <cols>
    <col min="1" max="2" width="2.7109375" customWidth="1"/>
    <col min="3" max="3" width="26.140625" customWidth="1"/>
  </cols>
  <sheetData>
    <row r="2" spans="1:13" x14ac:dyDescent="0.25">
      <c r="A2" s="1" t="s">
        <v>95</v>
      </c>
      <c r="B2" s="1"/>
      <c r="C2" s="1"/>
      <c r="L2" s="25">
        <v>0.13</v>
      </c>
    </row>
    <row r="3" spans="1:13" ht="15.75" x14ac:dyDescent="0.25">
      <c r="A3" s="75" t="s">
        <v>84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x14ac:dyDescent="0.3">
      <c r="A4" s="72" t="s">
        <v>96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x14ac:dyDescent="0.25">
      <c r="A5" s="73" t="s">
        <v>85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7" spans="1:13" x14ac:dyDescent="0.25">
      <c r="A7" t="s">
        <v>0</v>
      </c>
      <c r="D7">
        <v>2013</v>
      </c>
      <c r="E7">
        <f>+D7+1</f>
        <v>2014</v>
      </c>
      <c r="F7">
        <f t="shared" ref="F7:M7" si="0">+E7+1</f>
        <v>2015</v>
      </c>
      <c r="G7">
        <f t="shared" si="0"/>
        <v>2016</v>
      </c>
      <c r="H7">
        <f t="shared" si="0"/>
        <v>2017</v>
      </c>
      <c r="I7">
        <f t="shared" si="0"/>
        <v>2018</v>
      </c>
      <c r="J7">
        <f t="shared" si="0"/>
        <v>2019</v>
      </c>
      <c r="K7">
        <f t="shared" si="0"/>
        <v>2020</v>
      </c>
      <c r="L7">
        <f t="shared" si="0"/>
        <v>2021</v>
      </c>
      <c r="M7">
        <f t="shared" si="0"/>
        <v>2022</v>
      </c>
    </row>
    <row r="8" spans="1:13" x14ac:dyDescent="0.25">
      <c r="A8" s="76" t="s">
        <v>27</v>
      </c>
      <c r="B8" s="76"/>
      <c r="C8" s="7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t="s">
        <v>1</v>
      </c>
      <c r="D9" s="3">
        <v>6200</v>
      </c>
      <c r="E9" s="3">
        <v>6626</v>
      </c>
      <c r="F9" s="3">
        <v>6460</v>
      </c>
      <c r="G9" s="3">
        <v>6454</v>
      </c>
      <c r="H9" s="3">
        <v>6454</v>
      </c>
      <c r="I9" s="3">
        <v>6454</v>
      </c>
      <c r="J9" s="3">
        <v>6454</v>
      </c>
      <c r="K9" s="3">
        <v>6454</v>
      </c>
      <c r="L9" s="3">
        <v>6454</v>
      </c>
      <c r="M9" s="3">
        <v>6454</v>
      </c>
    </row>
    <row r="10" spans="1:13" x14ac:dyDescent="0.25">
      <c r="A10" t="s">
        <v>98</v>
      </c>
      <c r="D10" s="3">
        <v>137</v>
      </c>
      <c r="E10" s="3">
        <v>140</v>
      </c>
      <c r="F10" s="3">
        <v>140</v>
      </c>
      <c r="G10" s="3">
        <v>135</v>
      </c>
      <c r="H10" s="3">
        <v>135</v>
      </c>
      <c r="I10" s="3">
        <v>132</v>
      </c>
      <c r="J10" s="3">
        <v>135</v>
      </c>
      <c r="K10" s="3">
        <v>135</v>
      </c>
      <c r="L10" s="3">
        <v>135</v>
      </c>
      <c r="M10" s="3">
        <v>135</v>
      </c>
    </row>
    <row r="11" spans="1:13" x14ac:dyDescent="0.25">
      <c r="A11" t="s">
        <v>4</v>
      </c>
      <c r="D11" s="3">
        <v>85</v>
      </c>
      <c r="E11" s="3">
        <v>85</v>
      </c>
      <c r="F11" s="3">
        <v>83</v>
      </c>
      <c r="G11" s="3">
        <v>83</v>
      </c>
      <c r="H11" s="3">
        <v>83</v>
      </c>
      <c r="I11" s="3">
        <v>83</v>
      </c>
      <c r="J11" s="3">
        <v>83</v>
      </c>
      <c r="K11" s="3">
        <v>83</v>
      </c>
      <c r="L11" s="3">
        <v>82</v>
      </c>
      <c r="M11" s="3">
        <v>80</v>
      </c>
    </row>
    <row r="12" spans="1:13" x14ac:dyDescent="0.25">
      <c r="A12" t="s">
        <v>5</v>
      </c>
      <c r="D12" s="38">
        <v>1005</v>
      </c>
      <c r="E12" s="38">
        <v>611</v>
      </c>
      <c r="F12" s="38">
        <v>611</v>
      </c>
      <c r="G12" s="38">
        <v>398</v>
      </c>
      <c r="H12" s="38">
        <v>285</v>
      </c>
      <c r="I12" s="38">
        <v>285</v>
      </c>
      <c r="J12" s="38">
        <v>285</v>
      </c>
      <c r="K12" s="38">
        <v>285</v>
      </c>
      <c r="L12" s="38">
        <v>257</v>
      </c>
      <c r="M12" s="3">
        <v>257</v>
      </c>
    </row>
    <row r="13" spans="1:13" x14ac:dyDescent="0.25">
      <c r="A13" t="s">
        <v>97</v>
      </c>
      <c r="D13" s="38">
        <v>83</v>
      </c>
      <c r="E13" s="38">
        <v>73</v>
      </c>
      <c r="F13" s="38">
        <v>73</v>
      </c>
      <c r="G13" s="38">
        <v>73</v>
      </c>
      <c r="H13" s="38">
        <v>73</v>
      </c>
      <c r="I13" s="38">
        <v>73</v>
      </c>
      <c r="J13" s="38">
        <v>73</v>
      </c>
      <c r="K13" s="38">
        <v>73</v>
      </c>
      <c r="L13" s="38">
        <v>73</v>
      </c>
      <c r="M13" s="38">
        <v>25</v>
      </c>
    </row>
    <row r="14" spans="1:13" x14ac:dyDescent="0.25">
      <c r="A14" t="s">
        <v>9</v>
      </c>
      <c r="D14" s="38">
        <v>-1032</v>
      </c>
      <c r="E14" s="38">
        <v>-732</v>
      </c>
      <c r="F14" s="38">
        <v>-730</v>
      </c>
      <c r="G14" s="38">
        <v>-724</v>
      </c>
      <c r="H14" s="38">
        <v>-638</v>
      </c>
      <c r="I14" s="38">
        <v>-638</v>
      </c>
      <c r="J14" s="38">
        <v>-638</v>
      </c>
      <c r="K14" s="38">
        <v>-639</v>
      </c>
      <c r="L14" s="38">
        <v>-158</v>
      </c>
      <c r="M14" s="38">
        <v>-158</v>
      </c>
    </row>
    <row r="15" spans="1:13" x14ac:dyDescent="0.25">
      <c r="A15" t="s">
        <v>99</v>
      </c>
      <c r="D15" s="38">
        <v>-103</v>
      </c>
      <c r="E15" s="38">
        <v>-103</v>
      </c>
      <c r="F15" s="38">
        <v>-138</v>
      </c>
      <c r="G15" s="38">
        <v>-138</v>
      </c>
      <c r="H15" s="38">
        <v>-138</v>
      </c>
      <c r="I15" s="38">
        <v>-138</v>
      </c>
      <c r="J15" s="38">
        <v>-138</v>
      </c>
      <c r="K15" s="38">
        <v>-138</v>
      </c>
      <c r="L15" s="38">
        <v>-138</v>
      </c>
      <c r="M15" s="38">
        <v>-138</v>
      </c>
    </row>
    <row r="16" spans="1:13" x14ac:dyDescent="0.25">
      <c r="A16" t="s">
        <v>40</v>
      </c>
      <c r="D16" s="38">
        <v>750</v>
      </c>
      <c r="E16" s="38">
        <v>829</v>
      </c>
      <c r="F16" s="38">
        <v>737</v>
      </c>
      <c r="G16" s="38">
        <v>672</v>
      </c>
      <c r="H16" s="38">
        <v>678</v>
      </c>
      <c r="I16" s="38">
        <v>683</v>
      </c>
      <c r="J16" s="38">
        <v>1124</v>
      </c>
      <c r="K16" s="38">
        <v>1122</v>
      </c>
      <c r="L16" s="38">
        <v>1124</v>
      </c>
      <c r="M16" s="3">
        <v>706</v>
      </c>
    </row>
    <row r="17" spans="1:13" x14ac:dyDescent="0.25">
      <c r="C17" s="1" t="s">
        <v>7</v>
      </c>
      <c r="D17" s="50">
        <f t="shared" ref="D17:M17" si="1">SUM(D9:D16)</f>
        <v>7125</v>
      </c>
      <c r="E17" s="50">
        <f t="shared" si="1"/>
        <v>7529</v>
      </c>
      <c r="F17" s="50">
        <f t="shared" si="1"/>
        <v>7236</v>
      </c>
      <c r="G17" s="50">
        <f t="shared" si="1"/>
        <v>6953</v>
      </c>
      <c r="H17" s="50">
        <f t="shared" si="1"/>
        <v>6932</v>
      </c>
      <c r="I17" s="50">
        <f t="shared" si="1"/>
        <v>6934</v>
      </c>
      <c r="J17" s="50">
        <f t="shared" si="1"/>
        <v>7378</v>
      </c>
      <c r="K17" s="50">
        <f t="shared" si="1"/>
        <v>7375</v>
      </c>
      <c r="L17" s="50">
        <f t="shared" si="1"/>
        <v>7829</v>
      </c>
      <c r="M17" s="51">
        <f t="shared" si="1"/>
        <v>7361</v>
      </c>
    </row>
    <row r="18" spans="1:13" x14ac:dyDescent="0.25">
      <c r="D18" s="38"/>
      <c r="E18" s="38"/>
      <c r="F18" s="38"/>
      <c r="G18" s="38"/>
      <c r="H18" s="38"/>
      <c r="I18" s="38"/>
      <c r="J18" s="38"/>
      <c r="K18" s="38"/>
      <c r="L18" s="38"/>
      <c r="M18" s="3"/>
    </row>
    <row r="19" spans="1:13" x14ac:dyDescent="0.25">
      <c r="A19" t="s">
        <v>8</v>
      </c>
      <c r="D19" s="38">
        <v>6920</v>
      </c>
      <c r="E19" s="38">
        <v>7061</v>
      </c>
      <c r="F19" s="38">
        <v>7188</v>
      </c>
      <c r="G19" s="38">
        <v>6994</v>
      </c>
      <c r="H19" s="38">
        <v>7105</v>
      </c>
      <c r="I19" s="38">
        <v>7217</v>
      </c>
      <c r="J19" s="38">
        <v>7337</v>
      </c>
      <c r="K19" s="38">
        <v>7455</v>
      </c>
      <c r="L19" s="38">
        <v>7584</v>
      </c>
      <c r="M19" s="3">
        <v>7697</v>
      </c>
    </row>
    <row r="20" spans="1:13" x14ac:dyDescent="0.25">
      <c r="B20" t="s">
        <v>100</v>
      </c>
      <c r="D20" s="38">
        <v>-141</v>
      </c>
      <c r="E20" s="38">
        <v>-143</v>
      </c>
      <c r="F20" s="38">
        <v>-155</v>
      </c>
      <c r="G20" s="38">
        <v>-155</v>
      </c>
      <c r="H20" s="38">
        <v>-155</v>
      </c>
      <c r="I20" s="38">
        <v>-155</v>
      </c>
      <c r="J20" s="38">
        <v>-155</v>
      </c>
      <c r="K20" s="38">
        <v>-155</v>
      </c>
      <c r="L20" s="38">
        <v>-155</v>
      </c>
      <c r="M20" s="38">
        <v>-155</v>
      </c>
    </row>
    <row r="21" spans="1:13" x14ac:dyDescent="0.25">
      <c r="B21" t="s">
        <v>3</v>
      </c>
      <c r="D21" s="38">
        <v>-379</v>
      </c>
      <c r="E21" s="38">
        <v>-379</v>
      </c>
      <c r="F21" s="38">
        <v>-379</v>
      </c>
      <c r="G21" s="38">
        <v>-379</v>
      </c>
      <c r="H21" s="38">
        <v>-379</v>
      </c>
      <c r="I21" s="38">
        <v>-379</v>
      </c>
      <c r="J21" s="38">
        <v>-379</v>
      </c>
      <c r="K21" s="38">
        <v>-379</v>
      </c>
      <c r="L21" s="38">
        <v>-379</v>
      </c>
      <c r="M21" s="38">
        <v>-379</v>
      </c>
    </row>
    <row r="22" spans="1:13" x14ac:dyDescent="0.25">
      <c r="C22" s="1" t="s">
        <v>10</v>
      </c>
      <c r="D22" s="51">
        <f>+D21+D20+D19</f>
        <v>6400</v>
      </c>
      <c r="E22" s="51">
        <f t="shared" ref="E22:M22" si="2">+E21+E20+E19</f>
        <v>6539</v>
      </c>
      <c r="F22" s="51">
        <f t="shared" si="2"/>
        <v>6654</v>
      </c>
      <c r="G22" s="51">
        <f t="shared" si="2"/>
        <v>6460</v>
      </c>
      <c r="H22" s="51">
        <f t="shared" si="2"/>
        <v>6571</v>
      </c>
      <c r="I22" s="51">
        <f t="shared" si="2"/>
        <v>6683</v>
      </c>
      <c r="J22" s="51">
        <f t="shared" si="2"/>
        <v>6803</v>
      </c>
      <c r="K22" s="51">
        <f t="shared" si="2"/>
        <v>6921</v>
      </c>
      <c r="L22" s="51">
        <f t="shared" si="2"/>
        <v>7050</v>
      </c>
      <c r="M22" s="51">
        <f t="shared" si="2"/>
        <v>7163</v>
      </c>
    </row>
    <row r="23" spans="1:13" x14ac:dyDescent="0.25"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t="s">
        <v>102</v>
      </c>
      <c r="D24" s="38">
        <v>832</v>
      </c>
      <c r="E24" s="38">
        <v>850</v>
      </c>
      <c r="F24" s="38">
        <v>865</v>
      </c>
      <c r="G24" s="38">
        <v>840</v>
      </c>
      <c r="H24" s="38">
        <v>854</v>
      </c>
      <c r="I24" s="38">
        <v>869</v>
      </c>
      <c r="J24" s="38">
        <v>884</v>
      </c>
      <c r="K24" s="38">
        <v>900</v>
      </c>
      <c r="L24" s="38">
        <v>917</v>
      </c>
      <c r="M24" s="38">
        <v>931</v>
      </c>
    </row>
    <row r="25" spans="1:13" x14ac:dyDescent="0.25"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C26" s="1" t="s">
        <v>12</v>
      </c>
      <c r="D26" s="51">
        <f t="shared" ref="D26:M26" si="3">+D24+D22</f>
        <v>7232</v>
      </c>
      <c r="E26" s="51">
        <f t="shared" si="3"/>
        <v>7389</v>
      </c>
      <c r="F26" s="51">
        <f t="shared" si="3"/>
        <v>7519</v>
      </c>
      <c r="G26" s="51">
        <f t="shared" si="3"/>
        <v>7300</v>
      </c>
      <c r="H26" s="51">
        <f t="shared" si="3"/>
        <v>7425</v>
      </c>
      <c r="I26" s="51">
        <f t="shared" si="3"/>
        <v>7552</v>
      </c>
      <c r="J26" s="51">
        <f t="shared" si="3"/>
        <v>7687</v>
      </c>
      <c r="K26" s="51">
        <f t="shared" si="3"/>
        <v>7821</v>
      </c>
      <c r="L26" s="51">
        <f t="shared" si="3"/>
        <v>7967</v>
      </c>
      <c r="M26" s="51">
        <f t="shared" si="3"/>
        <v>8094</v>
      </c>
    </row>
    <row r="27" spans="1:13" x14ac:dyDescent="0.25">
      <c r="C27" s="1" t="s">
        <v>13</v>
      </c>
      <c r="D27" s="51">
        <f t="shared" ref="D27:M27" si="4">+D17-D26</f>
        <v>-107</v>
      </c>
      <c r="E27" s="51">
        <f t="shared" si="4"/>
        <v>140</v>
      </c>
      <c r="F27" s="51">
        <f t="shared" si="4"/>
        <v>-283</v>
      </c>
      <c r="G27" s="51">
        <f t="shared" si="4"/>
        <v>-347</v>
      </c>
      <c r="H27" s="51">
        <f t="shared" si="4"/>
        <v>-493</v>
      </c>
      <c r="I27" s="51">
        <f t="shared" si="4"/>
        <v>-618</v>
      </c>
      <c r="J27" s="51">
        <f t="shared" si="4"/>
        <v>-309</v>
      </c>
      <c r="K27" s="51">
        <f t="shared" si="4"/>
        <v>-446</v>
      </c>
      <c r="L27" s="51">
        <f t="shared" si="4"/>
        <v>-138</v>
      </c>
      <c r="M27" s="51">
        <f t="shared" si="4"/>
        <v>-733</v>
      </c>
    </row>
    <row r="28" spans="1:13" x14ac:dyDescent="0.25">
      <c r="C28" s="1" t="s">
        <v>14</v>
      </c>
      <c r="D28" s="52">
        <f t="shared" ref="D28:M28" si="5">(D$17+(-D$21-D$12-D$20)*$L$2)/D$22-1</f>
        <v>0.10342968750000003</v>
      </c>
      <c r="E28" s="52">
        <f>(E$17+(-E$21-E$12-E$20)*$L$2)/E$22-1</f>
        <v>0.14962991283070814</v>
      </c>
      <c r="F28" s="52">
        <f t="shared" si="5"/>
        <v>8.5961827472197161E-2</v>
      </c>
      <c r="G28" s="52">
        <f t="shared" si="5"/>
        <v>7.9052631578947485E-2</v>
      </c>
      <c r="H28" s="52">
        <f t="shared" si="5"/>
        <v>5.9864556384112033E-2</v>
      </c>
      <c r="I28" s="52">
        <f t="shared" si="5"/>
        <v>4.2401616040700363E-2</v>
      </c>
      <c r="J28" s="52">
        <f t="shared" si="5"/>
        <v>8.9279729531089203E-2</v>
      </c>
      <c r="K28" s="52">
        <f t="shared" si="5"/>
        <v>7.0274526802485138E-2</v>
      </c>
      <c r="L28" s="52">
        <f t="shared" si="5"/>
        <v>0.11560425531914897</v>
      </c>
      <c r="M28" s="52">
        <f t="shared" si="5"/>
        <v>3.266927265112396E-2</v>
      </c>
    </row>
    <row r="30" spans="1:13" x14ac:dyDescent="0.25">
      <c r="A30" s="76" t="s">
        <v>32</v>
      </c>
      <c r="B30" s="76"/>
      <c r="C30" s="76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t="s">
        <v>1</v>
      </c>
      <c r="D31" s="3">
        <v>2524</v>
      </c>
      <c r="E31" s="3">
        <v>2524</v>
      </c>
      <c r="F31" s="3">
        <v>2524</v>
      </c>
      <c r="G31" s="3">
        <v>2520</v>
      </c>
      <c r="H31" s="3">
        <v>2503</v>
      </c>
      <c r="I31" s="38">
        <v>2503</v>
      </c>
      <c r="J31" s="38">
        <v>2503</v>
      </c>
      <c r="K31" s="38">
        <v>2503</v>
      </c>
      <c r="L31" s="38">
        <v>2503</v>
      </c>
      <c r="M31" s="38">
        <v>2500</v>
      </c>
    </row>
    <row r="32" spans="1:13" x14ac:dyDescent="0.25">
      <c r="A32" t="s">
        <v>98</v>
      </c>
      <c r="D32" s="3">
        <v>776</v>
      </c>
      <c r="E32" s="3">
        <v>751</v>
      </c>
      <c r="F32" s="3">
        <v>776</v>
      </c>
      <c r="G32" s="3">
        <v>782</v>
      </c>
      <c r="H32" s="3">
        <v>780</v>
      </c>
      <c r="I32" s="38">
        <v>780</v>
      </c>
      <c r="J32" s="38">
        <v>723</v>
      </c>
      <c r="K32" s="38">
        <v>726</v>
      </c>
      <c r="L32" s="38">
        <v>647</v>
      </c>
      <c r="M32" s="38">
        <v>650</v>
      </c>
    </row>
    <row r="33" spans="1:27" x14ac:dyDescent="0.25">
      <c r="A33" t="s">
        <v>4</v>
      </c>
      <c r="D33" s="3">
        <v>36</v>
      </c>
      <c r="E33" s="3">
        <v>36</v>
      </c>
      <c r="F33" s="3">
        <v>36</v>
      </c>
      <c r="G33" s="3">
        <v>36</v>
      </c>
      <c r="H33" s="3">
        <v>36</v>
      </c>
      <c r="I33" s="38">
        <v>36</v>
      </c>
      <c r="J33" s="38">
        <v>36</v>
      </c>
      <c r="K33" s="38">
        <v>36</v>
      </c>
      <c r="L33" s="38">
        <v>36</v>
      </c>
      <c r="M33" s="38">
        <v>19</v>
      </c>
    </row>
    <row r="34" spans="1:27" x14ac:dyDescent="0.25">
      <c r="A34" t="s">
        <v>5</v>
      </c>
      <c r="D34" s="38">
        <v>482</v>
      </c>
      <c r="E34" s="38">
        <v>225</v>
      </c>
      <c r="F34" s="38">
        <v>231</v>
      </c>
      <c r="G34" s="38">
        <v>13</v>
      </c>
      <c r="H34" s="38">
        <v>13</v>
      </c>
      <c r="I34" s="38">
        <v>13</v>
      </c>
      <c r="J34" s="38">
        <v>2</v>
      </c>
      <c r="K34" s="38">
        <v>2</v>
      </c>
      <c r="L34" s="38">
        <v>2</v>
      </c>
      <c r="M34" s="38">
        <v>2</v>
      </c>
    </row>
    <row r="35" spans="1:27" x14ac:dyDescent="0.25">
      <c r="A35" t="s">
        <v>97</v>
      </c>
      <c r="D35" s="38">
        <v>88</v>
      </c>
      <c r="E35" s="38">
        <v>99</v>
      </c>
      <c r="F35" s="38">
        <v>99</v>
      </c>
      <c r="G35" s="38">
        <v>89</v>
      </c>
      <c r="H35" s="38">
        <v>89</v>
      </c>
      <c r="I35" s="38">
        <v>89</v>
      </c>
      <c r="J35" s="38">
        <v>88</v>
      </c>
      <c r="K35" s="38">
        <v>89</v>
      </c>
      <c r="L35" s="38">
        <v>89</v>
      </c>
      <c r="M35" s="38">
        <v>89</v>
      </c>
    </row>
    <row r="36" spans="1:27" x14ac:dyDescent="0.25">
      <c r="A36" t="s">
        <v>9</v>
      </c>
      <c r="D36" s="38">
        <v>-260</v>
      </c>
      <c r="E36" s="38">
        <v>-260</v>
      </c>
      <c r="F36" s="38">
        <v>-160</v>
      </c>
      <c r="G36" s="38">
        <v>-110</v>
      </c>
      <c r="H36" s="38">
        <v>-110</v>
      </c>
      <c r="I36" s="38">
        <v>-110</v>
      </c>
      <c r="J36" s="38">
        <v>-110</v>
      </c>
      <c r="K36" s="38">
        <v>-110</v>
      </c>
      <c r="L36" s="38">
        <v>-109</v>
      </c>
      <c r="M36" s="38">
        <v>-103</v>
      </c>
      <c r="R36">
        <f t="shared" ref="R36:AA36" si="6">+D7</f>
        <v>2013</v>
      </c>
      <c r="S36">
        <f t="shared" si="6"/>
        <v>2014</v>
      </c>
      <c r="T36">
        <f t="shared" si="6"/>
        <v>2015</v>
      </c>
      <c r="U36">
        <f t="shared" si="6"/>
        <v>2016</v>
      </c>
      <c r="V36">
        <f t="shared" si="6"/>
        <v>2017</v>
      </c>
      <c r="W36">
        <f t="shared" si="6"/>
        <v>2018</v>
      </c>
      <c r="X36">
        <f t="shared" si="6"/>
        <v>2019</v>
      </c>
      <c r="Y36">
        <f t="shared" si="6"/>
        <v>2020</v>
      </c>
      <c r="Z36">
        <f t="shared" si="6"/>
        <v>2021</v>
      </c>
      <c r="AA36">
        <f t="shared" si="6"/>
        <v>2022</v>
      </c>
    </row>
    <row r="37" spans="1:27" x14ac:dyDescent="0.25">
      <c r="A37" t="s">
        <v>99</v>
      </c>
      <c r="D37" s="38">
        <v>-9</v>
      </c>
      <c r="E37" s="38">
        <v>-9</v>
      </c>
      <c r="F37" s="38">
        <v>-9</v>
      </c>
      <c r="G37" s="38">
        <v>-9</v>
      </c>
      <c r="H37" s="38">
        <v>-9</v>
      </c>
      <c r="I37" s="38">
        <v>-9</v>
      </c>
      <c r="J37" s="38">
        <v>-9</v>
      </c>
      <c r="K37" s="38">
        <v>-9</v>
      </c>
      <c r="L37" s="38">
        <v>-9</v>
      </c>
      <c r="M37" s="38">
        <v>-9</v>
      </c>
    </row>
    <row r="38" spans="1:27" x14ac:dyDescent="0.25">
      <c r="A38" t="s">
        <v>40</v>
      </c>
      <c r="D38" s="38">
        <v>-752</v>
      </c>
      <c r="E38" s="38">
        <v>-830</v>
      </c>
      <c r="F38" s="38">
        <v>-737</v>
      </c>
      <c r="G38" s="38">
        <v>-672</v>
      </c>
      <c r="H38" s="38">
        <v>-678</v>
      </c>
      <c r="I38" s="38">
        <v>-683</v>
      </c>
      <c r="J38" s="38">
        <v>-1124</v>
      </c>
      <c r="K38" s="38">
        <v>-1124</v>
      </c>
      <c r="L38" s="38">
        <v>-1124</v>
      </c>
      <c r="M38" s="38">
        <v>-706</v>
      </c>
      <c r="O38" t="str">
        <f>+C26</f>
        <v>East Obligation + Reserves</v>
      </c>
      <c r="R38" s="6">
        <f t="shared" ref="R38:AA38" si="7">+D26</f>
        <v>7232</v>
      </c>
      <c r="S38" s="6">
        <f t="shared" si="7"/>
        <v>7389</v>
      </c>
      <c r="T38" s="6">
        <f t="shared" si="7"/>
        <v>7519</v>
      </c>
      <c r="U38" s="6">
        <f t="shared" si="7"/>
        <v>7300</v>
      </c>
      <c r="V38" s="6">
        <f t="shared" si="7"/>
        <v>7425</v>
      </c>
      <c r="W38" s="6">
        <f t="shared" si="7"/>
        <v>7552</v>
      </c>
      <c r="X38" s="6">
        <f t="shared" si="7"/>
        <v>7687</v>
      </c>
      <c r="Y38" s="6">
        <f t="shared" si="7"/>
        <v>7821</v>
      </c>
      <c r="Z38" s="6">
        <f t="shared" si="7"/>
        <v>7967</v>
      </c>
      <c r="AA38" s="6">
        <f t="shared" si="7"/>
        <v>8094</v>
      </c>
    </row>
    <row r="39" spans="1:27" x14ac:dyDescent="0.25">
      <c r="C39" s="1" t="s">
        <v>15</v>
      </c>
      <c r="D39" s="50">
        <f t="shared" ref="D39:M39" si="8">SUM(D31:D38)</f>
        <v>2885</v>
      </c>
      <c r="E39" s="50">
        <f t="shared" si="8"/>
        <v>2536</v>
      </c>
      <c r="F39" s="50">
        <f t="shared" si="8"/>
        <v>2760</v>
      </c>
      <c r="G39" s="50">
        <f t="shared" si="8"/>
        <v>2649</v>
      </c>
      <c r="H39" s="50">
        <f t="shared" si="8"/>
        <v>2624</v>
      </c>
      <c r="I39" s="50">
        <f t="shared" si="8"/>
        <v>2619</v>
      </c>
      <c r="J39" s="50">
        <f t="shared" si="8"/>
        <v>2109</v>
      </c>
      <c r="K39" s="50">
        <f t="shared" si="8"/>
        <v>2113</v>
      </c>
      <c r="L39" s="50">
        <f t="shared" si="8"/>
        <v>2035</v>
      </c>
      <c r="M39" s="50">
        <f t="shared" si="8"/>
        <v>2442</v>
      </c>
      <c r="S39" s="43">
        <f>(S38-R38)/R38</f>
        <v>2.1709070796460176E-2</v>
      </c>
      <c r="T39" s="43">
        <f t="shared" ref="T39:AA39" si="9">(T38-S38)/S38</f>
        <v>1.7593720395182026E-2</v>
      </c>
      <c r="U39" s="43">
        <f t="shared" si="9"/>
        <v>-2.9126213592233011E-2</v>
      </c>
      <c r="V39" s="43">
        <f t="shared" si="9"/>
        <v>1.7123287671232876E-2</v>
      </c>
      <c r="W39" s="29">
        <f t="shared" si="9"/>
        <v>1.7104377104377105E-2</v>
      </c>
      <c r="X39" s="29">
        <f t="shared" si="9"/>
        <v>1.7876059322033899E-2</v>
      </c>
      <c r="Y39" s="29">
        <f t="shared" si="9"/>
        <v>1.7432028099388579E-2</v>
      </c>
      <c r="Z39" s="29">
        <f t="shared" si="9"/>
        <v>1.8667689553765503E-2</v>
      </c>
      <c r="AA39" s="29">
        <f t="shared" si="9"/>
        <v>1.5940755616919794E-2</v>
      </c>
    </row>
    <row r="40" spans="1:27" x14ac:dyDescent="0.25">
      <c r="D40" s="38"/>
      <c r="E40" s="38"/>
      <c r="F40" s="38"/>
      <c r="G40" s="38"/>
      <c r="H40" s="38"/>
      <c r="I40" s="38"/>
      <c r="J40" s="38"/>
      <c r="K40" s="38"/>
      <c r="L40" s="38"/>
      <c r="M40" s="38"/>
      <c r="S40" s="42"/>
      <c r="T40" s="42"/>
      <c r="U40" s="42"/>
      <c r="V40" s="42"/>
    </row>
    <row r="41" spans="1:27" x14ac:dyDescent="0.25">
      <c r="A41" t="s">
        <v>8</v>
      </c>
      <c r="D41" s="38">
        <v>3216</v>
      </c>
      <c r="E41" s="38">
        <v>3269</v>
      </c>
      <c r="F41" s="38">
        <v>3307</v>
      </c>
      <c r="G41" s="38">
        <v>3365</v>
      </c>
      <c r="H41" s="38">
        <v>3407</v>
      </c>
      <c r="I41" s="38">
        <v>3470</v>
      </c>
      <c r="J41" s="38">
        <v>3479</v>
      </c>
      <c r="K41" s="38">
        <v>3516</v>
      </c>
      <c r="L41" s="38">
        <v>3549</v>
      </c>
      <c r="M41" s="38">
        <v>3583</v>
      </c>
      <c r="O41" t="str">
        <f>+C48</f>
        <v>West Obligation + Reserves</v>
      </c>
      <c r="R41" s="6">
        <f t="shared" ref="R41:AA41" si="10">+D48</f>
        <v>3602</v>
      </c>
      <c r="S41" s="24">
        <f t="shared" si="10"/>
        <v>3662</v>
      </c>
      <c r="T41" s="24">
        <f t="shared" si="10"/>
        <v>3705</v>
      </c>
      <c r="U41" s="24">
        <f t="shared" si="10"/>
        <v>3771</v>
      </c>
      <c r="V41" s="24">
        <f t="shared" si="10"/>
        <v>3818</v>
      </c>
      <c r="W41" s="6">
        <f t="shared" si="10"/>
        <v>3889</v>
      </c>
      <c r="X41" s="6">
        <f t="shared" si="10"/>
        <v>3900</v>
      </c>
      <c r="Y41" s="6">
        <f t="shared" si="10"/>
        <v>3941</v>
      </c>
      <c r="Z41" s="6">
        <f t="shared" si="10"/>
        <v>3979</v>
      </c>
      <c r="AA41" s="6">
        <f t="shared" si="10"/>
        <v>4017</v>
      </c>
    </row>
    <row r="42" spans="1:27" x14ac:dyDescent="0.25">
      <c r="B42" t="s">
        <v>100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S42" s="43">
        <f>(S41-R41)/R41</f>
        <v>1.6657412548584119E-2</v>
      </c>
      <c r="T42" s="43">
        <f t="shared" ref="T42:AA42" si="11">(T41-S41)/S41</f>
        <v>1.1742217367558712E-2</v>
      </c>
      <c r="U42" s="43">
        <f t="shared" si="11"/>
        <v>1.7813765182186234E-2</v>
      </c>
      <c r="V42" s="43">
        <f t="shared" si="11"/>
        <v>1.2463537523203394E-2</v>
      </c>
      <c r="W42" s="29">
        <f t="shared" si="11"/>
        <v>1.859612362493452E-2</v>
      </c>
      <c r="X42" s="29">
        <f t="shared" si="11"/>
        <v>2.8284906145538699E-3</v>
      </c>
      <c r="Y42" s="29">
        <f t="shared" si="11"/>
        <v>1.0512820512820513E-2</v>
      </c>
      <c r="Z42" s="29">
        <f t="shared" si="11"/>
        <v>9.6422227860948999E-3</v>
      </c>
      <c r="AA42" s="29">
        <f t="shared" si="11"/>
        <v>9.5501382256848455E-3</v>
      </c>
    </row>
    <row r="43" spans="1:27" x14ac:dyDescent="0.25">
      <c r="B43" t="s">
        <v>3</v>
      </c>
      <c r="D43" s="38">
        <v>-28</v>
      </c>
      <c r="E43" s="38">
        <v>-28</v>
      </c>
      <c r="F43" s="38">
        <v>-28</v>
      </c>
      <c r="G43" s="38">
        <v>-28</v>
      </c>
      <c r="H43" s="38">
        <v>-28</v>
      </c>
      <c r="I43" s="38">
        <v>-28</v>
      </c>
      <c r="J43" s="38">
        <v>-28</v>
      </c>
      <c r="K43" s="38">
        <v>-28</v>
      </c>
      <c r="L43" s="38">
        <v>-28</v>
      </c>
      <c r="M43" s="38">
        <v>-28</v>
      </c>
      <c r="S43" s="42"/>
      <c r="T43" s="42"/>
      <c r="U43" s="42"/>
      <c r="V43" s="42"/>
    </row>
    <row r="44" spans="1:27" x14ac:dyDescent="0.25">
      <c r="C44" s="1" t="s">
        <v>16</v>
      </c>
      <c r="D44" s="50">
        <f>+D43+D42+D41</f>
        <v>3188</v>
      </c>
      <c r="E44" s="50">
        <f t="shared" ref="E44:M44" si="12">+E43+E42+E41</f>
        <v>3241</v>
      </c>
      <c r="F44" s="50">
        <f t="shared" si="12"/>
        <v>3279</v>
      </c>
      <c r="G44" s="50">
        <f t="shared" si="12"/>
        <v>3337</v>
      </c>
      <c r="H44" s="50">
        <f t="shared" si="12"/>
        <v>3379</v>
      </c>
      <c r="I44" s="50">
        <f t="shared" si="12"/>
        <v>3442</v>
      </c>
      <c r="J44" s="50">
        <f t="shared" si="12"/>
        <v>3451</v>
      </c>
      <c r="K44" s="50">
        <f t="shared" si="12"/>
        <v>3488</v>
      </c>
      <c r="L44" s="50">
        <f t="shared" si="12"/>
        <v>3521</v>
      </c>
      <c r="M44" s="50">
        <f t="shared" si="12"/>
        <v>3555</v>
      </c>
      <c r="O44" t="str">
        <f>+C57</f>
        <v>Obligation + Reserves</v>
      </c>
      <c r="R44" s="6">
        <f t="shared" ref="R44:AA44" si="13">+D57</f>
        <v>10834</v>
      </c>
      <c r="S44" s="24">
        <f t="shared" si="13"/>
        <v>11051</v>
      </c>
      <c r="T44" s="24">
        <f t="shared" si="13"/>
        <v>11224</v>
      </c>
      <c r="U44" s="24">
        <f t="shared" si="13"/>
        <v>11071</v>
      </c>
      <c r="V44" s="24">
        <f t="shared" si="13"/>
        <v>11243</v>
      </c>
      <c r="W44" s="6">
        <f t="shared" si="13"/>
        <v>11441</v>
      </c>
      <c r="X44" s="6">
        <f t="shared" si="13"/>
        <v>11587</v>
      </c>
      <c r="Y44" s="6">
        <f t="shared" si="13"/>
        <v>11762</v>
      </c>
      <c r="Z44" s="6">
        <f t="shared" si="13"/>
        <v>11946</v>
      </c>
      <c r="AA44" s="6">
        <f t="shared" si="13"/>
        <v>12111</v>
      </c>
    </row>
    <row r="45" spans="1:27" x14ac:dyDescent="0.25">
      <c r="D45" s="38"/>
      <c r="E45" s="38"/>
      <c r="F45" s="38"/>
      <c r="G45" s="38"/>
      <c r="H45" s="38"/>
      <c r="I45" s="38"/>
      <c r="J45" s="38"/>
      <c r="K45" s="38"/>
      <c r="L45" s="38"/>
      <c r="M45" s="38"/>
      <c r="S45" s="43">
        <f>(S44-R44)/R44</f>
        <v>2.0029536643898838E-2</v>
      </c>
      <c r="T45" s="43">
        <f t="shared" ref="T45:AA45" si="14">(T44-S44)/S44</f>
        <v>1.5654691883087504E-2</v>
      </c>
      <c r="U45" s="43">
        <f t="shared" si="14"/>
        <v>-1.3631503920171062E-2</v>
      </c>
      <c r="V45" s="43">
        <f t="shared" si="14"/>
        <v>1.5536085267816819E-2</v>
      </c>
      <c r="W45" s="29">
        <f t="shared" si="14"/>
        <v>1.7610957929378279E-2</v>
      </c>
      <c r="X45" s="29">
        <f t="shared" si="14"/>
        <v>1.2761122279521021E-2</v>
      </c>
      <c r="Y45" s="29">
        <f t="shared" si="14"/>
        <v>1.510313282126521E-2</v>
      </c>
      <c r="Z45" s="29">
        <f t="shared" si="14"/>
        <v>1.5643598027546335E-2</v>
      </c>
      <c r="AA45" s="29">
        <f t="shared" si="14"/>
        <v>1.3812154696132596E-2</v>
      </c>
    </row>
    <row r="46" spans="1:27" x14ac:dyDescent="0.25">
      <c r="A46" t="s">
        <v>101</v>
      </c>
      <c r="D46" s="38">
        <v>414</v>
      </c>
      <c r="E46" s="38">
        <v>421</v>
      </c>
      <c r="F46" s="38">
        <v>426</v>
      </c>
      <c r="G46" s="38">
        <v>434</v>
      </c>
      <c r="H46" s="38">
        <v>439</v>
      </c>
      <c r="I46" s="38">
        <v>447</v>
      </c>
      <c r="J46" s="38">
        <v>449</v>
      </c>
      <c r="K46" s="38">
        <v>453</v>
      </c>
      <c r="L46" s="38">
        <v>458</v>
      </c>
      <c r="M46" s="38">
        <v>462</v>
      </c>
    </row>
    <row r="47" spans="1:27" x14ac:dyDescent="0.25"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27" x14ac:dyDescent="0.25">
      <c r="C48" s="1" t="s">
        <v>18</v>
      </c>
      <c r="D48" s="50">
        <f>+D46+D44</f>
        <v>3602</v>
      </c>
      <c r="E48" s="50">
        <f t="shared" ref="E48:M48" si="15">+E46+E44</f>
        <v>3662</v>
      </c>
      <c r="F48" s="50">
        <f t="shared" si="15"/>
        <v>3705</v>
      </c>
      <c r="G48" s="50">
        <f t="shared" si="15"/>
        <v>3771</v>
      </c>
      <c r="H48" s="50">
        <f t="shared" si="15"/>
        <v>3818</v>
      </c>
      <c r="I48" s="50">
        <f t="shared" si="15"/>
        <v>3889</v>
      </c>
      <c r="J48" s="50">
        <f t="shared" si="15"/>
        <v>3900</v>
      </c>
      <c r="K48" s="50">
        <f t="shared" si="15"/>
        <v>3941</v>
      </c>
      <c r="L48" s="50">
        <f t="shared" si="15"/>
        <v>3979</v>
      </c>
      <c r="M48" s="50">
        <f t="shared" si="15"/>
        <v>4017</v>
      </c>
    </row>
    <row r="49" spans="1:22" x14ac:dyDescent="0.25">
      <c r="C49" s="1" t="s">
        <v>19</v>
      </c>
      <c r="D49" s="50">
        <f>+D39-D48</f>
        <v>-717</v>
      </c>
      <c r="E49" s="50">
        <f t="shared" ref="E49:M49" si="16">+E39-E48</f>
        <v>-1126</v>
      </c>
      <c r="F49" s="50">
        <f t="shared" si="16"/>
        <v>-945</v>
      </c>
      <c r="G49" s="50">
        <f t="shared" si="16"/>
        <v>-1122</v>
      </c>
      <c r="H49" s="50">
        <f t="shared" si="16"/>
        <v>-1194</v>
      </c>
      <c r="I49" s="50">
        <f t="shared" si="16"/>
        <v>-1270</v>
      </c>
      <c r="J49" s="50">
        <f t="shared" si="16"/>
        <v>-1791</v>
      </c>
      <c r="K49" s="50">
        <f t="shared" si="16"/>
        <v>-1828</v>
      </c>
      <c r="L49" s="50">
        <f t="shared" si="16"/>
        <v>-1944</v>
      </c>
      <c r="M49" s="50">
        <f t="shared" si="16"/>
        <v>-1575</v>
      </c>
    </row>
    <row r="50" spans="1:22" x14ac:dyDescent="0.25">
      <c r="C50" s="1" t="s">
        <v>20</v>
      </c>
      <c r="D50" s="52">
        <f>(D$39+(-D43-D$34)*$L$2-D$37)/D$44-1</f>
        <v>-0.11073400250941023</v>
      </c>
      <c r="E50" s="52">
        <f>(E$39+(-E43-E$34)*$L$2-E$37)/E$44-1</f>
        <v>-0.22265041653810558</v>
      </c>
      <c r="F50" s="52">
        <f t="shared" ref="F50:M50" si="17">(F$39+(-F43-F$34)*$L$2-F$37)/F$44-1</f>
        <v>-0.16358340957609019</v>
      </c>
      <c r="G50" s="52">
        <f t="shared" si="17"/>
        <v>-0.20289181899910103</v>
      </c>
      <c r="H50" s="52">
        <f t="shared" si="17"/>
        <v>-0.22019828351583315</v>
      </c>
      <c r="I50" s="52">
        <f t="shared" si="17"/>
        <v>-0.23592388146426502</v>
      </c>
      <c r="J50" s="52">
        <f t="shared" si="17"/>
        <v>-0.38528542451463343</v>
      </c>
      <c r="K50" s="52">
        <f t="shared" si="17"/>
        <v>-0.39065940366972474</v>
      </c>
      <c r="L50" s="52">
        <f t="shared" si="17"/>
        <v>-0.41852314683328595</v>
      </c>
      <c r="M50" s="52">
        <f t="shared" si="17"/>
        <v>-0.30959774964838249</v>
      </c>
    </row>
    <row r="51" spans="1:22" x14ac:dyDescent="0.25">
      <c r="C51" s="1"/>
    </row>
    <row r="52" spans="1:22" x14ac:dyDescent="0.25">
      <c r="A52" s="76" t="s">
        <v>34</v>
      </c>
      <c r="B52" s="76"/>
      <c r="C52" s="7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22" x14ac:dyDescent="0.25">
      <c r="C53" s="1" t="s">
        <v>21</v>
      </c>
      <c r="D53" s="51">
        <f>+D17+D39</f>
        <v>10010</v>
      </c>
      <c r="E53" s="51">
        <f t="shared" ref="E53:M53" si="18">+E17+E39</f>
        <v>10065</v>
      </c>
      <c r="F53" s="51">
        <f t="shared" si="18"/>
        <v>9996</v>
      </c>
      <c r="G53" s="51">
        <f t="shared" si="18"/>
        <v>9602</v>
      </c>
      <c r="H53" s="51">
        <f t="shared" si="18"/>
        <v>9556</v>
      </c>
      <c r="I53" s="51">
        <f t="shared" si="18"/>
        <v>9553</v>
      </c>
      <c r="J53" s="51">
        <f t="shared" si="18"/>
        <v>9487</v>
      </c>
      <c r="K53" s="51">
        <f t="shared" si="18"/>
        <v>9488</v>
      </c>
      <c r="L53" s="51">
        <f t="shared" si="18"/>
        <v>9864</v>
      </c>
      <c r="M53" s="51">
        <f t="shared" si="18"/>
        <v>9803</v>
      </c>
    </row>
    <row r="54" spans="1:22" x14ac:dyDescent="0.25">
      <c r="C54" s="1" t="s">
        <v>35</v>
      </c>
      <c r="D54" s="51">
        <f>+D38+D16</f>
        <v>-2</v>
      </c>
      <c r="E54" s="51">
        <f t="shared" ref="E54:M54" si="19">+E38+E16</f>
        <v>-1</v>
      </c>
      <c r="F54" s="51">
        <f t="shared" si="19"/>
        <v>0</v>
      </c>
      <c r="G54" s="51">
        <f t="shared" si="19"/>
        <v>0</v>
      </c>
      <c r="H54" s="51">
        <f t="shared" si="19"/>
        <v>0</v>
      </c>
      <c r="I54" s="51">
        <f t="shared" si="19"/>
        <v>0</v>
      </c>
      <c r="J54" s="51">
        <f t="shared" si="19"/>
        <v>0</v>
      </c>
      <c r="K54" s="51">
        <f t="shared" si="19"/>
        <v>-2</v>
      </c>
      <c r="L54" s="51">
        <f t="shared" si="19"/>
        <v>0</v>
      </c>
      <c r="M54" s="51">
        <f t="shared" si="19"/>
        <v>0</v>
      </c>
    </row>
    <row r="55" spans="1:22" x14ac:dyDescent="0.25">
      <c r="C55" s="1" t="s">
        <v>36</v>
      </c>
      <c r="D55" s="51">
        <f>+D44+D22</f>
        <v>9588</v>
      </c>
      <c r="E55" s="51">
        <f t="shared" ref="E55:M55" si="20">+E44+E22</f>
        <v>9780</v>
      </c>
      <c r="F55" s="51">
        <f t="shared" si="20"/>
        <v>9933</v>
      </c>
      <c r="G55" s="51">
        <f t="shared" si="20"/>
        <v>9797</v>
      </c>
      <c r="H55" s="51">
        <f t="shared" si="20"/>
        <v>9950</v>
      </c>
      <c r="I55" s="51">
        <f t="shared" si="20"/>
        <v>10125</v>
      </c>
      <c r="J55" s="51">
        <f t="shared" si="20"/>
        <v>10254</v>
      </c>
      <c r="K55" s="51">
        <f t="shared" si="20"/>
        <v>10409</v>
      </c>
      <c r="L55" s="51">
        <f t="shared" si="20"/>
        <v>10571</v>
      </c>
      <c r="M55" s="51">
        <f t="shared" si="20"/>
        <v>10718</v>
      </c>
    </row>
    <row r="56" spans="1:22" x14ac:dyDescent="0.25">
      <c r="C56" s="1" t="s">
        <v>22</v>
      </c>
      <c r="D56" s="51">
        <f>+D24+D46</f>
        <v>1246</v>
      </c>
      <c r="E56" s="51">
        <f t="shared" ref="E56:M56" si="21">+E24+E46</f>
        <v>1271</v>
      </c>
      <c r="F56" s="51">
        <f t="shared" si="21"/>
        <v>1291</v>
      </c>
      <c r="G56" s="51">
        <f t="shared" si="21"/>
        <v>1274</v>
      </c>
      <c r="H56" s="51">
        <f t="shared" si="21"/>
        <v>1293</v>
      </c>
      <c r="I56" s="51">
        <f t="shared" si="21"/>
        <v>1316</v>
      </c>
      <c r="J56" s="51">
        <f t="shared" si="21"/>
        <v>1333</v>
      </c>
      <c r="K56" s="51">
        <f t="shared" si="21"/>
        <v>1353</v>
      </c>
      <c r="L56" s="51">
        <f t="shared" si="21"/>
        <v>1375</v>
      </c>
      <c r="M56" s="51">
        <f t="shared" si="21"/>
        <v>1393</v>
      </c>
    </row>
    <row r="57" spans="1:22" x14ac:dyDescent="0.25">
      <c r="C57" s="1" t="s">
        <v>37</v>
      </c>
      <c r="D57" s="51">
        <f>+D56+D55</f>
        <v>10834</v>
      </c>
      <c r="E57" s="51">
        <f t="shared" ref="E57:M57" si="22">+E56+E55</f>
        <v>11051</v>
      </c>
      <c r="F57" s="51">
        <f t="shared" si="22"/>
        <v>11224</v>
      </c>
      <c r="G57" s="51">
        <f t="shared" si="22"/>
        <v>11071</v>
      </c>
      <c r="H57" s="51">
        <f t="shared" si="22"/>
        <v>11243</v>
      </c>
      <c r="I57" s="51">
        <f t="shared" si="22"/>
        <v>11441</v>
      </c>
      <c r="J57" s="51">
        <f t="shared" si="22"/>
        <v>11587</v>
      </c>
      <c r="K57" s="51">
        <f t="shared" si="22"/>
        <v>11762</v>
      </c>
      <c r="L57" s="51">
        <f t="shared" si="22"/>
        <v>11946</v>
      </c>
      <c r="M57" s="51">
        <f t="shared" si="22"/>
        <v>12111</v>
      </c>
    </row>
    <row r="58" spans="1:22" x14ac:dyDescent="0.25">
      <c r="C58" s="1" t="s">
        <v>38</v>
      </c>
      <c r="D58" s="51">
        <f>+D53+D54-D57</f>
        <v>-826</v>
      </c>
      <c r="E58" s="51">
        <f t="shared" ref="E58:M58" si="23">+E53+E54-E57</f>
        <v>-987</v>
      </c>
      <c r="F58" s="51">
        <f t="shared" si="23"/>
        <v>-1228</v>
      </c>
      <c r="G58" s="51">
        <f t="shared" si="23"/>
        <v>-1469</v>
      </c>
      <c r="H58" s="51">
        <f t="shared" si="23"/>
        <v>-1687</v>
      </c>
      <c r="I58" s="51">
        <f t="shared" si="23"/>
        <v>-1888</v>
      </c>
      <c r="J58" s="51">
        <f t="shared" si="23"/>
        <v>-2100</v>
      </c>
      <c r="K58" s="51">
        <f t="shared" si="23"/>
        <v>-2276</v>
      </c>
      <c r="L58" s="51">
        <f t="shared" si="23"/>
        <v>-2082</v>
      </c>
      <c r="M58" s="51">
        <f t="shared" si="23"/>
        <v>-2308</v>
      </c>
    </row>
    <row r="59" spans="1:22" x14ac:dyDescent="0.25">
      <c r="C59" s="1" t="s">
        <v>23</v>
      </c>
      <c r="D59" s="52">
        <f t="shared" ref="D59:M59" si="24">(D$53+(D21-D$12+D$20+D43+D$42-D34)*$L$2-D37-D$15)/D$55-1</f>
        <v>2.8102836879432713E-2</v>
      </c>
      <c r="E59" s="52">
        <f t="shared" si="24"/>
        <v>2.2169734151329168E-2</v>
      </c>
      <c r="F59" s="52">
        <f t="shared" si="24"/>
        <v>2.7665357897914689E-3</v>
      </c>
      <c r="G59" s="52">
        <f t="shared" si="24"/>
        <v>-1.7810554251301403E-2</v>
      </c>
      <c r="H59" s="52">
        <f t="shared" si="24"/>
        <v>-3.6060301507537584E-2</v>
      </c>
      <c r="I59" s="52">
        <f t="shared" si="24"/>
        <v>-5.3017283950617222E-2</v>
      </c>
      <c r="J59" s="52">
        <f t="shared" si="24"/>
        <v>-7.1227813536181128E-2</v>
      </c>
      <c r="K59" s="52">
        <f t="shared" si="24"/>
        <v>-8.4962052070323812E-2</v>
      </c>
      <c r="L59" s="52">
        <f t="shared" si="24"/>
        <v>-6.3071611011257134E-2</v>
      </c>
      <c r="M59" s="52">
        <f t="shared" si="24"/>
        <v>-8.1613174099645414E-2</v>
      </c>
      <c r="S59" s="31"/>
      <c r="T59" s="31"/>
      <c r="U59" s="31"/>
      <c r="V59" s="31"/>
    </row>
    <row r="61" spans="1:22" x14ac:dyDescent="0.25">
      <c r="A61" t="s">
        <v>68</v>
      </c>
      <c r="E61" s="40">
        <f>+E81</f>
        <v>5.4945054945054949E-3</v>
      </c>
      <c r="F61" s="40">
        <f t="shared" ref="F61:M61" si="25">+F81</f>
        <v>-6.8554396423248882E-3</v>
      </c>
      <c r="G61" s="40">
        <f t="shared" si="25"/>
        <v>-3.9415766306522611E-2</v>
      </c>
      <c r="H61" s="40">
        <f t="shared" si="25"/>
        <v>-4.7906686107061025E-3</v>
      </c>
      <c r="I61" s="31">
        <f t="shared" si="25"/>
        <v>-3.1393888656341566E-4</v>
      </c>
      <c r="J61" s="31">
        <f t="shared" si="25"/>
        <v>-6.9088244530513977E-3</v>
      </c>
      <c r="K61" s="31">
        <f t="shared" si="25"/>
        <v>1.0540739959945188E-4</v>
      </c>
      <c r="L61" s="31">
        <f t="shared" si="25"/>
        <v>3.9629005059021921E-2</v>
      </c>
      <c r="M61" s="31">
        <f t="shared" si="25"/>
        <v>-6.1841038118410378E-3</v>
      </c>
    </row>
    <row r="62" spans="1:22" x14ac:dyDescent="0.25">
      <c r="D62" s="18"/>
      <c r="E62" s="41"/>
      <c r="F62" s="41"/>
      <c r="G62" s="41"/>
      <c r="H62" s="42"/>
    </row>
    <row r="63" spans="1:22" x14ac:dyDescent="0.25">
      <c r="A63" t="s">
        <v>69</v>
      </c>
      <c r="E63" s="40">
        <f>+E85</f>
        <v>2.0029536643898838E-2</v>
      </c>
      <c r="F63" s="40">
        <f t="shared" ref="F63:M63" si="26">+F85</f>
        <v>1.5654691883087504E-2</v>
      </c>
      <c r="G63" s="40">
        <f t="shared" si="26"/>
        <v>-1.3631503920171062E-2</v>
      </c>
      <c r="H63" s="40">
        <f t="shared" si="26"/>
        <v>1.5536085267816819E-2</v>
      </c>
      <c r="I63" s="31">
        <f t="shared" si="26"/>
        <v>1.7610957929378279E-2</v>
      </c>
      <c r="J63" s="31">
        <f t="shared" si="26"/>
        <v>1.2761122279521021E-2</v>
      </c>
      <c r="K63" s="31">
        <f t="shared" si="26"/>
        <v>1.510313282126521E-2</v>
      </c>
      <c r="L63" s="31">
        <f t="shared" si="26"/>
        <v>1.5643598027546335E-2</v>
      </c>
      <c r="M63" s="31">
        <f t="shared" si="26"/>
        <v>1.3812154696132596E-2</v>
      </c>
    </row>
    <row r="64" spans="1:22" x14ac:dyDescent="0.25">
      <c r="E64" s="42"/>
      <c r="F64" s="42"/>
      <c r="G64" s="42"/>
      <c r="H64" s="42"/>
    </row>
    <row r="65" spans="1:26" x14ac:dyDescent="0.25">
      <c r="O65" t="s">
        <v>73</v>
      </c>
      <c r="Q65" s="6">
        <f>+R44</f>
        <v>10834</v>
      </c>
      <c r="R65" s="17">
        <f>+Q65*(1+R66)</f>
        <v>10996.509999999998</v>
      </c>
      <c r="S65" s="17">
        <f>+R65*(1+S66)</f>
        <v>11161.457649999997</v>
      </c>
      <c r="T65" s="17">
        <f t="shared" ref="T65:Z65" si="27">+S65*(1+T66)</f>
        <v>11328.879514749995</v>
      </c>
      <c r="U65" s="17">
        <f t="shared" si="27"/>
        <v>11498.812707471245</v>
      </c>
      <c r="V65" s="17">
        <f t="shared" si="27"/>
        <v>11671.294898083312</v>
      </c>
      <c r="W65" s="17">
        <f t="shared" si="27"/>
        <v>11846.36432155456</v>
      </c>
      <c r="X65" s="17">
        <f t="shared" si="27"/>
        <v>12024.059786377877</v>
      </c>
      <c r="Y65" s="17">
        <f t="shared" si="27"/>
        <v>12204.420683173543</v>
      </c>
      <c r="Z65" s="17">
        <f t="shared" si="27"/>
        <v>12387.486993421146</v>
      </c>
    </row>
    <row r="66" spans="1:26" x14ac:dyDescent="0.25">
      <c r="R66" s="29">
        <v>1.4999999999999999E-2</v>
      </c>
      <c r="S66" s="29">
        <f>+R66</f>
        <v>1.4999999999999999E-2</v>
      </c>
      <c r="T66" s="29">
        <f t="shared" ref="T66:Z66" si="28">+S66</f>
        <v>1.4999999999999999E-2</v>
      </c>
      <c r="U66" s="29">
        <f t="shared" si="28"/>
        <v>1.4999999999999999E-2</v>
      </c>
      <c r="V66" s="29">
        <f t="shared" si="28"/>
        <v>1.4999999999999999E-2</v>
      </c>
      <c r="W66" s="29">
        <f t="shared" si="28"/>
        <v>1.4999999999999999E-2</v>
      </c>
      <c r="X66" s="29">
        <f t="shared" si="28"/>
        <v>1.4999999999999999E-2</v>
      </c>
      <c r="Y66" s="29">
        <f t="shared" si="28"/>
        <v>1.4999999999999999E-2</v>
      </c>
      <c r="Z66" s="29">
        <f t="shared" si="28"/>
        <v>1.4999999999999999E-2</v>
      </c>
    </row>
    <row r="68" spans="1:26" x14ac:dyDescent="0.25">
      <c r="A68" t="str">
        <f>+C17</f>
        <v>East Existing Resources</v>
      </c>
      <c r="D68" s="17">
        <f>+D17</f>
        <v>7125</v>
      </c>
      <c r="E68" s="17">
        <f>+E17</f>
        <v>7529</v>
      </c>
      <c r="F68" s="17">
        <f t="shared" ref="F68:M68" si="29">+F17</f>
        <v>7236</v>
      </c>
      <c r="G68" s="17">
        <f t="shared" si="29"/>
        <v>6953</v>
      </c>
      <c r="H68" s="17">
        <f t="shared" si="29"/>
        <v>6932</v>
      </c>
      <c r="I68" s="17">
        <f t="shared" si="29"/>
        <v>6934</v>
      </c>
      <c r="J68" s="17">
        <f t="shared" si="29"/>
        <v>7378</v>
      </c>
      <c r="K68" s="17">
        <f t="shared" si="29"/>
        <v>7375</v>
      </c>
      <c r="L68" s="17">
        <f t="shared" si="29"/>
        <v>7829</v>
      </c>
      <c r="M68" s="17">
        <f t="shared" si="29"/>
        <v>7361</v>
      </c>
    </row>
    <row r="69" spans="1:26" x14ac:dyDescent="0.25">
      <c r="D69" s="17"/>
      <c r="E69" s="29">
        <f>(E68-D68)/D68</f>
        <v>5.6701754385964913E-2</v>
      </c>
      <c r="F69" s="29">
        <f t="shared" ref="F69:M69" si="30">(F68-E68)/E68</f>
        <v>-3.8916190729180504E-2</v>
      </c>
      <c r="G69" s="29">
        <f t="shared" si="30"/>
        <v>-3.9110005527915978E-2</v>
      </c>
      <c r="H69" s="29">
        <f t="shared" si="30"/>
        <v>-3.0202790162519775E-3</v>
      </c>
      <c r="I69" s="29">
        <f t="shared" si="30"/>
        <v>2.8851702250432774E-4</v>
      </c>
      <c r="J69" s="29">
        <f t="shared" si="30"/>
        <v>6.4032304586097488E-2</v>
      </c>
      <c r="K69" s="29">
        <f t="shared" si="30"/>
        <v>-4.0661425860666849E-4</v>
      </c>
      <c r="L69" s="29">
        <f t="shared" si="30"/>
        <v>6.1559322033898307E-2</v>
      </c>
      <c r="M69" s="29">
        <f t="shared" si="30"/>
        <v>-5.9777749393281392E-2</v>
      </c>
    </row>
    <row r="70" spans="1:26" x14ac:dyDescent="0.25"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26" x14ac:dyDescent="0.25">
      <c r="A71" t="str">
        <f>+C26</f>
        <v>East Obligation + Reserves</v>
      </c>
      <c r="D71" s="17">
        <f>+D26</f>
        <v>7232</v>
      </c>
      <c r="E71" s="17">
        <f t="shared" ref="E71:M71" si="31">+E26</f>
        <v>7389</v>
      </c>
      <c r="F71" s="17">
        <f t="shared" si="31"/>
        <v>7519</v>
      </c>
      <c r="G71" s="17">
        <f t="shared" si="31"/>
        <v>7300</v>
      </c>
      <c r="H71" s="17">
        <f t="shared" si="31"/>
        <v>7425</v>
      </c>
      <c r="I71" s="17">
        <f t="shared" si="31"/>
        <v>7552</v>
      </c>
      <c r="J71" s="17">
        <f t="shared" si="31"/>
        <v>7687</v>
      </c>
      <c r="K71" s="17">
        <f t="shared" si="31"/>
        <v>7821</v>
      </c>
      <c r="L71" s="17">
        <f t="shared" si="31"/>
        <v>7967</v>
      </c>
      <c r="M71" s="17">
        <f t="shared" si="31"/>
        <v>8094</v>
      </c>
    </row>
    <row r="72" spans="1:26" x14ac:dyDescent="0.25">
      <c r="D72" s="17"/>
      <c r="E72" s="29">
        <f>(E71-D71)/D71</f>
        <v>2.1709070796460176E-2</v>
      </c>
      <c r="F72" s="29">
        <f t="shared" ref="F72:M72" si="32">(F71-E71)/E71</f>
        <v>1.7593720395182026E-2</v>
      </c>
      <c r="G72" s="29">
        <f t="shared" si="32"/>
        <v>-2.9126213592233011E-2</v>
      </c>
      <c r="H72" s="29">
        <f t="shared" si="32"/>
        <v>1.7123287671232876E-2</v>
      </c>
      <c r="I72" s="29">
        <f t="shared" si="32"/>
        <v>1.7104377104377105E-2</v>
      </c>
      <c r="J72" s="29">
        <f t="shared" si="32"/>
        <v>1.7876059322033899E-2</v>
      </c>
      <c r="K72" s="29">
        <f t="shared" si="32"/>
        <v>1.7432028099388579E-2</v>
      </c>
      <c r="L72" s="29">
        <f t="shared" si="32"/>
        <v>1.8667689553765503E-2</v>
      </c>
      <c r="M72" s="29">
        <f t="shared" si="32"/>
        <v>1.5940755616919794E-2</v>
      </c>
    </row>
    <row r="73" spans="1:26" x14ac:dyDescent="0.25"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26" x14ac:dyDescent="0.25">
      <c r="A74" t="str">
        <f>+C39</f>
        <v>West Existing Resources</v>
      </c>
      <c r="D74" s="17">
        <f t="shared" ref="D74:M74" si="33">+D39</f>
        <v>2885</v>
      </c>
      <c r="E74" s="17">
        <f t="shared" si="33"/>
        <v>2536</v>
      </c>
      <c r="F74" s="17">
        <f t="shared" si="33"/>
        <v>2760</v>
      </c>
      <c r="G74" s="17">
        <f t="shared" si="33"/>
        <v>2649</v>
      </c>
      <c r="H74" s="17">
        <f t="shared" si="33"/>
        <v>2624</v>
      </c>
      <c r="I74" s="17">
        <f t="shared" si="33"/>
        <v>2619</v>
      </c>
      <c r="J74" s="17">
        <f t="shared" si="33"/>
        <v>2109</v>
      </c>
      <c r="K74" s="17">
        <f t="shared" si="33"/>
        <v>2113</v>
      </c>
      <c r="L74" s="17">
        <f t="shared" si="33"/>
        <v>2035</v>
      </c>
      <c r="M74" s="17">
        <f t="shared" si="33"/>
        <v>2442</v>
      </c>
    </row>
    <row r="75" spans="1:26" x14ac:dyDescent="0.25">
      <c r="D75" s="17"/>
      <c r="E75" s="29">
        <f>(E74-D74)/D74</f>
        <v>-0.12097053726169844</v>
      </c>
      <c r="F75" s="29">
        <f t="shared" ref="F75:M75" si="34">(F74-E74)/E74</f>
        <v>8.8328075709779186E-2</v>
      </c>
      <c r="G75" s="29">
        <f t="shared" si="34"/>
        <v>-4.0217391304347823E-2</v>
      </c>
      <c r="H75" s="29">
        <f t="shared" si="34"/>
        <v>-9.4375235938089844E-3</v>
      </c>
      <c r="I75" s="29">
        <f t="shared" si="34"/>
        <v>-1.9054878048780487E-3</v>
      </c>
      <c r="J75" s="29">
        <f t="shared" si="34"/>
        <v>-0.19473081328751432</v>
      </c>
      <c r="K75" s="29">
        <f t="shared" si="34"/>
        <v>1.896633475580844E-3</v>
      </c>
      <c r="L75" s="29">
        <f t="shared" si="34"/>
        <v>-3.6914339801230475E-2</v>
      </c>
      <c r="M75" s="29">
        <f t="shared" si="34"/>
        <v>0.2</v>
      </c>
    </row>
    <row r="76" spans="1:26" x14ac:dyDescent="0.25"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26" x14ac:dyDescent="0.25">
      <c r="A77" t="str">
        <f>+C48</f>
        <v>West Obligation + Reserves</v>
      </c>
      <c r="D77" s="17">
        <f>+D48</f>
        <v>3602</v>
      </c>
      <c r="E77" s="17">
        <f t="shared" ref="E77:M77" si="35">+E48</f>
        <v>3662</v>
      </c>
      <c r="F77" s="17">
        <f t="shared" si="35"/>
        <v>3705</v>
      </c>
      <c r="G77" s="17">
        <f t="shared" si="35"/>
        <v>3771</v>
      </c>
      <c r="H77" s="17">
        <f t="shared" si="35"/>
        <v>3818</v>
      </c>
      <c r="I77" s="17">
        <f t="shared" si="35"/>
        <v>3889</v>
      </c>
      <c r="J77" s="17">
        <f t="shared" si="35"/>
        <v>3900</v>
      </c>
      <c r="K77" s="17">
        <f t="shared" si="35"/>
        <v>3941</v>
      </c>
      <c r="L77" s="17">
        <f t="shared" si="35"/>
        <v>3979</v>
      </c>
      <c r="M77" s="17">
        <f t="shared" si="35"/>
        <v>4017</v>
      </c>
    </row>
    <row r="78" spans="1:26" x14ac:dyDescent="0.25">
      <c r="D78" s="17"/>
      <c r="E78" s="29">
        <f>(E77-D77)/D77</f>
        <v>1.6657412548584119E-2</v>
      </c>
      <c r="F78" s="29">
        <f t="shared" ref="F78:M78" si="36">(F77-E77)/E77</f>
        <v>1.1742217367558712E-2</v>
      </c>
      <c r="G78" s="29">
        <f t="shared" si="36"/>
        <v>1.7813765182186234E-2</v>
      </c>
      <c r="H78" s="29">
        <f t="shared" si="36"/>
        <v>1.2463537523203394E-2</v>
      </c>
      <c r="I78" s="29">
        <f t="shared" si="36"/>
        <v>1.859612362493452E-2</v>
      </c>
      <c r="J78" s="29">
        <f t="shared" si="36"/>
        <v>2.8284906145538699E-3</v>
      </c>
      <c r="K78" s="29">
        <f t="shared" si="36"/>
        <v>1.0512820512820513E-2</v>
      </c>
      <c r="L78" s="29">
        <f t="shared" si="36"/>
        <v>9.6422227860948999E-3</v>
      </c>
      <c r="M78" s="29">
        <f t="shared" si="36"/>
        <v>9.5501382256848455E-3</v>
      </c>
    </row>
    <row r="79" spans="1:26" x14ac:dyDescent="0.25"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26" x14ac:dyDescent="0.25">
      <c r="A80" t="str">
        <f>+C53</f>
        <v>Total Resources</v>
      </c>
      <c r="D80" s="17">
        <f>+D53</f>
        <v>10010</v>
      </c>
      <c r="E80" s="17">
        <f t="shared" ref="E80:M80" si="37">+E53</f>
        <v>10065</v>
      </c>
      <c r="F80" s="17">
        <f t="shared" si="37"/>
        <v>9996</v>
      </c>
      <c r="G80" s="17">
        <f t="shared" si="37"/>
        <v>9602</v>
      </c>
      <c r="H80" s="17">
        <f t="shared" si="37"/>
        <v>9556</v>
      </c>
      <c r="I80" s="17">
        <f t="shared" si="37"/>
        <v>9553</v>
      </c>
      <c r="J80" s="17">
        <f t="shared" si="37"/>
        <v>9487</v>
      </c>
      <c r="K80" s="17">
        <f t="shared" si="37"/>
        <v>9488</v>
      </c>
      <c r="L80" s="17">
        <f t="shared" si="37"/>
        <v>9864</v>
      </c>
      <c r="M80" s="17">
        <f t="shared" si="37"/>
        <v>9803</v>
      </c>
    </row>
    <row r="81" spans="1:15" x14ac:dyDescent="0.25">
      <c r="D81" s="17"/>
      <c r="E81" s="29">
        <f>(E80-D80)/D80</f>
        <v>5.4945054945054949E-3</v>
      </c>
      <c r="F81" s="29">
        <f t="shared" ref="F81:M81" si="38">(F80-E80)/E80</f>
        <v>-6.8554396423248882E-3</v>
      </c>
      <c r="G81" s="29">
        <f t="shared" si="38"/>
        <v>-3.9415766306522611E-2</v>
      </c>
      <c r="H81" s="29">
        <f t="shared" si="38"/>
        <v>-4.7906686107061025E-3</v>
      </c>
      <c r="I81" s="29">
        <f t="shared" si="38"/>
        <v>-3.1393888656341566E-4</v>
      </c>
      <c r="J81" s="29">
        <f t="shared" si="38"/>
        <v>-6.9088244530513977E-3</v>
      </c>
      <c r="K81" s="29">
        <f t="shared" si="38"/>
        <v>1.0540739959945188E-4</v>
      </c>
      <c r="L81" s="29">
        <f t="shared" si="38"/>
        <v>3.9629005059021921E-2</v>
      </c>
      <c r="M81" s="29">
        <f t="shared" si="38"/>
        <v>-6.1841038118410378E-3</v>
      </c>
    </row>
    <row r="82" spans="1:15" x14ac:dyDescent="0.25">
      <c r="D82" s="17"/>
      <c r="E82" s="17">
        <f>+E80-D80</f>
        <v>55</v>
      </c>
      <c r="F82" s="17">
        <f t="shared" ref="F82:M82" si="39">+F80-E80</f>
        <v>-69</v>
      </c>
      <c r="G82" s="17">
        <f t="shared" si="39"/>
        <v>-394</v>
      </c>
      <c r="H82" s="17">
        <f t="shared" si="39"/>
        <v>-46</v>
      </c>
      <c r="I82" s="17">
        <f t="shared" si="39"/>
        <v>-3</v>
      </c>
      <c r="J82" s="17">
        <f t="shared" si="39"/>
        <v>-66</v>
      </c>
      <c r="K82" s="17">
        <f t="shared" si="39"/>
        <v>1</v>
      </c>
      <c r="L82" s="17">
        <f t="shared" si="39"/>
        <v>376</v>
      </c>
      <c r="M82" s="17">
        <f t="shared" si="39"/>
        <v>-61</v>
      </c>
    </row>
    <row r="83" spans="1:15" x14ac:dyDescent="0.25"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x14ac:dyDescent="0.25">
      <c r="A84" t="str">
        <f>+C57</f>
        <v>Obligation + Reserves</v>
      </c>
      <c r="D84" s="17">
        <f>+D57</f>
        <v>10834</v>
      </c>
      <c r="E84" s="17">
        <f t="shared" ref="E84:M84" si="40">+E57</f>
        <v>11051</v>
      </c>
      <c r="F84" s="17">
        <f t="shared" si="40"/>
        <v>11224</v>
      </c>
      <c r="G84" s="17">
        <f t="shared" si="40"/>
        <v>11071</v>
      </c>
      <c r="H84" s="17">
        <f t="shared" si="40"/>
        <v>11243</v>
      </c>
      <c r="I84" s="17">
        <f t="shared" si="40"/>
        <v>11441</v>
      </c>
      <c r="J84" s="17">
        <f t="shared" si="40"/>
        <v>11587</v>
      </c>
      <c r="K84" s="17">
        <f t="shared" si="40"/>
        <v>11762</v>
      </c>
      <c r="L84" s="17">
        <f t="shared" si="40"/>
        <v>11946</v>
      </c>
      <c r="M84" s="17">
        <f t="shared" si="40"/>
        <v>12111</v>
      </c>
    </row>
    <row r="85" spans="1:15" x14ac:dyDescent="0.25">
      <c r="E85" s="29">
        <f>(E84-D84)/D84</f>
        <v>2.0029536643898838E-2</v>
      </c>
      <c r="F85" s="29">
        <f t="shared" ref="F85:M85" si="41">(F84-E84)/E84</f>
        <v>1.5654691883087504E-2</v>
      </c>
      <c r="G85" s="29">
        <f t="shared" si="41"/>
        <v>-1.3631503920171062E-2</v>
      </c>
      <c r="H85" s="29">
        <f t="shared" si="41"/>
        <v>1.5536085267816819E-2</v>
      </c>
      <c r="I85" s="29">
        <f t="shared" si="41"/>
        <v>1.7610957929378279E-2</v>
      </c>
      <c r="J85" s="29">
        <f t="shared" si="41"/>
        <v>1.2761122279521021E-2</v>
      </c>
      <c r="K85" s="29">
        <f t="shared" si="41"/>
        <v>1.510313282126521E-2</v>
      </c>
      <c r="L85" s="29">
        <f t="shared" si="41"/>
        <v>1.5643598027546335E-2</v>
      </c>
      <c r="M85" s="29">
        <f t="shared" si="41"/>
        <v>1.3812154696132596E-2</v>
      </c>
    </row>
    <row r="86" spans="1:15" x14ac:dyDescent="0.25">
      <c r="E86" s="17">
        <f t="shared" ref="E86:M86" si="42">+E84-D84</f>
        <v>217</v>
      </c>
      <c r="F86" s="17">
        <f t="shared" si="42"/>
        <v>173</v>
      </c>
      <c r="G86" s="17">
        <f t="shared" si="42"/>
        <v>-153</v>
      </c>
      <c r="H86" s="17">
        <f t="shared" si="42"/>
        <v>172</v>
      </c>
      <c r="I86" s="17">
        <f t="shared" si="42"/>
        <v>198</v>
      </c>
      <c r="J86" s="17">
        <f t="shared" si="42"/>
        <v>146</v>
      </c>
      <c r="K86" s="17">
        <f t="shared" si="42"/>
        <v>175</v>
      </c>
      <c r="L86" s="17">
        <f t="shared" si="42"/>
        <v>184</v>
      </c>
      <c r="M86" s="17">
        <f t="shared" si="42"/>
        <v>165</v>
      </c>
    </row>
    <row r="88" spans="1:15" x14ac:dyDescent="0.25">
      <c r="E88" s="26">
        <f>+E86+E82</f>
        <v>272</v>
      </c>
      <c r="F88" s="26">
        <f>+F86+F82</f>
        <v>104</v>
      </c>
      <c r="G88" s="26">
        <f t="shared" ref="G88:M88" si="43">+G86+G82</f>
        <v>-547</v>
      </c>
      <c r="H88" s="26">
        <f t="shared" si="43"/>
        <v>126</v>
      </c>
      <c r="I88" s="26">
        <f t="shared" si="43"/>
        <v>195</v>
      </c>
      <c r="J88" s="26">
        <f t="shared" si="43"/>
        <v>80</v>
      </c>
      <c r="K88" s="26">
        <f t="shared" si="43"/>
        <v>176</v>
      </c>
      <c r="L88" s="26">
        <f t="shared" si="43"/>
        <v>560</v>
      </c>
      <c r="M88" s="26">
        <f t="shared" si="43"/>
        <v>104</v>
      </c>
    </row>
    <row r="90" spans="1:15" x14ac:dyDescent="0.25">
      <c r="A90" t="s">
        <v>8</v>
      </c>
      <c r="D90" s="6">
        <f t="shared" ref="D90:M90" si="44">+D19+D41</f>
        <v>10136</v>
      </c>
      <c r="E90" s="6">
        <f t="shared" si="44"/>
        <v>10330</v>
      </c>
      <c r="F90" s="6">
        <f t="shared" si="44"/>
        <v>10495</v>
      </c>
      <c r="G90" s="6">
        <f t="shared" si="44"/>
        <v>10359</v>
      </c>
      <c r="H90" s="6">
        <f t="shared" si="44"/>
        <v>10512</v>
      </c>
      <c r="I90" s="6">
        <f t="shared" si="44"/>
        <v>10687</v>
      </c>
      <c r="J90" s="6">
        <f t="shared" si="44"/>
        <v>10816</v>
      </c>
      <c r="K90" s="6">
        <f t="shared" si="44"/>
        <v>10971</v>
      </c>
      <c r="L90" s="6">
        <f t="shared" si="44"/>
        <v>11133</v>
      </c>
      <c r="M90" s="6">
        <f t="shared" si="44"/>
        <v>11280</v>
      </c>
      <c r="O90" s="18">
        <f>((M90-D90)/D90)/9</f>
        <v>1.2540559501885469E-2</v>
      </c>
    </row>
    <row r="91" spans="1:15" x14ac:dyDescent="0.25">
      <c r="E91" s="18">
        <f>(E90-D90)/D90</f>
        <v>1.9139700078926597E-2</v>
      </c>
      <c r="F91" s="18">
        <f t="shared" ref="F91:M91" si="45">(F90-E90)/E90</f>
        <v>1.5972894482090997E-2</v>
      </c>
      <c r="G91" s="18">
        <f t="shared" si="45"/>
        <v>-1.2958551691281562E-2</v>
      </c>
      <c r="H91" s="18">
        <f t="shared" si="45"/>
        <v>1.4769765421372719E-2</v>
      </c>
      <c r="I91" s="18">
        <f t="shared" si="45"/>
        <v>1.6647640791476407E-2</v>
      </c>
      <c r="J91" s="18">
        <f t="shared" si="45"/>
        <v>1.2070740151586039E-2</v>
      </c>
      <c r="K91" s="18">
        <f t="shared" si="45"/>
        <v>1.4330621301775148E-2</v>
      </c>
      <c r="L91" s="18">
        <f t="shared" si="45"/>
        <v>1.4766201804757998E-2</v>
      </c>
      <c r="M91" s="18">
        <f t="shared" si="45"/>
        <v>1.3203988143357586E-2</v>
      </c>
      <c r="O91" s="25">
        <f>AVERAGE(E91:M91)</f>
        <v>1.1993666720451327E-2</v>
      </c>
    </row>
    <row r="93" spans="1:15" x14ac:dyDescent="0.25">
      <c r="E93" s="18">
        <v>2.87239071427755E-2</v>
      </c>
      <c r="F93" s="18">
        <v>3.5256368979479896E-2</v>
      </c>
      <c r="G93" s="18">
        <v>2.9428803325411892E-2</v>
      </c>
      <c r="H93" s="18">
        <v>2.7422864020473423E-2</v>
      </c>
      <c r="I93" s="18">
        <v>2.1862679822407041E-2</v>
      </c>
      <c r="J93" s="18">
        <v>2.1056254005471575E-2</v>
      </c>
      <c r="K93" s="18">
        <v>1.2310186417676238E-2</v>
      </c>
      <c r="L93" s="18">
        <v>1.5151671438056175E-2</v>
      </c>
      <c r="M93" s="18">
        <v>1.56894084756815E-2</v>
      </c>
    </row>
    <row r="95" spans="1:15" x14ac:dyDescent="0.25">
      <c r="E95" s="25">
        <f>+E91-E93</f>
        <v>-9.5842070638489027E-3</v>
      </c>
      <c r="F95" s="25">
        <f t="shared" ref="F95:M95" si="46">+F91-F93</f>
        <v>-1.9283474497388899E-2</v>
      </c>
      <c r="G95" s="25">
        <f t="shared" si="46"/>
        <v>-4.2387355016693454E-2</v>
      </c>
      <c r="H95" s="25">
        <f t="shared" si="46"/>
        <v>-1.2653098599100705E-2</v>
      </c>
      <c r="I95" s="25">
        <f t="shared" si="46"/>
        <v>-5.2150390309306342E-3</v>
      </c>
      <c r="J95" s="25">
        <f t="shared" si="46"/>
        <v>-8.9855138538855357E-3</v>
      </c>
      <c r="K95" s="25">
        <f t="shared" si="46"/>
        <v>2.0204348840989102E-3</v>
      </c>
      <c r="L95" s="25">
        <f t="shared" si="46"/>
        <v>-3.8546963329817718E-4</v>
      </c>
      <c r="M95" s="25">
        <f t="shared" si="46"/>
        <v>-2.4854203323239135E-3</v>
      </c>
    </row>
    <row r="98" spans="1:14" x14ac:dyDescent="0.25">
      <c r="A98" s="36" t="s">
        <v>74</v>
      </c>
      <c r="B98" s="36"/>
      <c r="C98" s="36"/>
      <c r="D98" s="37">
        <f>+D56/D55</f>
        <v>0.12995410930329579</v>
      </c>
      <c r="E98" s="37">
        <f t="shared" ref="E98:M98" si="47">+E56/E55</f>
        <v>0.12995910020449897</v>
      </c>
      <c r="F98" s="37">
        <f t="shared" si="47"/>
        <v>0.12997080438940903</v>
      </c>
      <c r="G98" s="37">
        <f t="shared" si="47"/>
        <v>0.13003980810452179</v>
      </c>
      <c r="H98" s="37">
        <f t="shared" si="47"/>
        <v>0.12994974874371859</v>
      </c>
      <c r="I98" s="37">
        <f t="shared" si="47"/>
        <v>0.12997530864197532</v>
      </c>
      <c r="J98" s="37">
        <f t="shared" si="47"/>
        <v>0.12999804954164229</v>
      </c>
      <c r="K98" s="37">
        <f t="shared" si="47"/>
        <v>0.12998366797963301</v>
      </c>
      <c r="L98" s="37">
        <f t="shared" si="47"/>
        <v>0.13007284079084286</v>
      </c>
      <c r="M98" s="37">
        <f t="shared" si="47"/>
        <v>0.12996827766374325</v>
      </c>
    </row>
    <row r="100" spans="1:14" x14ac:dyDescent="0.25">
      <c r="A100" t="s">
        <v>88</v>
      </c>
      <c r="D100" s="6">
        <f>+D55</f>
        <v>9588</v>
      </c>
      <c r="E100" s="17">
        <f>+D100*1.01</f>
        <v>9683.8799999999992</v>
      </c>
      <c r="F100" s="17">
        <f t="shared" ref="F100:M100" si="48">+E100*1.01</f>
        <v>9780.7187999999987</v>
      </c>
      <c r="G100" s="17">
        <f t="shared" si="48"/>
        <v>9878.5259879999994</v>
      </c>
      <c r="H100" s="17">
        <f t="shared" si="48"/>
        <v>9977.3112478799994</v>
      </c>
      <c r="I100" s="17">
        <f t="shared" si="48"/>
        <v>10077.0843603588</v>
      </c>
      <c r="J100" s="17">
        <f t="shared" si="48"/>
        <v>10177.855203962388</v>
      </c>
      <c r="K100" s="17">
        <f t="shared" si="48"/>
        <v>10279.633756002013</v>
      </c>
      <c r="L100" s="17">
        <f t="shared" si="48"/>
        <v>10382.430093562034</v>
      </c>
      <c r="M100" s="17">
        <f t="shared" si="48"/>
        <v>10486.254394497655</v>
      </c>
    </row>
    <row r="101" spans="1:14" x14ac:dyDescent="0.25">
      <c r="A101" t="s">
        <v>87</v>
      </c>
      <c r="D101" s="6">
        <f>+D56</f>
        <v>1246</v>
      </c>
      <c r="E101" s="6">
        <f>+E100*E98</f>
        <v>1258.5083312883432</v>
      </c>
      <c r="F101" s="6">
        <f t="shared" ref="F101:M101" si="49">+F100*F98</f>
        <v>1271.2078899426153</v>
      </c>
      <c r="G101" s="6">
        <f t="shared" si="49"/>
        <v>1284.6016238350514</v>
      </c>
      <c r="H101" s="6">
        <f t="shared" si="49"/>
        <v>1296.5490897998834</v>
      </c>
      <c r="I101" s="6">
        <f t="shared" si="49"/>
        <v>1309.7721499488575</v>
      </c>
      <c r="J101" s="6">
        <f t="shared" si="49"/>
        <v>1323.1013250323645</v>
      </c>
      <c r="K101" s="6">
        <f t="shared" si="49"/>
        <v>1336.1845010923935</v>
      </c>
      <c r="L101" s="6">
        <f t="shared" si="49"/>
        <v>1350.4721765819502</v>
      </c>
      <c r="M101" s="6">
        <f t="shared" si="49"/>
        <v>1362.8804227967191</v>
      </c>
      <c r="N101" s="6"/>
    </row>
    <row r="102" spans="1:14" x14ac:dyDescent="0.25">
      <c r="A102" t="s">
        <v>89</v>
      </c>
      <c r="D102" s="6">
        <f>+D101+D100</f>
        <v>10834</v>
      </c>
      <c r="E102" s="6">
        <f t="shared" ref="E102:M102" si="50">+E101+E100</f>
        <v>10942.388331288343</v>
      </c>
      <c r="F102" s="6">
        <f t="shared" si="50"/>
        <v>11051.926689942615</v>
      </c>
      <c r="G102" s="6">
        <f t="shared" si="50"/>
        <v>11163.127611835051</v>
      </c>
      <c r="H102" s="6">
        <f t="shared" si="50"/>
        <v>11273.860337679882</v>
      </c>
      <c r="I102" s="6">
        <f t="shared" si="50"/>
        <v>11386.856510307658</v>
      </c>
      <c r="J102" s="6">
        <f t="shared" si="50"/>
        <v>11500.956528994753</v>
      </c>
      <c r="K102" s="6">
        <f t="shared" si="50"/>
        <v>11615.818257094406</v>
      </c>
      <c r="L102" s="6">
        <f t="shared" si="50"/>
        <v>11732.902270143984</v>
      </c>
      <c r="M102" s="6">
        <f t="shared" si="50"/>
        <v>11849.134817294374</v>
      </c>
    </row>
    <row r="103" spans="1:14" x14ac:dyDescent="0.25">
      <c r="D103" s="6"/>
      <c r="E103" s="6"/>
      <c r="F103" s="6"/>
      <c r="G103" s="6"/>
      <c r="H103" s="6"/>
      <c r="I103" s="6"/>
      <c r="J103" s="6"/>
      <c r="K103" s="6"/>
      <c r="L103" s="6"/>
    </row>
    <row r="104" spans="1:14" x14ac:dyDescent="0.25">
      <c r="A104" t="s">
        <v>90</v>
      </c>
      <c r="D104" s="6">
        <f>+D53-D102</f>
        <v>-824</v>
      </c>
      <c r="E104" s="6">
        <f t="shared" ref="E104:M104" si="51">+E53-E102</f>
        <v>-877.38833128834267</v>
      </c>
      <c r="F104" s="6">
        <f t="shared" si="51"/>
        <v>-1055.9266899426148</v>
      </c>
      <c r="G104" s="6">
        <f t="shared" si="51"/>
        <v>-1561.1276118350506</v>
      </c>
      <c r="H104" s="6">
        <f t="shared" si="51"/>
        <v>-1717.8603376798819</v>
      </c>
      <c r="I104" s="6">
        <f t="shared" si="51"/>
        <v>-1833.856510307658</v>
      </c>
      <c r="J104" s="6">
        <f t="shared" si="51"/>
        <v>-2013.9565289947532</v>
      </c>
      <c r="K104" s="6">
        <f t="shared" si="51"/>
        <v>-2127.8182570944064</v>
      </c>
      <c r="L104" s="6">
        <f t="shared" si="51"/>
        <v>-1868.9022701439844</v>
      </c>
      <c r="M104" s="6">
        <f t="shared" si="51"/>
        <v>-2046.1348172943744</v>
      </c>
    </row>
    <row r="105" spans="1:14" x14ac:dyDescent="0.25">
      <c r="A105" t="s">
        <v>91</v>
      </c>
      <c r="D105" s="3">
        <f t="shared" ref="D105:M105" si="52">+D58</f>
        <v>-826</v>
      </c>
      <c r="E105" s="3">
        <f t="shared" si="52"/>
        <v>-987</v>
      </c>
      <c r="F105" s="3">
        <f t="shared" si="52"/>
        <v>-1228</v>
      </c>
      <c r="G105" s="3">
        <f t="shared" si="52"/>
        <v>-1469</v>
      </c>
      <c r="H105" s="3">
        <f t="shared" si="52"/>
        <v>-1687</v>
      </c>
      <c r="I105" s="3">
        <f t="shared" si="52"/>
        <v>-1888</v>
      </c>
      <c r="J105" s="3">
        <f t="shared" si="52"/>
        <v>-2100</v>
      </c>
      <c r="K105" s="3">
        <f t="shared" si="52"/>
        <v>-2276</v>
      </c>
      <c r="L105" s="3">
        <f t="shared" si="52"/>
        <v>-2082</v>
      </c>
      <c r="M105" s="3">
        <f t="shared" si="52"/>
        <v>-2308</v>
      </c>
    </row>
    <row r="106" spans="1:14" x14ac:dyDescent="0.25">
      <c r="A106" t="s">
        <v>62</v>
      </c>
      <c r="D106" s="6">
        <f>+D104-D105</f>
        <v>2</v>
      </c>
      <c r="E106" s="6">
        <f>+E104-E105</f>
        <v>109.61166871165733</v>
      </c>
      <c r="F106" s="6">
        <f t="shared" ref="F106:M106" si="53">+F104-F105</f>
        <v>172.07331005738524</v>
      </c>
      <c r="G106" s="6">
        <f t="shared" si="53"/>
        <v>-92.127611835050629</v>
      </c>
      <c r="H106" s="6">
        <f t="shared" si="53"/>
        <v>-30.860337679881923</v>
      </c>
      <c r="I106" s="6">
        <f t="shared" si="53"/>
        <v>54.143489692341973</v>
      </c>
      <c r="J106" s="6">
        <f t="shared" si="53"/>
        <v>86.043471005246829</v>
      </c>
      <c r="K106" s="6">
        <f t="shared" si="53"/>
        <v>148.18174290559364</v>
      </c>
      <c r="L106" s="6">
        <f t="shared" si="53"/>
        <v>213.09772985601558</v>
      </c>
      <c r="M106" s="6">
        <f t="shared" si="53"/>
        <v>261.86518270562556</v>
      </c>
    </row>
    <row r="108" spans="1:14" x14ac:dyDescent="0.25">
      <c r="A108" t="s">
        <v>93</v>
      </c>
      <c r="D108" s="6">
        <f t="shared" ref="D108:M108" si="54">+D12+D34</f>
        <v>1487</v>
      </c>
      <c r="E108" s="6">
        <f t="shared" si="54"/>
        <v>836</v>
      </c>
      <c r="F108" s="6">
        <f t="shared" si="54"/>
        <v>842</v>
      </c>
      <c r="G108" s="6">
        <f t="shared" si="54"/>
        <v>411</v>
      </c>
      <c r="H108" s="6">
        <f t="shared" si="54"/>
        <v>298</v>
      </c>
      <c r="I108" s="6">
        <f t="shared" si="54"/>
        <v>298</v>
      </c>
      <c r="J108" s="6">
        <f t="shared" si="54"/>
        <v>287</v>
      </c>
      <c r="K108" s="6">
        <f t="shared" si="54"/>
        <v>287</v>
      </c>
      <c r="L108" s="6">
        <f t="shared" si="54"/>
        <v>259</v>
      </c>
      <c r="M108" s="6">
        <f t="shared" si="54"/>
        <v>259</v>
      </c>
    </row>
    <row r="109" spans="1:14" x14ac:dyDescent="0.25">
      <c r="A109" t="s">
        <v>94</v>
      </c>
      <c r="D109" s="6">
        <f>+D108-D58</f>
        <v>2313</v>
      </c>
      <c r="E109" s="6">
        <f t="shared" ref="E109:M109" si="55">+E108-E58</f>
        <v>1823</v>
      </c>
      <c r="F109" s="6">
        <f t="shared" si="55"/>
        <v>2070</v>
      </c>
      <c r="G109" s="6">
        <f t="shared" si="55"/>
        <v>1880</v>
      </c>
      <c r="H109" s="6">
        <f t="shared" si="55"/>
        <v>1985</v>
      </c>
      <c r="I109" s="6">
        <f t="shared" si="55"/>
        <v>2186</v>
      </c>
      <c r="J109" s="6">
        <f t="shared" si="55"/>
        <v>2387</v>
      </c>
      <c r="K109" s="6">
        <f t="shared" si="55"/>
        <v>2563</v>
      </c>
      <c r="L109" s="6">
        <f t="shared" si="55"/>
        <v>2341</v>
      </c>
      <c r="M109" s="6">
        <f t="shared" si="55"/>
        <v>2567</v>
      </c>
    </row>
  </sheetData>
  <mergeCells count="6">
    <mergeCell ref="A52:C52"/>
    <mergeCell ref="A3:M3"/>
    <mergeCell ref="A4:M4"/>
    <mergeCell ref="A5:M5"/>
    <mergeCell ref="A8:C8"/>
    <mergeCell ref="A30:C3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A109"/>
  <sheetViews>
    <sheetView workbookViewId="0">
      <selection activeCell="A2" sqref="A2"/>
    </sheetView>
  </sheetViews>
  <sheetFormatPr defaultRowHeight="15" x14ac:dyDescent="0.25"/>
  <cols>
    <col min="1" max="2" width="2.7109375" customWidth="1"/>
    <col min="3" max="3" width="26.140625" customWidth="1"/>
  </cols>
  <sheetData>
    <row r="2" spans="1:14" x14ac:dyDescent="0.25">
      <c r="A2" s="1" t="s">
        <v>107</v>
      </c>
      <c r="B2" s="1"/>
      <c r="C2" s="1"/>
      <c r="L2" s="25">
        <v>0.13</v>
      </c>
    </row>
    <row r="3" spans="1:14" ht="15.75" x14ac:dyDescent="0.25">
      <c r="A3" s="75" t="s">
        <v>106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ht="18.75" x14ac:dyDescent="0.3">
      <c r="A4" s="72" t="s">
        <v>109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x14ac:dyDescent="0.25">
      <c r="A5" s="73" t="s">
        <v>85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7" spans="1:14" x14ac:dyDescent="0.25">
      <c r="A7" t="s">
        <v>0</v>
      </c>
      <c r="D7">
        <v>2014</v>
      </c>
      <c r="E7">
        <f>+D7+1</f>
        <v>2015</v>
      </c>
      <c r="F7">
        <f t="shared" ref="F7:M7" si="0">+E7+1</f>
        <v>2016</v>
      </c>
      <c r="G7">
        <f t="shared" si="0"/>
        <v>2017</v>
      </c>
      <c r="H7">
        <f t="shared" si="0"/>
        <v>2018</v>
      </c>
      <c r="I7">
        <f t="shared" si="0"/>
        <v>2019</v>
      </c>
      <c r="J7">
        <f t="shared" si="0"/>
        <v>2020</v>
      </c>
      <c r="K7">
        <f t="shared" si="0"/>
        <v>2021</v>
      </c>
      <c r="L7">
        <f t="shared" si="0"/>
        <v>2022</v>
      </c>
      <c r="M7">
        <f t="shared" si="0"/>
        <v>2023</v>
      </c>
    </row>
    <row r="8" spans="1:14" x14ac:dyDescent="0.25">
      <c r="A8" s="76" t="s">
        <v>27</v>
      </c>
      <c r="B8" s="76"/>
      <c r="C8" s="7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t="s">
        <v>1</v>
      </c>
      <c r="D9" s="3">
        <v>6626</v>
      </c>
      <c r="E9" s="3">
        <v>6460</v>
      </c>
      <c r="F9" s="3">
        <v>6454</v>
      </c>
      <c r="G9" s="3">
        <v>6454</v>
      </c>
      <c r="H9" s="3">
        <v>6454</v>
      </c>
      <c r="I9" s="3">
        <v>6454</v>
      </c>
      <c r="J9" s="3">
        <v>6454</v>
      </c>
      <c r="K9" s="3">
        <v>6454</v>
      </c>
      <c r="L9" s="3">
        <v>6454</v>
      </c>
      <c r="M9" s="3">
        <v>6454</v>
      </c>
    </row>
    <row r="10" spans="1:14" x14ac:dyDescent="0.25">
      <c r="A10" t="s">
        <v>98</v>
      </c>
      <c r="D10" s="3">
        <v>111</v>
      </c>
      <c r="E10" s="3">
        <v>110</v>
      </c>
      <c r="F10" s="3">
        <v>125</v>
      </c>
      <c r="G10" s="3">
        <v>125</v>
      </c>
      <c r="H10" s="3">
        <v>122</v>
      </c>
      <c r="I10" s="3">
        <v>125</v>
      </c>
      <c r="J10" s="3">
        <f>+I10</f>
        <v>125</v>
      </c>
      <c r="K10" s="3">
        <f>+J10</f>
        <v>125</v>
      </c>
      <c r="L10" s="3">
        <f>+K10</f>
        <v>125</v>
      </c>
      <c r="M10" s="3">
        <f>+L10</f>
        <v>125</v>
      </c>
    </row>
    <row r="11" spans="1:14" x14ac:dyDescent="0.25">
      <c r="A11" t="s">
        <v>4</v>
      </c>
      <c r="D11" s="3">
        <v>92</v>
      </c>
      <c r="E11" s="3">
        <v>82</v>
      </c>
      <c r="F11" s="3">
        <v>82</v>
      </c>
      <c r="G11" s="3">
        <v>82</v>
      </c>
      <c r="H11" s="3">
        <v>82</v>
      </c>
      <c r="I11" s="3">
        <v>82</v>
      </c>
      <c r="J11" s="3">
        <v>82</v>
      </c>
      <c r="K11" s="3">
        <v>81</v>
      </c>
      <c r="L11" s="3">
        <v>81</v>
      </c>
      <c r="M11" s="3">
        <v>79</v>
      </c>
    </row>
    <row r="12" spans="1:14" x14ac:dyDescent="0.25">
      <c r="A12" t="s">
        <v>5</v>
      </c>
      <c r="D12" s="38">
        <v>662</v>
      </c>
      <c r="E12" s="38">
        <v>662</v>
      </c>
      <c r="F12" s="38">
        <v>425</v>
      </c>
      <c r="G12" s="38">
        <v>312</v>
      </c>
      <c r="H12" s="38">
        <v>312</v>
      </c>
      <c r="I12" s="38">
        <v>312</v>
      </c>
      <c r="J12" s="38">
        <v>312</v>
      </c>
      <c r="K12" s="38">
        <v>283</v>
      </c>
      <c r="L12" s="38">
        <v>283</v>
      </c>
      <c r="M12" s="3">
        <v>283</v>
      </c>
    </row>
    <row r="13" spans="1:14" x14ac:dyDescent="0.25">
      <c r="A13" t="s">
        <v>97</v>
      </c>
      <c r="D13" s="38">
        <v>79</v>
      </c>
      <c r="E13" s="38">
        <v>83</v>
      </c>
      <c r="F13" s="38">
        <v>93</v>
      </c>
      <c r="G13" s="38">
        <v>93</v>
      </c>
      <c r="H13" s="38">
        <v>93</v>
      </c>
      <c r="I13" s="38">
        <v>93</v>
      </c>
      <c r="J13" s="38">
        <v>93</v>
      </c>
      <c r="K13" s="38">
        <v>92</v>
      </c>
      <c r="L13" s="38">
        <v>88</v>
      </c>
      <c r="M13" s="38">
        <v>88</v>
      </c>
    </row>
    <row r="14" spans="1:14" x14ac:dyDescent="0.25">
      <c r="A14" t="s">
        <v>9</v>
      </c>
      <c r="D14" s="38">
        <v>-763</v>
      </c>
      <c r="E14" s="38">
        <v>-738</v>
      </c>
      <c r="F14" s="38">
        <v>-738</v>
      </c>
      <c r="G14" s="38">
        <v>-663</v>
      </c>
      <c r="H14" s="38">
        <v>-663</v>
      </c>
      <c r="I14" s="38">
        <v>-663</v>
      </c>
      <c r="J14" s="38">
        <v>-663</v>
      </c>
      <c r="K14" s="38">
        <v>-183</v>
      </c>
      <c r="L14" s="38">
        <v>-183</v>
      </c>
      <c r="M14" s="38">
        <v>-183</v>
      </c>
    </row>
    <row r="15" spans="1:14" x14ac:dyDescent="0.25">
      <c r="A15" t="s">
        <v>99</v>
      </c>
      <c r="D15" s="38">
        <v>-38</v>
      </c>
      <c r="E15" s="38">
        <v>-38</v>
      </c>
      <c r="F15" s="38">
        <f>+E15</f>
        <v>-38</v>
      </c>
      <c r="G15" s="38">
        <f t="shared" ref="G15:M15" si="1">+F15</f>
        <v>-38</v>
      </c>
      <c r="H15" s="38">
        <f t="shared" si="1"/>
        <v>-38</v>
      </c>
      <c r="I15" s="38">
        <f t="shared" si="1"/>
        <v>-38</v>
      </c>
      <c r="J15" s="38">
        <f t="shared" si="1"/>
        <v>-38</v>
      </c>
      <c r="K15" s="38">
        <f t="shared" si="1"/>
        <v>-38</v>
      </c>
      <c r="L15" s="38">
        <f t="shared" si="1"/>
        <v>-38</v>
      </c>
      <c r="M15" s="38">
        <f t="shared" si="1"/>
        <v>-38</v>
      </c>
    </row>
    <row r="16" spans="1:14" x14ac:dyDescent="0.25">
      <c r="A16" t="s">
        <v>40</v>
      </c>
      <c r="D16" s="38"/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">
        <v>0</v>
      </c>
      <c r="N16" s="3">
        <v>0</v>
      </c>
    </row>
    <row r="17" spans="1:25" x14ac:dyDescent="0.25">
      <c r="C17" s="1" t="s">
        <v>7</v>
      </c>
      <c r="D17" s="50">
        <f t="shared" ref="D17:M17" si="2">SUM(D9:D16)</f>
        <v>6769</v>
      </c>
      <c r="E17" s="50">
        <f t="shared" si="2"/>
        <v>6621</v>
      </c>
      <c r="F17" s="50">
        <f t="shared" si="2"/>
        <v>6403</v>
      </c>
      <c r="G17" s="50">
        <f t="shared" si="2"/>
        <v>6365</v>
      </c>
      <c r="H17" s="50">
        <f>SUM(H9:H16)</f>
        <v>6362</v>
      </c>
      <c r="I17" s="50">
        <f t="shared" si="2"/>
        <v>6365</v>
      </c>
      <c r="J17" s="50">
        <f t="shared" si="2"/>
        <v>6365</v>
      </c>
      <c r="K17" s="50">
        <f t="shared" si="2"/>
        <v>6814</v>
      </c>
      <c r="L17" s="50">
        <f t="shared" si="2"/>
        <v>6810</v>
      </c>
      <c r="M17" s="51">
        <f t="shared" si="2"/>
        <v>6808</v>
      </c>
    </row>
    <row r="18" spans="1:25" x14ac:dyDescent="0.25">
      <c r="D18" s="38"/>
      <c r="E18" s="38"/>
      <c r="F18" s="38"/>
      <c r="G18" s="38"/>
      <c r="H18" s="38"/>
      <c r="I18" s="38"/>
      <c r="J18" s="38"/>
      <c r="K18" s="38"/>
      <c r="L18" s="38"/>
      <c r="M18" s="3"/>
    </row>
    <row r="19" spans="1:25" x14ac:dyDescent="0.25">
      <c r="A19" t="s">
        <v>8</v>
      </c>
      <c r="D19" s="38">
        <v>6810</v>
      </c>
      <c r="E19" s="38">
        <v>6930</v>
      </c>
      <c r="F19" s="38">
        <v>6792</v>
      </c>
      <c r="G19" s="38">
        <v>6916</v>
      </c>
      <c r="H19" s="38">
        <v>7028</v>
      </c>
      <c r="I19" s="38">
        <v>7133</v>
      </c>
      <c r="J19" s="38">
        <v>7395</v>
      </c>
      <c r="K19" s="38">
        <v>7517</v>
      </c>
      <c r="L19" s="38">
        <v>7635</v>
      </c>
      <c r="M19" s="3">
        <v>7757</v>
      </c>
    </row>
    <row r="20" spans="1:25" ht="15.75" thickBot="1" x14ac:dyDescent="0.3">
      <c r="B20" t="s">
        <v>100</v>
      </c>
      <c r="D20" s="38">
        <v>-159</v>
      </c>
      <c r="E20" s="38">
        <v>-159</v>
      </c>
      <c r="F20" s="38">
        <v>-186</v>
      </c>
      <c r="G20" s="38">
        <v>-186</v>
      </c>
      <c r="H20" s="38">
        <v>-186</v>
      </c>
      <c r="I20" s="38">
        <f>+H20</f>
        <v>-186</v>
      </c>
      <c r="J20" s="38">
        <f>+I20</f>
        <v>-186</v>
      </c>
      <c r="K20" s="38">
        <f>+J20</f>
        <v>-186</v>
      </c>
      <c r="L20" s="38">
        <f>+K20</f>
        <v>-186</v>
      </c>
      <c r="M20" s="38">
        <f>+L20</f>
        <v>-186</v>
      </c>
    </row>
    <row r="21" spans="1:25" ht="15.75" thickBot="1" x14ac:dyDescent="0.3">
      <c r="B21" t="s">
        <v>3</v>
      </c>
      <c r="D21" s="38">
        <v>-329</v>
      </c>
      <c r="E21" s="38">
        <f>+D21</f>
        <v>-329</v>
      </c>
      <c r="F21" s="38">
        <f t="shared" ref="F21:M21" si="3">+E21</f>
        <v>-329</v>
      </c>
      <c r="G21" s="38">
        <f t="shared" si="3"/>
        <v>-329</v>
      </c>
      <c r="H21" s="38">
        <f t="shared" si="3"/>
        <v>-329</v>
      </c>
      <c r="I21" s="38">
        <f t="shared" si="3"/>
        <v>-329</v>
      </c>
      <c r="J21" s="38">
        <f t="shared" si="3"/>
        <v>-329</v>
      </c>
      <c r="K21" s="38">
        <f t="shared" si="3"/>
        <v>-329</v>
      </c>
      <c r="L21" s="38">
        <f t="shared" si="3"/>
        <v>-329</v>
      </c>
      <c r="M21" s="38">
        <f t="shared" si="3"/>
        <v>-329</v>
      </c>
      <c r="N21" s="62"/>
      <c r="O21" s="28">
        <v>2015</v>
      </c>
      <c r="P21" s="65">
        <f>+O21+1</f>
        <v>2016</v>
      </c>
      <c r="Q21" s="65">
        <f t="shared" ref="Q21:W21" si="4">+P21+1</f>
        <v>2017</v>
      </c>
      <c r="R21" s="65">
        <f t="shared" si="4"/>
        <v>2018</v>
      </c>
      <c r="S21" s="65">
        <f t="shared" si="4"/>
        <v>2019</v>
      </c>
      <c r="T21" s="65">
        <f t="shared" si="4"/>
        <v>2020</v>
      </c>
      <c r="U21" s="65">
        <f t="shared" si="4"/>
        <v>2021</v>
      </c>
      <c r="V21" s="65">
        <f t="shared" si="4"/>
        <v>2022</v>
      </c>
      <c r="W21" s="66">
        <f t="shared" si="4"/>
        <v>2023</v>
      </c>
    </row>
    <row r="22" spans="1:25" x14ac:dyDescent="0.25">
      <c r="C22" s="1" t="s">
        <v>10</v>
      </c>
      <c r="D22" s="51">
        <f>+D21+D20+D19</f>
        <v>6322</v>
      </c>
      <c r="E22" s="51">
        <f t="shared" ref="E22:M22" si="5">+E21+E20+E19</f>
        <v>6442</v>
      </c>
      <c r="F22" s="51">
        <f t="shared" si="5"/>
        <v>6277</v>
      </c>
      <c r="G22" s="51">
        <f t="shared" si="5"/>
        <v>6401</v>
      </c>
      <c r="H22" s="51">
        <f t="shared" si="5"/>
        <v>6513</v>
      </c>
      <c r="I22" s="51">
        <f t="shared" si="5"/>
        <v>6618</v>
      </c>
      <c r="J22" s="51">
        <f t="shared" si="5"/>
        <v>6880</v>
      </c>
      <c r="K22" s="51">
        <f t="shared" si="5"/>
        <v>7002</v>
      </c>
      <c r="L22" s="51">
        <f t="shared" si="5"/>
        <v>7120</v>
      </c>
      <c r="M22" s="51">
        <f t="shared" si="5"/>
        <v>7242</v>
      </c>
      <c r="N22" s="63" t="s">
        <v>121</v>
      </c>
      <c r="O22" s="13">
        <f>+'2013 IRP Apr 2013'!F13+'2013 IRP Apr 2013'!F35</f>
        <v>172</v>
      </c>
      <c r="P22" s="13">
        <f>+'2013 IRP Apr 2013'!G13+'2013 IRP Apr 2013'!G35</f>
        <v>162</v>
      </c>
      <c r="Q22" s="13">
        <f>+'2013 IRP Apr 2013'!H13+'2013 IRP Apr 2013'!H35</f>
        <v>162</v>
      </c>
      <c r="R22" s="13">
        <f>+'2013 IRP Apr 2013'!I13+'2013 IRP Apr 2013'!I35</f>
        <v>162</v>
      </c>
      <c r="S22" s="13">
        <f>+'2013 IRP Apr 2013'!J13+'2013 IRP Apr 2013'!J35</f>
        <v>161</v>
      </c>
      <c r="T22" s="13">
        <f>+'2013 IRP Apr 2013'!K13+'2013 IRP Apr 2013'!K35</f>
        <v>162</v>
      </c>
      <c r="U22" s="13">
        <f>+'2013 IRP Apr 2013'!L13+'2013 IRP Apr 2013'!L35</f>
        <v>162</v>
      </c>
      <c r="V22" s="13">
        <f>+'2013 IRP Apr 2013'!M13+'2013 IRP Apr 2013'!M35</f>
        <v>114</v>
      </c>
      <c r="W22" s="14"/>
      <c r="X22" s="6"/>
      <c r="Y22" s="6"/>
    </row>
    <row r="23" spans="1:25" x14ac:dyDescent="0.25">
      <c r="D23" s="3"/>
      <c r="E23" s="3"/>
      <c r="F23" s="3"/>
      <c r="G23" s="3"/>
      <c r="H23" s="3"/>
      <c r="I23" s="3"/>
      <c r="J23" s="3"/>
      <c r="K23" s="3"/>
      <c r="L23" s="3"/>
      <c r="M23" s="3"/>
      <c r="N23" s="63" t="s">
        <v>123</v>
      </c>
      <c r="O23" s="13">
        <f t="shared" ref="O23:W23" si="6">+E13+E35</f>
        <v>169</v>
      </c>
      <c r="P23" s="13">
        <f t="shared" si="6"/>
        <v>169</v>
      </c>
      <c r="Q23" s="13">
        <f t="shared" si="6"/>
        <v>169</v>
      </c>
      <c r="R23" s="13">
        <f t="shared" si="6"/>
        <v>164</v>
      </c>
      <c r="S23" s="13">
        <f t="shared" si="6"/>
        <v>164</v>
      </c>
      <c r="T23" s="13">
        <f t="shared" si="6"/>
        <v>164</v>
      </c>
      <c r="U23" s="13">
        <f t="shared" si="6"/>
        <v>163</v>
      </c>
      <c r="V23" s="13">
        <f t="shared" si="6"/>
        <v>159</v>
      </c>
      <c r="W23" s="14">
        <f t="shared" si="6"/>
        <v>155</v>
      </c>
    </row>
    <row r="24" spans="1:25" ht="15.75" thickBot="1" x14ac:dyDescent="0.3">
      <c r="A24" t="s">
        <v>102</v>
      </c>
      <c r="D24" s="38">
        <v>822</v>
      </c>
      <c r="E24" s="38">
        <v>837</v>
      </c>
      <c r="F24" s="38">
        <v>816</v>
      </c>
      <c r="G24" s="38">
        <v>832</v>
      </c>
      <c r="H24" s="38">
        <v>847</v>
      </c>
      <c r="I24" s="38">
        <v>860</v>
      </c>
      <c r="J24" s="38">
        <v>894</v>
      </c>
      <c r="K24" s="38">
        <v>910</v>
      </c>
      <c r="L24" s="38">
        <v>926</v>
      </c>
      <c r="M24" s="38">
        <v>941</v>
      </c>
      <c r="N24" s="64" t="s">
        <v>122</v>
      </c>
      <c r="O24" s="60">
        <f>+'2015 IRP'!D13+'2015 IRP'!D36</f>
        <v>255</v>
      </c>
      <c r="P24" s="60">
        <f>+'2015 IRP'!E13+'2015 IRP'!E36</f>
        <v>336</v>
      </c>
      <c r="Q24" s="60">
        <f>+'2015 IRP'!F13+'2015 IRP'!F36</f>
        <v>488</v>
      </c>
      <c r="R24" s="60">
        <f>+'2015 IRP'!G13+'2015 IRP'!G36</f>
        <v>482</v>
      </c>
      <c r="S24" s="60">
        <f>+'2015 IRP'!H13+'2015 IRP'!H36</f>
        <v>480</v>
      </c>
      <c r="T24" s="60">
        <f>+'2015 IRP'!I13+'2015 IRP'!I36</f>
        <v>459</v>
      </c>
      <c r="U24" s="60">
        <f>+'2015 IRP'!J13+'2015 IRP'!J36</f>
        <v>457</v>
      </c>
      <c r="V24" s="60">
        <f>+'2015 IRP'!K13+'2015 IRP'!K36</f>
        <v>452</v>
      </c>
      <c r="W24" s="61">
        <f>+'2015 IRP'!L13+'2015 IRP'!L36</f>
        <v>446</v>
      </c>
    </row>
    <row r="25" spans="1:25" x14ac:dyDescent="0.25"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5" x14ac:dyDescent="0.25">
      <c r="C26" s="1" t="s">
        <v>12</v>
      </c>
      <c r="D26" s="51">
        <f t="shared" ref="D26:M26" si="7">+D24+D22</f>
        <v>7144</v>
      </c>
      <c r="E26" s="51">
        <f t="shared" si="7"/>
        <v>7279</v>
      </c>
      <c r="F26" s="51">
        <f t="shared" si="7"/>
        <v>7093</v>
      </c>
      <c r="G26" s="51">
        <f t="shared" si="7"/>
        <v>7233</v>
      </c>
      <c r="H26" s="51">
        <f t="shared" si="7"/>
        <v>7360</v>
      </c>
      <c r="I26" s="51">
        <f t="shared" si="7"/>
        <v>7478</v>
      </c>
      <c r="J26" s="51">
        <f t="shared" si="7"/>
        <v>7774</v>
      </c>
      <c r="K26" s="51">
        <f t="shared" si="7"/>
        <v>7912</v>
      </c>
      <c r="L26" s="51">
        <f t="shared" si="7"/>
        <v>8046</v>
      </c>
      <c r="M26" s="51">
        <f t="shared" si="7"/>
        <v>8183</v>
      </c>
    </row>
    <row r="27" spans="1:25" x14ac:dyDescent="0.25">
      <c r="C27" s="1" t="s">
        <v>13</v>
      </c>
      <c r="D27" s="51">
        <f t="shared" ref="D27:M27" si="8">+D17-D26</f>
        <v>-375</v>
      </c>
      <c r="E27" s="51">
        <f t="shared" si="8"/>
        <v>-658</v>
      </c>
      <c r="F27" s="51">
        <f t="shared" si="8"/>
        <v>-690</v>
      </c>
      <c r="G27" s="51">
        <f t="shared" si="8"/>
        <v>-868</v>
      </c>
      <c r="H27" s="51">
        <f t="shared" si="8"/>
        <v>-998</v>
      </c>
      <c r="I27" s="51">
        <f t="shared" si="8"/>
        <v>-1113</v>
      </c>
      <c r="J27" s="51">
        <f t="shared" si="8"/>
        <v>-1409</v>
      </c>
      <c r="K27" s="51">
        <f t="shared" si="8"/>
        <v>-1098</v>
      </c>
      <c r="L27" s="51">
        <f t="shared" si="8"/>
        <v>-1236</v>
      </c>
      <c r="M27" s="51">
        <f t="shared" si="8"/>
        <v>-1375</v>
      </c>
    </row>
    <row r="28" spans="1:25" x14ac:dyDescent="0.25">
      <c r="C28" s="1" t="s">
        <v>14</v>
      </c>
      <c r="D28" s="53">
        <v>7.0999999999999994E-2</v>
      </c>
      <c r="E28" s="53">
        <v>2.8000000000000001E-2</v>
      </c>
      <c r="F28" s="53">
        <v>0.02</v>
      </c>
      <c r="G28" s="53">
        <v>-6.0000000000000001E-3</v>
      </c>
      <c r="H28" s="53">
        <v>-2.3E-2</v>
      </c>
      <c r="I28" s="53">
        <v>-3.7999999999999999E-2</v>
      </c>
      <c r="J28" s="53">
        <v>-7.4999999999999997E-2</v>
      </c>
      <c r="K28" s="53">
        <v>-2.7E-2</v>
      </c>
      <c r="L28" s="53">
        <v>-4.3999999999999997E-2</v>
      </c>
      <c r="M28" s="53">
        <v>-0.06</v>
      </c>
    </row>
    <row r="30" spans="1:25" x14ac:dyDescent="0.25">
      <c r="A30" s="76" t="s">
        <v>32</v>
      </c>
      <c r="B30" s="76"/>
      <c r="C30" s="76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5" x14ac:dyDescent="0.25">
      <c r="A31" t="s">
        <v>1</v>
      </c>
      <c r="D31" s="3">
        <v>2524</v>
      </c>
      <c r="E31" s="3">
        <v>2524</v>
      </c>
      <c r="F31" s="3">
        <v>2506</v>
      </c>
      <c r="G31" s="3">
        <v>2503</v>
      </c>
      <c r="H31" s="3">
        <v>2503</v>
      </c>
      <c r="I31" s="38">
        <v>2503</v>
      </c>
      <c r="J31" s="38">
        <v>2503</v>
      </c>
      <c r="K31" s="38">
        <v>2503</v>
      </c>
      <c r="L31" s="38">
        <v>2500</v>
      </c>
      <c r="M31" s="38">
        <v>2497</v>
      </c>
    </row>
    <row r="32" spans="1:25" x14ac:dyDescent="0.25">
      <c r="A32" t="s">
        <v>98</v>
      </c>
      <c r="D32" s="3">
        <v>777</v>
      </c>
      <c r="E32" s="3">
        <v>775</v>
      </c>
      <c r="F32" s="3">
        <v>774</v>
      </c>
      <c r="G32" s="3">
        <v>774</v>
      </c>
      <c r="H32" s="3">
        <v>747</v>
      </c>
      <c r="I32" s="38">
        <v>730</v>
      </c>
      <c r="J32" s="38">
        <v>734</v>
      </c>
      <c r="K32" s="38">
        <v>641</v>
      </c>
      <c r="L32" s="38">
        <v>652</v>
      </c>
      <c r="M32" s="38">
        <v>652</v>
      </c>
    </row>
    <row r="33" spans="1:27" x14ac:dyDescent="0.25">
      <c r="A33" t="s">
        <v>4</v>
      </c>
      <c r="D33" s="3">
        <v>38</v>
      </c>
      <c r="E33" s="3">
        <f>+D33</f>
        <v>38</v>
      </c>
      <c r="F33" s="3">
        <f t="shared" ref="F33:K33" si="9">+E33</f>
        <v>38</v>
      </c>
      <c r="G33" s="3">
        <f t="shared" si="9"/>
        <v>38</v>
      </c>
      <c r="H33" s="3">
        <f t="shared" si="9"/>
        <v>38</v>
      </c>
      <c r="I33" s="3">
        <f t="shared" si="9"/>
        <v>38</v>
      </c>
      <c r="J33" s="3">
        <f t="shared" si="9"/>
        <v>38</v>
      </c>
      <c r="K33" s="3">
        <f t="shared" si="9"/>
        <v>38</v>
      </c>
      <c r="L33" s="38">
        <v>21</v>
      </c>
      <c r="M33" s="38">
        <v>21</v>
      </c>
    </row>
    <row r="34" spans="1:27" x14ac:dyDescent="0.25">
      <c r="A34" t="s">
        <v>5</v>
      </c>
      <c r="D34" s="38">
        <v>187</v>
      </c>
      <c r="E34" s="38">
        <v>190</v>
      </c>
      <c r="F34" s="38">
        <v>21</v>
      </c>
      <c r="G34" s="38">
        <v>21</v>
      </c>
      <c r="H34" s="38">
        <v>21</v>
      </c>
      <c r="I34" s="38">
        <v>3</v>
      </c>
      <c r="J34" s="38">
        <v>3</v>
      </c>
      <c r="K34" s="38">
        <v>3</v>
      </c>
      <c r="L34" s="38">
        <v>3</v>
      </c>
      <c r="M34" s="38">
        <v>3</v>
      </c>
    </row>
    <row r="35" spans="1:27" x14ac:dyDescent="0.25">
      <c r="A35" t="s">
        <v>97</v>
      </c>
      <c r="D35" s="38">
        <v>99</v>
      </c>
      <c r="E35" s="38">
        <v>86</v>
      </c>
      <c r="F35" s="38">
        <v>76</v>
      </c>
      <c r="G35" s="38">
        <v>76</v>
      </c>
      <c r="H35" s="38">
        <v>71</v>
      </c>
      <c r="I35" s="38">
        <v>71</v>
      </c>
      <c r="J35" s="38">
        <v>71</v>
      </c>
      <c r="K35" s="38">
        <v>71</v>
      </c>
      <c r="L35" s="38">
        <v>71</v>
      </c>
      <c r="M35" s="38">
        <v>67</v>
      </c>
    </row>
    <row r="36" spans="1:27" x14ac:dyDescent="0.25">
      <c r="A36" t="s">
        <v>9</v>
      </c>
      <c r="D36" s="38">
        <v>-306</v>
      </c>
      <c r="E36" s="38">
        <v>-207</v>
      </c>
      <c r="F36" s="38">
        <v>-157</v>
      </c>
      <c r="G36" s="38">
        <v>-156</v>
      </c>
      <c r="H36" s="38">
        <v>-156</v>
      </c>
      <c r="I36" s="38">
        <v>-157</v>
      </c>
      <c r="J36" s="38">
        <v>-157</v>
      </c>
      <c r="K36" s="38">
        <v>-153</v>
      </c>
      <c r="L36" s="38">
        <v>-100</v>
      </c>
      <c r="M36" s="38">
        <v>-102</v>
      </c>
      <c r="R36">
        <f t="shared" ref="R36:AA36" si="10">+D7</f>
        <v>2014</v>
      </c>
      <c r="S36">
        <f t="shared" si="10"/>
        <v>2015</v>
      </c>
      <c r="T36">
        <f t="shared" si="10"/>
        <v>2016</v>
      </c>
      <c r="U36">
        <f t="shared" si="10"/>
        <v>2017</v>
      </c>
      <c r="V36">
        <f t="shared" si="10"/>
        <v>2018</v>
      </c>
      <c r="W36">
        <f t="shared" si="10"/>
        <v>2019</v>
      </c>
      <c r="X36">
        <f t="shared" si="10"/>
        <v>2020</v>
      </c>
      <c r="Y36">
        <f t="shared" si="10"/>
        <v>2021</v>
      </c>
      <c r="Z36">
        <f t="shared" si="10"/>
        <v>2022</v>
      </c>
      <c r="AA36">
        <f t="shared" si="10"/>
        <v>2023</v>
      </c>
    </row>
    <row r="37" spans="1:27" x14ac:dyDescent="0.25">
      <c r="A37" t="s">
        <v>99</v>
      </c>
      <c r="D37" s="38">
        <v>-3</v>
      </c>
      <c r="E37" s="38">
        <f>+D37</f>
        <v>-3</v>
      </c>
      <c r="F37" s="38">
        <f t="shared" ref="F37:M37" si="11">+E37</f>
        <v>-3</v>
      </c>
      <c r="G37" s="38">
        <f t="shared" si="11"/>
        <v>-3</v>
      </c>
      <c r="H37" s="38">
        <f t="shared" si="11"/>
        <v>-3</v>
      </c>
      <c r="I37" s="38">
        <f t="shared" si="11"/>
        <v>-3</v>
      </c>
      <c r="J37" s="38">
        <f t="shared" si="11"/>
        <v>-3</v>
      </c>
      <c r="K37" s="38">
        <f t="shared" si="11"/>
        <v>-3</v>
      </c>
      <c r="L37" s="38">
        <f t="shared" si="11"/>
        <v>-3</v>
      </c>
      <c r="M37" s="38">
        <f t="shared" si="11"/>
        <v>-3</v>
      </c>
    </row>
    <row r="38" spans="1:27" x14ac:dyDescent="0.25">
      <c r="A38" t="s">
        <v>40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O38" t="str">
        <f>+C26</f>
        <v>East Obligation + Reserves</v>
      </c>
      <c r="R38" s="6">
        <f>+D26</f>
        <v>7144</v>
      </c>
      <c r="S38" s="6">
        <f t="shared" ref="S38:AA38" si="12">+E26</f>
        <v>7279</v>
      </c>
      <c r="T38" s="6">
        <f t="shared" si="12"/>
        <v>7093</v>
      </c>
      <c r="U38" s="6">
        <f t="shared" si="12"/>
        <v>7233</v>
      </c>
      <c r="V38" s="6">
        <f t="shared" si="12"/>
        <v>7360</v>
      </c>
      <c r="W38" s="6">
        <f t="shared" si="12"/>
        <v>7478</v>
      </c>
      <c r="X38" s="6">
        <f t="shared" si="12"/>
        <v>7774</v>
      </c>
      <c r="Y38" s="6">
        <f t="shared" si="12"/>
        <v>7912</v>
      </c>
      <c r="Z38" s="6">
        <f t="shared" si="12"/>
        <v>8046</v>
      </c>
      <c r="AA38" s="6">
        <f t="shared" si="12"/>
        <v>8183</v>
      </c>
    </row>
    <row r="39" spans="1:27" x14ac:dyDescent="0.25">
      <c r="C39" s="1" t="s">
        <v>15</v>
      </c>
      <c r="D39" s="50">
        <f t="shared" ref="D39:M39" si="13">SUM(D31:D38)</f>
        <v>3316</v>
      </c>
      <c r="E39" s="50">
        <f t="shared" si="13"/>
        <v>3403</v>
      </c>
      <c r="F39" s="50">
        <f t="shared" si="13"/>
        <v>3255</v>
      </c>
      <c r="G39" s="50">
        <f t="shared" si="13"/>
        <v>3253</v>
      </c>
      <c r="H39" s="50">
        <f t="shared" si="13"/>
        <v>3221</v>
      </c>
      <c r="I39" s="50">
        <f t="shared" si="13"/>
        <v>3185</v>
      </c>
      <c r="J39" s="50">
        <f t="shared" si="13"/>
        <v>3189</v>
      </c>
      <c r="K39" s="50">
        <f t="shared" si="13"/>
        <v>3100</v>
      </c>
      <c r="L39" s="50">
        <f t="shared" si="13"/>
        <v>3144</v>
      </c>
      <c r="M39" s="50">
        <f t="shared" si="13"/>
        <v>3135</v>
      </c>
      <c r="S39" s="43">
        <f>(S38-R38)/R38</f>
        <v>1.8896976483762599E-2</v>
      </c>
      <c r="T39" s="43">
        <f t="shared" ref="T39:AA39" si="14">(T38-S38)/S38</f>
        <v>-2.5552960571507074E-2</v>
      </c>
      <c r="U39" s="43">
        <f t="shared" si="14"/>
        <v>1.9737769632031582E-2</v>
      </c>
      <c r="V39" s="43">
        <f t="shared" si="14"/>
        <v>1.7558412830084337E-2</v>
      </c>
      <c r="W39" s="29">
        <f t="shared" si="14"/>
        <v>1.6032608695652175E-2</v>
      </c>
      <c r="X39" s="29">
        <f t="shared" si="14"/>
        <v>3.9582776143353836E-2</v>
      </c>
      <c r="Y39" s="29">
        <f t="shared" si="14"/>
        <v>1.7751479289940829E-2</v>
      </c>
      <c r="Z39" s="29">
        <f t="shared" si="14"/>
        <v>1.6936299292214359E-2</v>
      </c>
      <c r="AA39" s="29">
        <f t="shared" si="14"/>
        <v>1.702709420830226E-2</v>
      </c>
    </row>
    <row r="40" spans="1:27" x14ac:dyDescent="0.25">
      <c r="D40" s="38"/>
      <c r="E40" s="38"/>
      <c r="F40" s="38"/>
      <c r="G40" s="38"/>
      <c r="H40" s="38"/>
      <c r="I40" s="38"/>
      <c r="J40" s="38"/>
      <c r="K40" s="38"/>
      <c r="L40" s="38"/>
      <c r="M40" s="38"/>
      <c r="S40" s="42"/>
      <c r="T40" s="42"/>
      <c r="U40" s="42"/>
      <c r="V40" s="42"/>
    </row>
    <row r="41" spans="1:27" x14ac:dyDescent="0.25">
      <c r="A41" t="s">
        <v>8</v>
      </c>
      <c r="D41" s="38">
        <v>3174</v>
      </c>
      <c r="E41" s="38">
        <v>3221</v>
      </c>
      <c r="F41" s="38">
        <v>3251</v>
      </c>
      <c r="G41" s="38">
        <v>3294</v>
      </c>
      <c r="H41" s="38">
        <v>3325</v>
      </c>
      <c r="I41" s="38">
        <v>3349</v>
      </c>
      <c r="J41" s="38">
        <v>3382</v>
      </c>
      <c r="K41" s="38">
        <v>3412</v>
      </c>
      <c r="L41" s="38">
        <v>3442</v>
      </c>
      <c r="M41" s="38">
        <v>3475</v>
      </c>
      <c r="O41" t="str">
        <f>+C48</f>
        <v>West Obligation + Reserves</v>
      </c>
      <c r="R41" s="6">
        <f t="shared" ref="R41:AA41" si="15">+D48</f>
        <v>3587</v>
      </c>
      <c r="S41" s="24">
        <f t="shared" si="15"/>
        <v>3640</v>
      </c>
      <c r="T41" s="24">
        <f t="shared" si="15"/>
        <v>3674</v>
      </c>
      <c r="U41" s="24">
        <f t="shared" si="15"/>
        <v>3722</v>
      </c>
      <c r="V41" s="24">
        <f t="shared" si="15"/>
        <v>3757</v>
      </c>
      <c r="W41" s="6">
        <f t="shared" si="15"/>
        <v>3784</v>
      </c>
      <c r="X41" s="6">
        <f t="shared" si="15"/>
        <v>3822</v>
      </c>
      <c r="Y41" s="6">
        <f t="shared" si="15"/>
        <v>3856</v>
      </c>
      <c r="Z41" s="6">
        <f t="shared" si="15"/>
        <v>3889</v>
      </c>
      <c r="AA41" s="6">
        <f t="shared" si="15"/>
        <v>3927</v>
      </c>
    </row>
    <row r="42" spans="1:27" x14ac:dyDescent="0.25">
      <c r="B42" t="s">
        <v>100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S42" s="43">
        <f>(S41-R41)/R41</f>
        <v>1.4775578477836632E-2</v>
      </c>
      <c r="T42" s="43">
        <f t="shared" ref="T42:AA42" si="16">(T41-S41)/S41</f>
        <v>9.3406593406593404E-3</v>
      </c>
      <c r="U42" s="43">
        <f t="shared" si="16"/>
        <v>1.30647795318454E-2</v>
      </c>
      <c r="V42" s="43">
        <f t="shared" si="16"/>
        <v>9.4035464803868887E-3</v>
      </c>
      <c r="W42" s="29">
        <f t="shared" si="16"/>
        <v>7.1865850412563218E-3</v>
      </c>
      <c r="X42" s="29">
        <f t="shared" si="16"/>
        <v>1.0042283298097251E-2</v>
      </c>
      <c r="Y42" s="29">
        <f t="shared" si="16"/>
        <v>8.8958660387231814E-3</v>
      </c>
      <c r="Z42" s="29">
        <f t="shared" si="16"/>
        <v>8.5580912863070548E-3</v>
      </c>
      <c r="AA42" s="29">
        <f t="shared" si="16"/>
        <v>9.7711493957315498E-3</v>
      </c>
    </row>
    <row r="43" spans="1:27" x14ac:dyDescent="0.25">
      <c r="B43" t="s">
        <v>3</v>
      </c>
      <c r="D43" s="38">
        <v>0</v>
      </c>
      <c r="E43" s="38">
        <f>+D43</f>
        <v>0</v>
      </c>
      <c r="F43" s="38">
        <f t="shared" ref="F43:M43" si="17">+E43</f>
        <v>0</v>
      </c>
      <c r="G43" s="38">
        <f t="shared" si="17"/>
        <v>0</v>
      </c>
      <c r="H43" s="38">
        <f t="shared" si="17"/>
        <v>0</v>
      </c>
      <c r="I43" s="38">
        <f t="shared" si="17"/>
        <v>0</v>
      </c>
      <c r="J43" s="38">
        <f t="shared" si="17"/>
        <v>0</v>
      </c>
      <c r="K43" s="38">
        <f t="shared" si="17"/>
        <v>0</v>
      </c>
      <c r="L43" s="38">
        <f t="shared" si="17"/>
        <v>0</v>
      </c>
      <c r="M43" s="38">
        <f t="shared" si="17"/>
        <v>0</v>
      </c>
      <c r="S43" s="42"/>
      <c r="T43" s="42"/>
      <c r="U43" s="42"/>
      <c r="V43" s="42"/>
    </row>
    <row r="44" spans="1:27" x14ac:dyDescent="0.25">
      <c r="C44" s="1" t="s">
        <v>16</v>
      </c>
      <c r="D44" s="50">
        <f>+D43+D42+D41</f>
        <v>3174</v>
      </c>
      <c r="E44" s="50">
        <f t="shared" ref="E44:M44" si="18">+E43+E42+E41</f>
        <v>3221</v>
      </c>
      <c r="F44" s="50">
        <f t="shared" si="18"/>
        <v>3251</v>
      </c>
      <c r="G44" s="50">
        <f t="shared" si="18"/>
        <v>3294</v>
      </c>
      <c r="H44" s="50">
        <f t="shared" si="18"/>
        <v>3325</v>
      </c>
      <c r="I44" s="50">
        <f t="shared" si="18"/>
        <v>3349</v>
      </c>
      <c r="J44" s="50">
        <f t="shared" si="18"/>
        <v>3382</v>
      </c>
      <c r="K44" s="50">
        <f t="shared" si="18"/>
        <v>3412</v>
      </c>
      <c r="L44" s="50">
        <f t="shared" si="18"/>
        <v>3442</v>
      </c>
      <c r="M44" s="50">
        <f t="shared" si="18"/>
        <v>3475</v>
      </c>
      <c r="O44" t="str">
        <f>+C57</f>
        <v>Obligation + Reserves</v>
      </c>
      <c r="R44" s="6">
        <f>+D57</f>
        <v>10731</v>
      </c>
      <c r="S44" s="24">
        <f t="shared" ref="S44:AA44" si="19">+E57</f>
        <v>10919</v>
      </c>
      <c r="T44" s="24">
        <f t="shared" si="19"/>
        <v>10767</v>
      </c>
      <c r="U44" s="24">
        <f t="shared" si="19"/>
        <v>10955</v>
      </c>
      <c r="V44" s="24">
        <f t="shared" si="19"/>
        <v>11117</v>
      </c>
      <c r="W44" s="6">
        <f t="shared" si="19"/>
        <v>11262</v>
      </c>
      <c r="X44" s="6">
        <f t="shared" si="19"/>
        <v>11596</v>
      </c>
      <c r="Y44" s="6">
        <f t="shared" si="19"/>
        <v>11768</v>
      </c>
      <c r="Z44" s="6">
        <f t="shared" si="19"/>
        <v>11935</v>
      </c>
      <c r="AA44" s="6">
        <f t="shared" si="19"/>
        <v>12110</v>
      </c>
    </row>
    <row r="45" spans="1:27" x14ac:dyDescent="0.25">
      <c r="D45" s="38"/>
      <c r="E45" s="38"/>
      <c r="F45" s="38"/>
      <c r="G45" s="38"/>
      <c r="H45" s="38"/>
      <c r="I45" s="38"/>
      <c r="J45" s="38"/>
      <c r="K45" s="38"/>
      <c r="L45" s="38"/>
      <c r="M45" s="38"/>
      <c r="S45" s="43">
        <f>(S44-R44)/R44</f>
        <v>1.7519336501723978E-2</v>
      </c>
      <c r="T45" s="43">
        <f t="shared" ref="T45:AA45" si="20">(T44-S44)/S44</f>
        <v>-1.3920688707757121E-2</v>
      </c>
      <c r="U45" s="43">
        <f t="shared" si="20"/>
        <v>1.7460759728800967E-2</v>
      </c>
      <c r="V45" s="43">
        <f t="shared" si="20"/>
        <v>1.478776814240073E-2</v>
      </c>
      <c r="W45" s="29">
        <f t="shared" si="20"/>
        <v>1.3043087163803185E-2</v>
      </c>
      <c r="X45" s="29">
        <f t="shared" si="20"/>
        <v>2.9657254484105843E-2</v>
      </c>
      <c r="Y45" s="29">
        <f t="shared" si="20"/>
        <v>1.4832700931355639E-2</v>
      </c>
      <c r="Z45" s="29">
        <f t="shared" si="20"/>
        <v>1.4191026512576478E-2</v>
      </c>
      <c r="AA45" s="29">
        <f t="shared" si="20"/>
        <v>1.466275659824047E-2</v>
      </c>
    </row>
    <row r="46" spans="1:27" x14ac:dyDescent="0.25">
      <c r="A46" t="s">
        <v>101</v>
      </c>
      <c r="D46" s="38">
        <v>413</v>
      </c>
      <c r="E46" s="38">
        <v>419</v>
      </c>
      <c r="F46" s="38">
        <v>423</v>
      </c>
      <c r="G46" s="38">
        <v>428</v>
      </c>
      <c r="H46" s="38">
        <v>432</v>
      </c>
      <c r="I46" s="38">
        <v>435</v>
      </c>
      <c r="J46" s="38">
        <v>440</v>
      </c>
      <c r="K46" s="38">
        <v>444</v>
      </c>
      <c r="L46" s="38">
        <v>447</v>
      </c>
      <c r="M46" s="38">
        <v>452</v>
      </c>
    </row>
    <row r="47" spans="1:27" x14ac:dyDescent="0.25"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27" x14ac:dyDescent="0.25">
      <c r="C48" s="1" t="s">
        <v>18</v>
      </c>
      <c r="D48" s="50">
        <f>+D46+D44</f>
        <v>3587</v>
      </c>
      <c r="E48" s="50">
        <f t="shared" ref="E48:M48" si="21">+E46+E44</f>
        <v>3640</v>
      </c>
      <c r="F48" s="50">
        <f t="shared" si="21"/>
        <v>3674</v>
      </c>
      <c r="G48" s="50">
        <f t="shared" si="21"/>
        <v>3722</v>
      </c>
      <c r="H48" s="50">
        <f t="shared" si="21"/>
        <v>3757</v>
      </c>
      <c r="I48" s="50">
        <f t="shared" si="21"/>
        <v>3784</v>
      </c>
      <c r="J48" s="50">
        <f t="shared" si="21"/>
        <v>3822</v>
      </c>
      <c r="K48" s="50">
        <f t="shared" si="21"/>
        <v>3856</v>
      </c>
      <c r="L48" s="50">
        <f t="shared" si="21"/>
        <v>3889</v>
      </c>
      <c r="M48" s="50">
        <f t="shared" si="21"/>
        <v>3927</v>
      </c>
    </row>
    <row r="49" spans="1:22" x14ac:dyDescent="0.25">
      <c r="C49" s="1" t="s">
        <v>19</v>
      </c>
      <c r="D49" s="50">
        <f>+D39-D48</f>
        <v>-271</v>
      </c>
      <c r="E49" s="50">
        <f t="shared" ref="E49:M49" si="22">+E39-E48</f>
        <v>-237</v>
      </c>
      <c r="F49" s="50">
        <f t="shared" si="22"/>
        <v>-419</v>
      </c>
      <c r="G49" s="50">
        <f t="shared" si="22"/>
        <v>-469</v>
      </c>
      <c r="H49" s="50">
        <f t="shared" si="22"/>
        <v>-536</v>
      </c>
      <c r="I49" s="50">
        <f t="shared" si="22"/>
        <v>-599</v>
      </c>
      <c r="J49" s="50">
        <f t="shared" si="22"/>
        <v>-633</v>
      </c>
      <c r="K49" s="50">
        <f t="shared" si="22"/>
        <v>-756</v>
      </c>
      <c r="L49" s="50">
        <f t="shared" si="22"/>
        <v>-745</v>
      </c>
      <c r="M49" s="50">
        <f t="shared" si="22"/>
        <v>-792</v>
      </c>
    </row>
    <row r="50" spans="1:22" x14ac:dyDescent="0.25">
      <c r="C50" s="1" t="s">
        <v>20</v>
      </c>
      <c r="D50" s="53">
        <v>4.4999999999999998E-2</v>
      </c>
      <c r="E50" s="53">
        <v>5.7000000000000002E-2</v>
      </c>
      <c r="F50" s="53">
        <v>1E-3</v>
      </c>
      <c r="G50" s="53">
        <v>-1.2E-2</v>
      </c>
      <c r="H50" s="53">
        <v>-3.1E-2</v>
      </c>
      <c r="I50" s="53">
        <v>-4.9000000000000002E-2</v>
      </c>
      <c r="J50" s="53">
        <v>-5.7000000000000002E-2</v>
      </c>
      <c r="K50" s="53">
        <v>-9.0999999999999998E-2</v>
      </c>
      <c r="L50" s="53">
        <v>-8.6999999999999994E-2</v>
      </c>
      <c r="M50" s="53">
        <v>-9.8000000000000004E-2</v>
      </c>
    </row>
    <row r="51" spans="1:22" x14ac:dyDescent="0.25">
      <c r="C51" s="1"/>
    </row>
    <row r="52" spans="1:22" x14ac:dyDescent="0.25">
      <c r="A52" s="76" t="s">
        <v>34</v>
      </c>
      <c r="B52" s="76"/>
      <c r="C52" s="7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22" x14ac:dyDescent="0.25">
      <c r="C53" s="1" t="s">
        <v>21</v>
      </c>
      <c r="D53" s="51">
        <f>+D17+D39</f>
        <v>10085</v>
      </c>
      <c r="E53" s="51">
        <f t="shared" ref="E53:M53" si="23">+E17+E39</f>
        <v>10024</v>
      </c>
      <c r="F53" s="51">
        <f t="shared" si="23"/>
        <v>9658</v>
      </c>
      <c r="G53" s="51">
        <f t="shared" si="23"/>
        <v>9618</v>
      </c>
      <c r="H53" s="51">
        <f t="shared" si="23"/>
        <v>9583</v>
      </c>
      <c r="I53" s="51">
        <f t="shared" si="23"/>
        <v>9550</v>
      </c>
      <c r="J53" s="51">
        <f t="shared" si="23"/>
        <v>9554</v>
      </c>
      <c r="K53" s="51">
        <f t="shared" si="23"/>
        <v>9914</v>
      </c>
      <c r="L53" s="51">
        <f t="shared" si="23"/>
        <v>9954</v>
      </c>
      <c r="M53" s="51">
        <f t="shared" si="23"/>
        <v>9943</v>
      </c>
    </row>
    <row r="54" spans="1:22" x14ac:dyDescent="0.25">
      <c r="C54" s="1" t="s">
        <v>35</v>
      </c>
      <c r="D54" s="51">
        <f>+D38+D16</f>
        <v>0</v>
      </c>
      <c r="E54" s="51">
        <f t="shared" ref="E54:M54" si="24">+E38+E16</f>
        <v>0</v>
      </c>
      <c r="F54" s="51">
        <f t="shared" si="24"/>
        <v>0</v>
      </c>
      <c r="G54" s="51">
        <f t="shared" si="24"/>
        <v>0</v>
      </c>
      <c r="H54" s="51">
        <f t="shared" si="24"/>
        <v>0</v>
      </c>
      <c r="I54" s="51">
        <f t="shared" si="24"/>
        <v>0</v>
      </c>
      <c r="J54" s="51">
        <f t="shared" si="24"/>
        <v>0</v>
      </c>
      <c r="K54" s="51">
        <f t="shared" si="24"/>
        <v>0</v>
      </c>
      <c r="L54" s="51">
        <f t="shared" si="24"/>
        <v>0</v>
      </c>
      <c r="M54" s="51">
        <f t="shared" si="24"/>
        <v>0</v>
      </c>
    </row>
    <row r="55" spans="1:22" x14ac:dyDescent="0.25">
      <c r="C55" s="1" t="s">
        <v>36</v>
      </c>
      <c r="D55" s="51">
        <f>+D44+D22</f>
        <v>9496</v>
      </c>
      <c r="E55" s="51">
        <f t="shared" ref="E55:M55" si="25">+E44+E22</f>
        <v>9663</v>
      </c>
      <c r="F55" s="51">
        <f t="shared" si="25"/>
        <v>9528</v>
      </c>
      <c r="G55" s="51">
        <f t="shared" si="25"/>
        <v>9695</v>
      </c>
      <c r="H55" s="51">
        <f t="shared" si="25"/>
        <v>9838</v>
      </c>
      <c r="I55" s="51">
        <f t="shared" si="25"/>
        <v>9967</v>
      </c>
      <c r="J55" s="51">
        <f t="shared" si="25"/>
        <v>10262</v>
      </c>
      <c r="K55" s="51">
        <f t="shared" si="25"/>
        <v>10414</v>
      </c>
      <c r="L55" s="51">
        <f t="shared" si="25"/>
        <v>10562</v>
      </c>
      <c r="M55" s="51">
        <f t="shared" si="25"/>
        <v>10717</v>
      </c>
    </row>
    <row r="56" spans="1:22" x14ac:dyDescent="0.25">
      <c r="C56" s="1" t="s">
        <v>22</v>
      </c>
      <c r="D56" s="51">
        <f>+D24+D46</f>
        <v>1235</v>
      </c>
      <c r="E56" s="51">
        <f t="shared" ref="E56:M56" si="26">+E24+E46</f>
        <v>1256</v>
      </c>
      <c r="F56" s="51">
        <f t="shared" si="26"/>
        <v>1239</v>
      </c>
      <c r="G56" s="51">
        <f t="shared" si="26"/>
        <v>1260</v>
      </c>
      <c r="H56" s="51">
        <f t="shared" si="26"/>
        <v>1279</v>
      </c>
      <c r="I56" s="51">
        <f t="shared" si="26"/>
        <v>1295</v>
      </c>
      <c r="J56" s="51">
        <f t="shared" si="26"/>
        <v>1334</v>
      </c>
      <c r="K56" s="51">
        <f t="shared" si="26"/>
        <v>1354</v>
      </c>
      <c r="L56" s="51">
        <f t="shared" si="26"/>
        <v>1373</v>
      </c>
      <c r="M56" s="51">
        <f t="shared" si="26"/>
        <v>1393</v>
      </c>
    </row>
    <row r="57" spans="1:22" x14ac:dyDescent="0.25">
      <c r="C57" s="1" t="s">
        <v>37</v>
      </c>
      <c r="D57" s="51">
        <f t="shared" ref="D57:M57" si="27">+D56+D55</f>
        <v>10731</v>
      </c>
      <c r="E57" s="51">
        <f t="shared" si="27"/>
        <v>10919</v>
      </c>
      <c r="F57" s="51">
        <f t="shared" si="27"/>
        <v>10767</v>
      </c>
      <c r="G57" s="51">
        <f t="shared" si="27"/>
        <v>10955</v>
      </c>
      <c r="H57" s="51">
        <f t="shared" si="27"/>
        <v>11117</v>
      </c>
      <c r="I57" s="51">
        <f t="shared" si="27"/>
        <v>11262</v>
      </c>
      <c r="J57" s="51">
        <f t="shared" si="27"/>
        <v>11596</v>
      </c>
      <c r="K57" s="51">
        <f t="shared" si="27"/>
        <v>11768</v>
      </c>
      <c r="L57" s="51">
        <f t="shared" si="27"/>
        <v>11935</v>
      </c>
      <c r="M57" s="51">
        <f t="shared" si="27"/>
        <v>12110</v>
      </c>
    </row>
    <row r="58" spans="1:22" x14ac:dyDescent="0.25">
      <c r="C58" s="1" t="s">
        <v>38</v>
      </c>
      <c r="D58" s="51">
        <f>+D53+D54-D57</f>
        <v>-646</v>
      </c>
      <c r="E58" s="51">
        <f t="shared" ref="E58:M58" si="28">+E53+E54-E57</f>
        <v>-895</v>
      </c>
      <c r="F58" s="51">
        <f t="shared" si="28"/>
        <v>-1109</v>
      </c>
      <c r="G58" s="51">
        <f t="shared" si="28"/>
        <v>-1337</v>
      </c>
      <c r="H58" s="51">
        <f t="shared" si="28"/>
        <v>-1534</v>
      </c>
      <c r="I58" s="51">
        <f t="shared" si="28"/>
        <v>-1712</v>
      </c>
      <c r="J58" s="51">
        <f t="shared" si="28"/>
        <v>-2042</v>
      </c>
      <c r="K58" s="51">
        <f t="shared" si="28"/>
        <v>-1854</v>
      </c>
      <c r="L58" s="51">
        <f t="shared" si="28"/>
        <v>-1981</v>
      </c>
      <c r="M58" s="51">
        <f t="shared" si="28"/>
        <v>-2167</v>
      </c>
    </row>
    <row r="59" spans="1:22" x14ac:dyDescent="0.25">
      <c r="C59" s="1" t="s">
        <v>23</v>
      </c>
      <c r="D59" s="53">
        <v>6.2E-2</v>
      </c>
      <c r="E59" s="53">
        <v>3.6999999999999998E-2</v>
      </c>
      <c r="F59" s="53">
        <v>1.4E-2</v>
      </c>
      <c r="G59" s="53">
        <v>-8.0000000000000002E-3</v>
      </c>
      <c r="H59" s="53">
        <v>-2.5999999999999999E-2</v>
      </c>
      <c r="I59" s="53">
        <v>-4.2000000000000003E-2</v>
      </c>
      <c r="J59" s="53">
        <v>-6.9000000000000006E-2</v>
      </c>
      <c r="K59" s="53">
        <v>-4.8000000000000001E-2</v>
      </c>
      <c r="L59" s="53">
        <v>-5.8000000000000003E-2</v>
      </c>
      <c r="M59" s="53">
        <v>-7.1999999999999995E-2</v>
      </c>
      <c r="N59" s="42"/>
      <c r="S59" s="31"/>
      <c r="T59" s="31"/>
      <c r="U59" s="31"/>
      <c r="V59" s="31"/>
    </row>
    <row r="61" spans="1:22" x14ac:dyDescent="0.25">
      <c r="A61" t="s">
        <v>68</v>
      </c>
      <c r="E61" s="40">
        <f>+E81</f>
        <v>-6.0485870104115026E-3</v>
      </c>
      <c r="F61" s="40">
        <f t="shared" ref="F61:M61" si="29">+F81</f>
        <v>-3.6512370311252991E-2</v>
      </c>
      <c r="G61" s="40">
        <f t="shared" si="29"/>
        <v>-4.1416442327604054E-3</v>
      </c>
      <c r="H61" s="40">
        <f t="shared" si="29"/>
        <v>-3.6390101892285298E-3</v>
      </c>
      <c r="I61" s="31">
        <f t="shared" si="29"/>
        <v>-3.4435980381926326E-3</v>
      </c>
      <c r="J61" s="31">
        <f t="shared" si="29"/>
        <v>4.18848167539267E-4</v>
      </c>
      <c r="K61" s="31">
        <f t="shared" si="29"/>
        <v>3.7680552648105506E-2</v>
      </c>
      <c r="L61" s="31">
        <f t="shared" si="29"/>
        <v>4.0346984062941292E-3</v>
      </c>
      <c r="M61" s="31">
        <f t="shared" si="29"/>
        <v>-1.1050833835643962E-3</v>
      </c>
    </row>
    <row r="62" spans="1:22" x14ac:dyDescent="0.25">
      <c r="D62" s="18"/>
      <c r="E62" s="41"/>
      <c r="F62" s="41"/>
      <c r="G62" s="41"/>
      <c r="H62" s="42"/>
    </row>
    <row r="63" spans="1:22" x14ac:dyDescent="0.25">
      <c r="A63" t="s">
        <v>69</v>
      </c>
      <c r="E63" s="40">
        <f>+E85</f>
        <v>1.7519336501723978E-2</v>
      </c>
      <c r="F63" s="40">
        <f t="shared" ref="F63:M63" si="30">+F85</f>
        <v>-1.3920688707757121E-2</v>
      </c>
      <c r="G63" s="40">
        <f t="shared" si="30"/>
        <v>1.7460759728800967E-2</v>
      </c>
      <c r="H63" s="40">
        <f t="shared" si="30"/>
        <v>1.478776814240073E-2</v>
      </c>
      <c r="I63" s="31">
        <f t="shared" si="30"/>
        <v>1.3043087163803185E-2</v>
      </c>
      <c r="J63" s="31">
        <f t="shared" si="30"/>
        <v>2.9657254484105843E-2</v>
      </c>
      <c r="K63" s="31">
        <f t="shared" si="30"/>
        <v>1.4832700931355639E-2</v>
      </c>
      <c r="L63" s="31">
        <f t="shared" si="30"/>
        <v>1.4191026512576478E-2</v>
      </c>
      <c r="M63" s="31">
        <f t="shared" si="30"/>
        <v>1.466275659824047E-2</v>
      </c>
    </row>
    <row r="64" spans="1:22" x14ac:dyDescent="0.25">
      <c r="E64" s="42"/>
      <c r="F64" s="42"/>
      <c r="G64" s="42"/>
      <c r="H64" s="42"/>
    </row>
    <row r="65" spans="1:26" x14ac:dyDescent="0.25">
      <c r="O65" t="s">
        <v>73</v>
      </c>
      <c r="Q65" s="6">
        <f>+R44</f>
        <v>10731</v>
      </c>
      <c r="R65" s="17">
        <f>+Q65*(1+R66)</f>
        <v>10891.964999999998</v>
      </c>
      <c r="S65" s="17">
        <f>+R65*(1+S66)</f>
        <v>11055.344474999998</v>
      </c>
      <c r="T65" s="17">
        <f t="shared" ref="T65:Z65" si="31">+S65*(1+T66)</f>
        <v>11221.174642124997</v>
      </c>
      <c r="U65" s="17">
        <f t="shared" si="31"/>
        <v>11389.492261756872</v>
      </c>
      <c r="V65" s="17">
        <f t="shared" si="31"/>
        <v>11560.334645683224</v>
      </c>
      <c r="W65" s="17">
        <f t="shared" si="31"/>
        <v>11733.739665368472</v>
      </c>
      <c r="X65" s="17">
        <f t="shared" si="31"/>
        <v>11909.745760348998</v>
      </c>
      <c r="Y65" s="17">
        <f t="shared" si="31"/>
        <v>12088.391946754233</v>
      </c>
      <c r="Z65" s="17">
        <f t="shared" si="31"/>
        <v>12269.717825955546</v>
      </c>
    </row>
    <row r="66" spans="1:26" x14ac:dyDescent="0.25">
      <c r="R66" s="29">
        <v>1.4999999999999999E-2</v>
      </c>
      <c r="S66" s="29">
        <f>+R66</f>
        <v>1.4999999999999999E-2</v>
      </c>
      <c r="T66" s="29">
        <f t="shared" ref="T66:Z66" si="32">+S66</f>
        <v>1.4999999999999999E-2</v>
      </c>
      <c r="U66" s="29">
        <f t="shared" si="32"/>
        <v>1.4999999999999999E-2</v>
      </c>
      <c r="V66" s="29">
        <f t="shared" si="32"/>
        <v>1.4999999999999999E-2</v>
      </c>
      <c r="W66" s="29">
        <f t="shared" si="32"/>
        <v>1.4999999999999999E-2</v>
      </c>
      <c r="X66" s="29">
        <f t="shared" si="32"/>
        <v>1.4999999999999999E-2</v>
      </c>
      <c r="Y66" s="29">
        <f t="shared" si="32"/>
        <v>1.4999999999999999E-2</v>
      </c>
      <c r="Z66" s="29">
        <f t="shared" si="32"/>
        <v>1.4999999999999999E-2</v>
      </c>
    </row>
    <row r="67" spans="1:26" x14ac:dyDescent="0.25">
      <c r="D67" s="54">
        <f>+D7</f>
        <v>2014</v>
      </c>
      <c r="E67" s="54">
        <f t="shared" ref="E67:M67" si="33">+E7</f>
        <v>2015</v>
      </c>
      <c r="F67" s="54">
        <f t="shared" si="33"/>
        <v>2016</v>
      </c>
      <c r="G67" s="54">
        <f t="shared" si="33"/>
        <v>2017</v>
      </c>
      <c r="H67" s="54">
        <f t="shared" si="33"/>
        <v>2018</v>
      </c>
      <c r="I67" s="54">
        <f t="shared" si="33"/>
        <v>2019</v>
      </c>
      <c r="J67" s="54">
        <f t="shared" si="33"/>
        <v>2020</v>
      </c>
      <c r="K67" s="54">
        <f t="shared" si="33"/>
        <v>2021</v>
      </c>
      <c r="L67" s="54">
        <f t="shared" si="33"/>
        <v>2022</v>
      </c>
      <c r="M67" s="54">
        <f t="shared" si="33"/>
        <v>2023</v>
      </c>
    </row>
    <row r="68" spans="1:26" x14ac:dyDescent="0.25">
      <c r="A68" t="str">
        <f>+C17</f>
        <v>East Existing Resources</v>
      </c>
      <c r="D68" s="17">
        <f>+D17</f>
        <v>6769</v>
      </c>
      <c r="E68" s="17">
        <f>+E17</f>
        <v>6621</v>
      </c>
      <c r="F68" s="17">
        <f t="shared" ref="F68:M68" si="34">+F17</f>
        <v>6403</v>
      </c>
      <c r="G68" s="17">
        <f t="shared" si="34"/>
        <v>6365</v>
      </c>
      <c r="H68" s="17">
        <f t="shared" si="34"/>
        <v>6362</v>
      </c>
      <c r="I68" s="17">
        <f t="shared" si="34"/>
        <v>6365</v>
      </c>
      <c r="J68" s="17">
        <f t="shared" si="34"/>
        <v>6365</v>
      </c>
      <c r="K68" s="17">
        <f t="shared" si="34"/>
        <v>6814</v>
      </c>
      <c r="L68" s="17">
        <f t="shared" si="34"/>
        <v>6810</v>
      </c>
      <c r="M68" s="17">
        <f t="shared" si="34"/>
        <v>6808</v>
      </c>
    </row>
    <row r="69" spans="1:26" x14ac:dyDescent="0.25">
      <c r="D69" s="17"/>
      <c r="E69" s="29">
        <f>(E68-D68)/D68</f>
        <v>-2.1864381740286602E-2</v>
      </c>
      <c r="F69" s="29">
        <f t="shared" ref="F69:M69" si="35">(F68-E68)/E68</f>
        <v>-3.292553994864824E-2</v>
      </c>
      <c r="G69" s="29">
        <f t="shared" si="35"/>
        <v>-5.9347181008902079E-3</v>
      </c>
      <c r="H69" s="29">
        <f t="shared" si="35"/>
        <v>-4.713275726630008E-4</v>
      </c>
      <c r="I69" s="29">
        <f t="shared" si="35"/>
        <v>4.7154982709839675E-4</v>
      </c>
      <c r="J69" s="29">
        <f t="shared" si="35"/>
        <v>0</v>
      </c>
      <c r="K69" s="29">
        <f t="shared" si="35"/>
        <v>7.0542026708562452E-2</v>
      </c>
      <c r="L69" s="29">
        <f t="shared" si="35"/>
        <v>-5.87026709715292E-4</v>
      </c>
      <c r="M69" s="29">
        <f t="shared" si="35"/>
        <v>-2.9368575624082231E-4</v>
      </c>
    </row>
    <row r="70" spans="1:26" x14ac:dyDescent="0.25"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26" x14ac:dyDescent="0.25">
      <c r="A71" t="str">
        <f>+C26</f>
        <v>East Obligation + Reserves</v>
      </c>
      <c r="D71" s="17">
        <f>+D26</f>
        <v>7144</v>
      </c>
      <c r="E71" s="17">
        <f t="shared" ref="E71:M71" si="36">+E26</f>
        <v>7279</v>
      </c>
      <c r="F71" s="17">
        <f t="shared" si="36"/>
        <v>7093</v>
      </c>
      <c r="G71" s="17">
        <f t="shared" si="36"/>
        <v>7233</v>
      </c>
      <c r="H71" s="17">
        <f t="shared" si="36"/>
        <v>7360</v>
      </c>
      <c r="I71" s="17">
        <f t="shared" si="36"/>
        <v>7478</v>
      </c>
      <c r="J71" s="17">
        <f t="shared" si="36"/>
        <v>7774</v>
      </c>
      <c r="K71" s="17">
        <f t="shared" si="36"/>
        <v>7912</v>
      </c>
      <c r="L71" s="17">
        <f t="shared" si="36"/>
        <v>8046</v>
      </c>
      <c r="M71" s="17">
        <f t="shared" si="36"/>
        <v>8183</v>
      </c>
    </row>
    <row r="72" spans="1:26" x14ac:dyDescent="0.25">
      <c r="D72" s="17"/>
      <c r="E72" s="29">
        <f>(E71-D71)/D71</f>
        <v>1.8896976483762599E-2</v>
      </c>
      <c r="F72" s="29">
        <f t="shared" ref="F72:M72" si="37">(F71-E71)/E71</f>
        <v>-2.5552960571507074E-2</v>
      </c>
      <c r="G72" s="29">
        <f t="shared" si="37"/>
        <v>1.9737769632031582E-2</v>
      </c>
      <c r="H72" s="29">
        <f t="shared" si="37"/>
        <v>1.7558412830084337E-2</v>
      </c>
      <c r="I72" s="29">
        <f t="shared" si="37"/>
        <v>1.6032608695652175E-2</v>
      </c>
      <c r="J72" s="29">
        <f t="shared" si="37"/>
        <v>3.9582776143353836E-2</v>
      </c>
      <c r="K72" s="29">
        <f t="shared" si="37"/>
        <v>1.7751479289940829E-2</v>
      </c>
      <c r="L72" s="29">
        <f t="shared" si="37"/>
        <v>1.6936299292214359E-2</v>
      </c>
      <c r="M72" s="29">
        <f t="shared" si="37"/>
        <v>1.702709420830226E-2</v>
      </c>
    </row>
    <row r="73" spans="1:26" x14ac:dyDescent="0.25"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26" x14ac:dyDescent="0.25">
      <c r="A74" t="str">
        <f>+C39</f>
        <v>West Existing Resources</v>
      </c>
      <c r="D74" s="17">
        <f t="shared" ref="D74:M74" si="38">+D39</f>
        <v>3316</v>
      </c>
      <c r="E74" s="17">
        <f t="shared" si="38"/>
        <v>3403</v>
      </c>
      <c r="F74" s="17">
        <f t="shared" si="38"/>
        <v>3255</v>
      </c>
      <c r="G74" s="17">
        <f t="shared" si="38"/>
        <v>3253</v>
      </c>
      <c r="H74" s="17">
        <f t="shared" si="38"/>
        <v>3221</v>
      </c>
      <c r="I74" s="17">
        <f t="shared" si="38"/>
        <v>3185</v>
      </c>
      <c r="J74" s="17">
        <f t="shared" si="38"/>
        <v>3189</v>
      </c>
      <c r="K74" s="17">
        <f t="shared" si="38"/>
        <v>3100</v>
      </c>
      <c r="L74" s="17">
        <f t="shared" si="38"/>
        <v>3144</v>
      </c>
      <c r="M74" s="17">
        <f t="shared" si="38"/>
        <v>3135</v>
      </c>
    </row>
    <row r="75" spans="1:26" x14ac:dyDescent="0.25">
      <c r="D75" s="17"/>
      <c r="E75" s="29">
        <f>(E74-D74)/D74</f>
        <v>2.6236429433051871E-2</v>
      </c>
      <c r="F75" s="29">
        <f t="shared" ref="F75:M75" si="39">(F74-E74)/E74</f>
        <v>-4.3491037320011756E-2</v>
      </c>
      <c r="G75" s="29">
        <f t="shared" si="39"/>
        <v>-6.1443932411674347E-4</v>
      </c>
      <c r="H75" s="29">
        <f t="shared" si="39"/>
        <v>-9.8370734706424833E-3</v>
      </c>
      <c r="I75" s="29">
        <f t="shared" si="39"/>
        <v>-1.1176653213287799E-2</v>
      </c>
      <c r="J75" s="29">
        <f t="shared" si="39"/>
        <v>1.2558869701726845E-3</v>
      </c>
      <c r="K75" s="29">
        <f t="shared" si="39"/>
        <v>-2.7908435246158672E-2</v>
      </c>
      <c r="L75" s="29">
        <f t="shared" si="39"/>
        <v>1.4193548387096775E-2</v>
      </c>
      <c r="M75" s="29">
        <f t="shared" si="39"/>
        <v>-2.8625954198473282E-3</v>
      </c>
    </row>
    <row r="76" spans="1:26" x14ac:dyDescent="0.25"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26" x14ac:dyDescent="0.25">
      <c r="A77" t="str">
        <f>+C48</f>
        <v>West Obligation + Reserves</v>
      </c>
      <c r="D77" s="17">
        <f>+D48</f>
        <v>3587</v>
      </c>
      <c r="E77" s="17">
        <f t="shared" ref="E77:M77" si="40">+E48</f>
        <v>3640</v>
      </c>
      <c r="F77" s="17">
        <f t="shared" si="40"/>
        <v>3674</v>
      </c>
      <c r="G77" s="17">
        <f t="shared" si="40"/>
        <v>3722</v>
      </c>
      <c r="H77" s="17">
        <f t="shared" si="40"/>
        <v>3757</v>
      </c>
      <c r="I77" s="17">
        <f t="shared" si="40"/>
        <v>3784</v>
      </c>
      <c r="J77" s="17">
        <f t="shared" si="40"/>
        <v>3822</v>
      </c>
      <c r="K77" s="17">
        <f t="shared" si="40"/>
        <v>3856</v>
      </c>
      <c r="L77" s="17">
        <f t="shared" si="40"/>
        <v>3889</v>
      </c>
      <c r="M77" s="17">
        <f t="shared" si="40"/>
        <v>3927</v>
      </c>
    </row>
    <row r="78" spans="1:26" x14ac:dyDescent="0.25">
      <c r="D78" s="17"/>
      <c r="E78" s="29">
        <f>(E77-D77)/D77</f>
        <v>1.4775578477836632E-2</v>
      </c>
      <c r="F78" s="29">
        <f t="shared" ref="F78:M78" si="41">(F77-E77)/E77</f>
        <v>9.3406593406593404E-3</v>
      </c>
      <c r="G78" s="29">
        <f t="shared" si="41"/>
        <v>1.30647795318454E-2</v>
      </c>
      <c r="H78" s="29">
        <f t="shared" si="41"/>
        <v>9.4035464803868887E-3</v>
      </c>
      <c r="I78" s="29">
        <f t="shared" si="41"/>
        <v>7.1865850412563218E-3</v>
      </c>
      <c r="J78" s="29">
        <f t="shared" si="41"/>
        <v>1.0042283298097251E-2</v>
      </c>
      <c r="K78" s="29">
        <f t="shared" si="41"/>
        <v>8.8958660387231814E-3</v>
      </c>
      <c r="L78" s="29">
        <f t="shared" si="41"/>
        <v>8.5580912863070548E-3</v>
      </c>
      <c r="M78" s="29">
        <f t="shared" si="41"/>
        <v>9.7711493957315498E-3</v>
      </c>
    </row>
    <row r="79" spans="1:26" x14ac:dyDescent="0.25"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26" x14ac:dyDescent="0.25">
      <c r="A80" t="str">
        <f>+C53</f>
        <v>Total Resources</v>
      </c>
      <c r="D80" s="17">
        <f>+D53</f>
        <v>10085</v>
      </c>
      <c r="E80" s="17">
        <f t="shared" ref="E80:M80" si="42">+E53</f>
        <v>10024</v>
      </c>
      <c r="F80" s="17">
        <f t="shared" si="42"/>
        <v>9658</v>
      </c>
      <c r="G80" s="17">
        <f t="shared" si="42"/>
        <v>9618</v>
      </c>
      <c r="H80" s="17">
        <f t="shared" si="42"/>
        <v>9583</v>
      </c>
      <c r="I80" s="17">
        <f t="shared" si="42"/>
        <v>9550</v>
      </c>
      <c r="J80" s="17">
        <f t="shared" si="42"/>
        <v>9554</v>
      </c>
      <c r="K80" s="17">
        <f t="shared" si="42"/>
        <v>9914</v>
      </c>
      <c r="L80" s="17">
        <f t="shared" si="42"/>
        <v>9954</v>
      </c>
      <c r="M80" s="17">
        <f t="shared" si="42"/>
        <v>9943</v>
      </c>
    </row>
    <row r="81" spans="1:15" x14ac:dyDescent="0.25">
      <c r="D81" s="17"/>
      <c r="E81" s="29">
        <f>(E80-D80)/D80</f>
        <v>-6.0485870104115026E-3</v>
      </c>
      <c r="F81" s="29">
        <f t="shared" ref="F81:M81" si="43">(F80-E80)/E80</f>
        <v>-3.6512370311252991E-2</v>
      </c>
      <c r="G81" s="29">
        <f t="shared" si="43"/>
        <v>-4.1416442327604054E-3</v>
      </c>
      <c r="H81" s="29">
        <f t="shared" si="43"/>
        <v>-3.6390101892285298E-3</v>
      </c>
      <c r="I81" s="29">
        <f t="shared" si="43"/>
        <v>-3.4435980381926326E-3</v>
      </c>
      <c r="J81" s="29">
        <f t="shared" si="43"/>
        <v>4.18848167539267E-4</v>
      </c>
      <c r="K81" s="29">
        <f t="shared" si="43"/>
        <v>3.7680552648105506E-2</v>
      </c>
      <c r="L81" s="29">
        <f t="shared" si="43"/>
        <v>4.0346984062941292E-3</v>
      </c>
      <c r="M81" s="29">
        <f t="shared" si="43"/>
        <v>-1.1050833835643962E-3</v>
      </c>
    </row>
    <row r="82" spans="1:15" x14ac:dyDescent="0.25">
      <c r="D82" s="17"/>
      <c r="E82" s="17">
        <f>+E80-D80</f>
        <v>-61</v>
      </c>
      <c r="F82" s="17">
        <f t="shared" ref="F82:M82" si="44">+F80-E80</f>
        <v>-366</v>
      </c>
      <c r="G82" s="17">
        <f t="shared" si="44"/>
        <v>-40</v>
      </c>
      <c r="H82" s="17">
        <f t="shared" si="44"/>
        <v>-35</v>
      </c>
      <c r="I82" s="17">
        <f t="shared" si="44"/>
        <v>-33</v>
      </c>
      <c r="J82" s="17">
        <f t="shared" si="44"/>
        <v>4</v>
      </c>
      <c r="K82" s="17">
        <f t="shared" si="44"/>
        <v>360</v>
      </c>
      <c r="L82" s="17">
        <f t="shared" si="44"/>
        <v>40</v>
      </c>
      <c r="M82" s="17">
        <f t="shared" si="44"/>
        <v>-11</v>
      </c>
    </row>
    <row r="83" spans="1:15" x14ac:dyDescent="0.25"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x14ac:dyDescent="0.25">
      <c r="A84" t="str">
        <f>+C57</f>
        <v>Obligation + Reserves</v>
      </c>
      <c r="D84" s="17">
        <f>+D57</f>
        <v>10731</v>
      </c>
      <c r="E84" s="17">
        <f t="shared" ref="E84:M84" si="45">+E57</f>
        <v>10919</v>
      </c>
      <c r="F84" s="17">
        <f t="shared" si="45"/>
        <v>10767</v>
      </c>
      <c r="G84" s="17">
        <f t="shared" si="45"/>
        <v>10955</v>
      </c>
      <c r="H84" s="17">
        <f t="shared" si="45"/>
        <v>11117</v>
      </c>
      <c r="I84" s="17">
        <f t="shared" si="45"/>
        <v>11262</v>
      </c>
      <c r="J84" s="17">
        <f t="shared" si="45"/>
        <v>11596</v>
      </c>
      <c r="K84" s="17">
        <f t="shared" si="45"/>
        <v>11768</v>
      </c>
      <c r="L84" s="17">
        <f t="shared" si="45"/>
        <v>11935</v>
      </c>
      <c r="M84" s="17">
        <f t="shared" si="45"/>
        <v>12110</v>
      </c>
    </row>
    <row r="85" spans="1:15" x14ac:dyDescent="0.25">
      <c r="E85" s="29">
        <f>(E84-D84)/D84</f>
        <v>1.7519336501723978E-2</v>
      </c>
      <c r="F85" s="29">
        <f t="shared" ref="F85:M85" si="46">(F84-E84)/E84</f>
        <v>-1.3920688707757121E-2</v>
      </c>
      <c r="G85" s="29">
        <f t="shared" si="46"/>
        <v>1.7460759728800967E-2</v>
      </c>
      <c r="H85" s="29">
        <f t="shared" si="46"/>
        <v>1.478776814240073E-2</v>
      </c>
      <c r="I85" s="29">
        <f t="shared" si="46"/>
        <v>1.3043087163803185E-2</v>
      </c>
      <c r="J85" s="29">
        <f t="shared" si="46"/>
        <v>2.9657254484105843E-2</v>
      </c>
      <c r="K85" s="29">
        <f t="shared" si="46"/>
        <v>1.4832700931355639E-2</v>
      </c>
      <c r="L85" s="29">
        <f t="shared" si="46"/>
        <v>1.4191026512576478E-2</v>
      </c>
      <c r="M85" s="29">
        <f t="shared" si="46"/>
        <v>1.466275659824047E-2</v>
      </c>
    </row>
    <row r="86" spans="1:15" x14ac:dyDescent="0.25">
      <c r="E86" s="17">
        <f t="shared" ref="E86:M86" si="47">+E84-D84</f>
        <v>188</v>
      </c>
      <c r="F86" s="17">
        <f t="shared" si="47"/>
        <v>-152</v>
      </c>
      <c r="G86" s="17">
        <f t="shared" si="47"/>
        <v>188</v>
      </c>
      <c r="H86" s="17">
        <f t="shared" si="47"/>
        <v>162</v>
      </c>
      <c r="I86" s="17">
        <f t="shared" si="47"/>
        <v>145</v>
      </c>
      <c r="J86" s="17">
        <f t="shared" si="47"/>
        <v>334</v>
      </c>
      <c r="K86" s="17">
        <f t="shared" si="47"/>
        <v>172</v>
      </c>
      <c r="L86" s="17">
        <f t="shared" si="47"/>
        <v>167</v>
      </c>
      <c r="M86" s="17">
        <f t="shared" si="47"/>
        <v>175</v>
      </c>
    </row>
    <row r="88" spans="1:15" x14ac:dyDescent="0.25">
      <c r="E88" s="26">
        <f>+E86+E82</f>
        <v>127</v>
      </c>
      <c r="F88" s="26">
        <f>+F86+F82</f>
        <v>-518</v>
      </c>
      <c r="G88" s="26">
        <f t="shared" ref="G88:M88" si="48">+G86+G82</f>
        <v>148</v>
      </c>
      <c r="H88" s="26">
        <f t="shared" si="48"/>
        <v>127</v>
      </c>
      <c r="I88" s="26">
        <f t="shared" si="48"/>
        <v>112</v>
      </c>
      <c r="J88" s="26">
        <f t="shared" si="48"/>
        <v>338</v>
      </c>
      <c r="K88" s="26">
        <f t="shared" si="48"/>
        <v>532</v>
      </c>
      <c r="L88" s="26">
        <f t="shared" si="48"/>
        <v>207</v>
      </c>
      <c r="M88" s="26">
        <f t="shared" si="48"/>
        <v>164</v>
      </c>
    </row>
    <row r="90" spans="1:15" x14ac:dyDescent="0.25">
      <c r="A90" t="s">
        <v>8</v>
      </c>
      <c r="D90" s="6">
        <f>+D19+D41</f>
        <v>9984</v>
      </c>
      <c r="E90" s="6">
        <f t="shared" ref="E90:M90" si="49">+E19+E41</f>
        <v>10151</v>
      </c>
      <c r="F90" s="6">
        <f t="shared" si="49"/>
        <v>10043</v>
      </c>
      <c r="G90" s="6">
        <f t="shared" si="49"/>
        <v>10210</v>
      </c>
      <c r="H90" s="6">
        <f t="shared" si="49"/>
        <v>10353</v>
      </c>
      <c r="I90" s="6">
        <f t="shared" si="49"/>
        <v>10482</v>
      </c>
      <c r="J90" s="6">
        <f t="shared" si="49"/>
        <v>10777</v>
      </c>
      <c r="K90" s="6">
        <f t="shared" si="49"/>
        <v>10929</v>
      </c>
      <c r="L90" s="6">
        <f t="shared" si="49"/>
        <v>11077</v>
      </c>
      <c r="M90" s="6">
        <f t="shared" si="49"/>
        <v>11232</v>
      </c>
      <c r="O90" s="18">
        <f>((M90-D90)/D90)/9</f>
        <v>1.3888888888888888E-2</v>
      </c>
    </row>
    <row r="91" spans="1:15" x14ac:dyDescent="0.25">
      <c r="E91" s="18">
        <f>(E90-D90)/D90</f>
        <v>1.672676282051282E-2</v>
      </c>
      <c r="F91" s="18">
        <f t="shared" ref="F91:M91" si="50">(F90-E90)/E90</f>
        <v>-1.0639345877253473E-2</v>
      </c>
      <c r="G91" s="18">
        <f t="shared" si="50"/>
        <v>1.6628497460918053E-2</v>
      </c>
      <c r="H91" s="18">
        <f t="shared" si="50"/>
        <v>1.4005876591576885E-2</v>
      </c>
      <c r="I91" s="18">
        <f t="shared" si="50"/>
        <v>1.2460156476383656E-2</v>
      </c>
      <c r="J91" s="18">
        <f t="shared" si="50"/>
        <v>2.8143484067925967E-2</v>
      </c>
      <c r="K91" s="18">
        <f t="shared" si="50"/>
        <v>1.4104110605920015E-2</v>
      </c>
      <c r="L91" s="18">
        <f t="shared" si="50"/>
        <v>1.3541952603165888E-2</v>
      </c>
      <c r="M91" s="18">
        <f t="shared" si="50"/>
        <v>1.3992958382233456E-2</v>
      </c>
      <c r="O91" s="25">
        <f>AVERAGE(E91:M91)</f>
        <v>1.3218272570153696E-2</v>
      </c>
    </row>
    <row r="93" spans="1:15" x14ac:dyDescent="0.25">
      <c r="E93" s="18">
        <v>2.87239071427755E-2</v>
      </c>
      <c r="F93" s="18">
        <v>3.5256368979479896E-2</v>
      </c>
      <c r="G93" s="18">
        <v>2.9428803325411892E-2</v>
      </c>
      <c r="H93" s="18">
        <v>2.7422864020473423E-2</v>
      </c>
      <c r="I93" s="18">
        <v>2.1862679822407041E-2</v>
      </c>
      <c r="J93" s="18">
        <v>2.1056254005471575E-2</v>
      </c>
      <c r="K93" s="18">
        <v>1.2310186417676238E-2</v>
      </c>
      <c r="L93" s="18">
        <v>1.5151671438056175E-2</v>
      </c>
      <c r="M93" s="18">
        <v>1.56894084756815E-2</v>
      </c>
    </row>
    <row r="95" spans="1:15" x14ac:dyDescent="0.25">
      <c r="E95" s="25">
        <f>+E91-E93</f>
        <v>-1.199714432226268E-2</v>
      </c>
      <c r="F95" s="25">
        <f t="shared" ref="F95:M95" si="51">+F91-F93</f>
        <v>-4.5895714856733369E-2</v>
      </c>
      <c r="G95" s="25">
        <f t="shared" si="51"/>
        <v>-1.2800305864493839E-2</v>
      </c>
      <c r="H95" s="25">
        <f t="shared" si="51"/>
        <v>-1.3416987428896538E-2</v>
      </c>
      <c r="I95" s="25">
        <f t="shared" si="51"/>
        <v>-9.4025233460233847E-3</v>
      </c>
      <c r="J95" s="25">
        <f t="shared" si="51"/>
        <v>7.0872300624543923E-3</v>
      </c>
      <c r="K95" s="25">
        <f t="shared" si="51"/>
        <v>1.793924188243777E-3</v>
      </c>
      <c r="L95" s="25">
        <f t="shared" si="51"/>
        <v>-1.6097188348902867E-3</v>
      </c>
      <c r="M95" s="25">
        <f t="shared" si="51"/>
        <v>-1.6964500934480431E-3</v>
      </c>
    </row>
    <row r="98" spans="1:14" x14ac:dyDescent="0.25">
      <c r="A98" s="36" t="s">
        <v>74</v>
      </c>
      <c r="B98" s="36"/>
      <c r="C98" s="36"/>
      <c r="D98" s="37">
        <f>+D56/D55</f>
        <v>0.1300547598989048</v>
      </c>
      <c r="E98" s="37">
        <f t="shared" ref="E98:M98" si="52">+E56/E55</f>
        <v>0.129980337369347</v>
      </c>
      <c r="F98" s="37">
        <f t="shared" si="52"/>
        <v>0.13003778337531485</v>
      </c>
      <c r="G98" s="37">
        <f t="shared" si="52"/>
        <v>0.1299638989169675</v>
      </c>
      <c r="H98" s="37">
        <f t="shared" si="52"/>
        <v>0.13000609880056921</v>
      </c>
      <c r="I98" s="37">
        <f t="shared" si="52"/>
        <v>0.12992876492425001</v>
      </c>
      <c r="J98" s="37">
        <f t="shared" si="52"/>
        <v>0.12999415318651336</v>
      </c>
      <c r="K98" s="37">
        <f t="shared" si="52"/>
        <v>0.13001728442481275</v>
      </c>
      <c r="L98" s="37">
        <f t="shared" si="52"/>
        <v>0.12999431925771635</v>
      </c>
      <c r="M98" s="37">
        <f t="shared" si="52"/>
        <v>0.12998040496407576</v>
      </c>
    </row>
    <row r="100" spans="1:14" x14ac:dyDescent="0.25">
      <c r="D100" s="6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4" x14ac:dyDescent="0.2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4" x14ac:dyDescent="0.25">
      <c r="D103" s="6"/>
      <c r="E103" s="6"/>
      <c r="F103" s="6"/>
      <c r="G103" s="6"/>
      <c r="H103" s="6"/>
      <c r="I103" s="6"/>
      <c r="J103" s="6"/>
      <c r="K103" s="6"/>
      <c r="L103" s="6"/>
    </row>
    <row r="104" spans="1:14" x14ac:dyDescent="0.25"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4" x14ac:dyDescent="0.25"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4" x14ac:dyDescent="0.25"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8" spans="1:14" x14ac:dyDescent="0.25"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4" x14ac:dyDescent="0.25">
      <c r="D109" s="6"/>
      <c r="E109" s="6"/>
      <c r="F109" s="6"/>
      <c r="G109" s="6"/>
      <c r="H109" s="6"/>
      <c r="I109" s="6"/>
      <c r="J109" s="6"/>
      <c r="K109" s="6"/>
      <c r="L109" s="6"/>
      <c r="M109" s="6"/>
    </row>
  </sheetData>
  <mergeCells count="6">
    <mergeCell ref="A52:C52"/>
    <mergeCell ref="A3:M3"/>
    <mergeCell ref="A4:M4"/>
    <mergeCell ref="A5:M5"/>
    <mergeCell ref="A8:C8"/>
    <mergeCell ref="A30:C30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A111"/>
  <sheetViews>
    <sheetView workbookViewId="0">
      <selection activeCell="N27" sqref="N27"/>
    </sheetView>
  </sheetViews>
  <sheetFormatPr defaultRowHeight="15" x14ac:dyDescent="0.25"/>
  <cols>
    <col min="1" max="2" width="2.7109375" customWidth="1"/>
    <col min="3" max="3" width="26.140625" customWidth="1"/>
  </cols>
  <sheetData>
    <row r="2" spans="1:13" x14ac:dyDescent="0.25">
      <c r="A2" s="55" t="s">
        <v>119</v>
      </c>
      <c r="B2" s="55"/>
      <c r="C2" s="55"/>
      <c r="D2" s="42"/>
      <c r="E2" s="42"/>
      <c r="F2" s="42"/>
      <c r="G2" s="42"/>
      <c r="H2" s="42"/>
      <c r="I2" s="42"/>
      <c r="J2" s="42"/>
      <c r="K2" s="42"/>
      <c r="L2" s="56">
        <v>0.13</v>
      </c>
      <c r="M2" s="42"/>
    </row>
    <row r="3" spans="1:13" ht="15.75" x14ac:dyDescent="0.25">
      <c r="A3" s="77" t="s">
        <v>111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8.75" x14ac:dyDescent="0.3">
      <c r="A4" s="72" t="s">
        <v>120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x14ac:dyDescent="0.25">
      <c r="A5" s="73" t="s">
        <v>85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7" spans="1:13" x14ac:dyDescent="0.25">
      <c r="A7" t="s">
        <v>0</v>
      </c>
      <c r="D7">
        <v>2015</v>
      </c>
      <c r="E7">
        <f>+D7+1</f>
        <v>2016</v>
      </c>
      <c r="F7">
        <f t="shared" ref="F7:M7" si="0">+E7+1</f>
        <v>2017</v>
      </c>
      <c r="G7">
        <f t="shared" si="0"/>
        <v>2018</v>
      </c>
      <c r="H7">
        <f t="shared" si="0"/>
        <v>2019</v>
      </c>
      <c r="I7">
        <f t="shared" si="0"/>
        <v>2020</v>
      </c>
      <c r="J7">
        <f t="shared" si="0"/>
        <v>2021</v>
      </c>
      <c r="K7">
        <f t="shared" si="0"/>
        <v>2022</v>
      </c>
      <c r="L7">
        <f t="shared" si="0"/>
        <v>2023</v>
      </c>
      <c r="M7">
        <f t="shared" si="0"/>
        <v>2024</v>
      </c>
    </row>
    <row r="8" spans="1:13" x14ac:dyDescent="0.25">
      <c r="A8" s="76" t="s">
        <v>27</v>
      </c>
      <c r="B8" s="76"/>
      <c r="C8" s="7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t="s">
        <v>1</v>
      </c>
      <c r="D9" s="38">
        <v>6410</v>
      </c>
      <c r="E9" s="38">
        <v>6397</v>
      </c>
      <c r="F9" s="38">
        <v>6397</v>
      </c>
      <c r="G9" s="38">
        <v>6453</v>
      </c>
      <c r="H9" s="38">
        <v>6449</v>
      </c>
      <c r="I9" s="38">
        <v>6448</v>
      </c>
      <c r="J9" s="38">
        <v>6444</v>
      </c>
      <c r="K9" s="38">
        <v>6439</v>
      </c>
      <c r="L9" s="38">
        <v>6434</v>
      </c>
      <c r="M9" s="38">
        <v>6431</v>
      </c>
    </row>
    <row r="10" spans="1:13" x14ac:dyDescent="0.25">
      <c r="A10" t="s">
        <v>98</v>
      </c>
      <c r="D10" s="38">
        <v>117</v>
      </c>
      <c r="E10" s="38">
        <v>114</v>
      </c>
      <c r="F10" s="38">
        <v>114</v>
      </c>
      <c r="G10" s="38">
        <v>114</v>
      </c>
      <c r="H10" s="38">
        <v>114</v>
      </c>
      <c r="I10" s="38">
        <v>114</v>
      </c>
      <c r="J10" s="38">
        <v>114</v>
      </c>
      <c r="K10" s="38">
        <v>114</v>
      </c>
      <c r="L10" s="38">
        <v>114</v>
      </c>
      <c r="M10" s="38">
        <v>94</v>
      </c>
    </row>
    <row r="11" spans="1:13" x14ac:dyDescent="0.25">
      <c r="A11" t="s">
        <v>4</v>
      </c>
      <c r="D11" s="38">
        <v>187</v>
      </c>
      <c r="E11" s="38">
        <v>187</v>
      </c>
      <c r="F11" s="38">
        <v>187</v>
      </c>
      <c r="G11" s="38">
        <v>187</v>
      </c>
      <c r="H11" s="38">
        <v>187</v>
      </c>
      <c r="I11" s="38">
        <v>187</v>
      </c>
      <c r="J11" s="38">
        <v>184</v>
      </c>
      <c r="K11" s="38">
        <v>184</v>
      </c>
      <c r="L11" s="38">
        <v>177</v>
      </c>
      <c r="M11" s="38">
        <v>177</v>
      </c>
    </row>
    <row r="12" spans="1:13" x14ac:dyDescent="0.25">
      <c r="A12" t="s">
        <v>5</v>
      </c>
      <c r="D12" s="38">
        <v>627</v>
      </c>
      <c r="E12" s="38">
        <v>406</v>
      </c>
      <c r="F12" s="38">
        <v>300</v>
      </c>
      <c r="G12" s="38">
        <v>300</v>
      </c>
      <c r="H12" s="38">
        <v>300</v>
      </c>
      <c r="I12" s="38">
        <v>300</v>
      </c>
      <c r="J12" s="38">
        <v>272</v>
      </c>
      <c r="K12" s="38">
        <v>272</v>
      </c>
      <c r="L12" s="38">
        <v>272</v>
      </c>
      <c r="M12" s="38">
        <v>272</v>
      </c>
    </row>
    <row r="13" spans="1:13" x14ac:dyDescent="0.25">
      <c r="A13" t="s">
        <v>97</v>
      </c>
      <c r="D13" s="38">
        <v>139</v>
      </c>
      <c r="E13" s="38">
        <v>222</v>
      </c>
      <c r="F13" s="38">
        <v>348</v>
      </c>
      <c r="G13" s="38">
        <v>347</v>
      </c>
      <c r="H13" s="38">
        <v>346</v>
      </c>
      <c r="I13" s="38">
        <v>339</v>
      </c>
      <c r="J13" s="38">
        <v>337</v>
      </c>
      <c r="K13" s="38">
        <v>332</v>
      </c>
      <c r="L13" s="38">
        <v>331</v>
      </c>
      <c r="M13" s="38">
        <v>280</v>
      </c>
    </row>
    <row r="14" spans="1:13" x14ac:dyDescent="0.25">
      <c r="A14" t="s">
        <v>112</v>
      </c>
      <c r="D14" s="38">
        <v>323</v>
      </c>
      <c r="E14" s="38">
        <v>323</v>
      </c>
      <c r="F14" s="38">
        <v>323</v>
      </c>
      <c r="G14" s="38">
        <v>323</v>
      </c>
      <c r="H14" s="38">
        <v>323</v>
      </c>
      <c r="I14" s="38">
        <v>323</v>
      </c>
      <c r="J14" s="38">
        <v>323</v>
      </c>
      <c r="K14" s="38">
        <v>323</v>
      </c>
      <c r="L14" s="38">
        <v>323</v>
      </c>
      <c r="M14" s="38">
        <v>323</v>
      </c>
    </row>
    <row r="15" spans="1:13" x14ac:dyDescent="0.25">
      <c r="A15" t="s">
        <v>9</v>
      </c>
      <c r="D15" s="38">
        <v>-732</v>
      </c>
      <c r="E15" s="38">
        <v>-732</v>
      </c>
      <c r="F15" s="38">
        <v>-656</v>
      </c>
      <c r="G15" s="38">
        <v>-656</v>
      </c>
      <c r="H15" s="38">
        <v>-656</v>
      </c>
      <c r="I15" s="38">
        <v>-656</v>
      </c>
      <c r="J15" s="38">
        <v>-175</v>
      </c>
      <c r="K15" s="38">
        <v>-175</v>
      </c>
      <c r="L15" s="38">
        <v>-175</v>
      </c>
      <c r="M15" s="38">
        <v>-144</v>
      </c>
    </row>
    <row r="16" spans="1:13" x14ac:dyDescent="0.25">
      <c r="A16" t="s">
        <v>99</v>
      </c>
      <c r="D16" s="38">
        <v>-38</v>
      </c>
      <c r="E16" s="38">
        <v>-38</v>
      </c>
      <c r="F16" s="38">
        <f>+E16</f>
        <v>-38</v>
      </c>
      <c r="G16" s="38">
        <f t="shared" ref="G16:M16" si="1">+F16</f>
        <v>-38</v>
      </c>
      <c r="H16" s="38">
        <f t="shared" si="1"/>
        <v>-38</v>
      </c>
      <c r="I16" s="38">
        <f t="shared" si="1"/>
        <v>-38</v>
      </c>
      <c r="J16" s="38">
        <f t="shared" si="1"/>
        <v>-38</v>
      </c>
      <c r="K16" s="38">
        <f t="shared" si="1"/>
        <v>-38</v>
      </c>
      <c r="L16" s="38">
        <f t="shared" si="1"/>
        <v>-38</v>
      </c>
      <c r="M16" s="38">
        <f t="shared" si="1"/>
        <v>-38</v>
      </c>
    </row>
    <row r="17" spans="1:13" x14ac:dyDescent="0.25">
      <c r="A17" t="s">
        <v>40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x14ac:dyDescent="0.25">
      <c r="C18" s="1" t="s">
        <v>7</v>
      </c>
      <c r="D18" s="50">
        <f t="shared" ref="D18:M18" si="2">SUM(D9:D17)</f>
        <v>7033</v>
      </c>
      <c r="E18" s="50">
        <f t="shared" si="2"/>
        <v>6879</v>
      </c>
      <c r="F18" s="50">
        <f t="shared" si="2"/>
        <v>6975</v>
      </c>
      <c r="G18" s="50">
        <f t="shared" si="2"/>
        <v>7030</v>
      </c>
      <c r="H18" s="50">
        <f>SUM(H9:H17)</f>
        <v>7025</v>
      </c>
      <c r="I18" s="50">
        <f t="shared" si="2"/>
        <v>7017</v>
      </c>
      <c r="J18" s="50">
        <f t="shared" si="2"/>
        <v>7461</v>
      </c>
      <c r="K18" s="50">
        <f t="shared" si="2"/>
        <v>7451</v>
      </c>
      <c r="L18" s="50">
        <f t="shared" si="2"/>
        <v>7438</v>
      </c>
      <c r="M18" s="50">
        <f t="shared" si="2"/>
        <v>7395</v>
      </c>
    </row>
    <row r="19" spans="1:13" x14ac:dyDescent="0.25"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x14ac:dyDescent="0.25">
      <c r="A20" t="s">
        <v>8</v>
      </c>
      <c r="D20" s="38">
        <v>7157</v>
      </c>
      <c r="E20" s="38">
        <v>6977</v>
      </c>
      <c r="F20" s="38">
        <v>7102</v>
      </c>
      <c r="G20" s="38">
        <v>7208</v>
      </c>
      <c r="H20" s="38">
        <v>7295</v>
      </c>
      <c r="I20" s="38">
        <v>7382</v>
      </c>
      <c r="J20" s="38">
        <v>7448</v>
      </c>
      <c r="K20" s="38">
        <v>7529</v>
      </c>
      <c r="L20" s="38">
        <v>7617</v>
      </c>
      <c r="M20" s="38">
        <v>7640</v>
      </c>
    </row>
    <row r="21" spans="1:13" x14ac:dyDescent="0.25">
      <c r="B21" t="s">
        <v>100</v>
      </c>
      <c r="D21" s="38">
        <v>-149</v>
      </c>
      <c r="E21" s="38">
        <v>-175</v>
      </c>
      <c r="F21" s="38">
        <v>-175</v>
      </c>
      <c r="G21" s="38">
        <v>-175</v>
      </c>
      <c r="H21" s="38">
        <v>-175</v>
      </c>
      <c r="I21" s="38">
        <f>+H21</f>
        <v>-175</v>
      </c>
      <c r="J21" s="38">
        <f>+I21</f>
        <v>-175</v>
      </c>
      <c r="K21" s="38">
        <f>+J21</f>
        <v>-175</v>
      </c>
      <c r="L21" s="38">
        <f>+K21</f>
        <v>-175</v>
      </c>
      <c r="M21" s="38">
        <f>+L21</f>
        <v>-175</v>
      </c>
    </row>
    <row r="22" spans="1:13" x14ac:dyDescent="0.25">
      <c r="B22" t="s">
        <v>113</v>
      </c>
      <c r="D22" s="38">
        <v>-73</v>
      </c>
      <c r="E22" s="38">
        <f>+D22</f>
        <v>-73</v>
      </c>
      <c r="F22" s="38">
        <f t="shared" ref="F22:M22" si="3">+E22</f>
        <v>-73</v>
      </c>
      <c r="G22" s="38">
        <f t="shared" si="3"/>
        <v>-73</v>
      </c>
      <c r="H22" s="38">
        <f t="shared" si="3"/>
        <v>-73</v>
      </c>
      <c r="I22" s="38">
        <f t="shared" si="3"/>
        <v>-73</v>
      </c>
      <c r="J22" s="38">
        <f t="shared" si="3"/>
        <v>-73</v>
      </c>
      <c r="K22" s="38">
        <f t="shared" si="3"/>
        <v>-73</v>
      </c>
      <c r="L22" s="38">
        <f t="shared" si="3"/>
        <v>-73</v>
      </c>
      <c r="M22" s="38">
        <f t="shared" si="3"/>
        <v>-73</v>
      </c>
    </row>
    <row r="23" spans="1:13" x14ac:dyDescent="0.25">
      <c r="C23" s="1" t="s">
        <v>10</v>
      </c>
      <c r="D23" s="50">
        <f>+D22+D21+D20</f>
        <v>6935</v>
      </c>
      <c r="E23" s="50">
        <f t="shared" ref="E23:M23" si="4">+E22+E21+E20</f>
        <v>6729</v>
      </c>
      <c r="F23" s="50">
        <f t="shared" si="4"/>
        <v>6854</v>
      </c>
      <c r="G23" s="50">
        <f t="shared" si="4"/>
        <v>6960</v>
      </c>
      <c r="H23" s="50">
        <f t="shared" si="4"/>
        <v>7047</v>
      </c>
      <c r="I23" s="50">
        <f t="shared" si="4"/>
        <v>7134</v>
      </c>
      <c r="J23" s="50">
        <f t="shared" si="4"/>
        <v>7200</v>
      </c>
      <c r="K23" s="50">
        <f t="shared" si="4"/>
        <v>7281</v>
      </c>
      <c r="L23" s="50">
        <f t="shared" si="4"/>
        <v>7369</v>
      </c>
      <c r="M23" s="50">
        <f t="shared" si="4"/>
        <v>7392</v>
      </c>
    </row>
    <row r="24" spans="1:13" x14ac:dyDescent="0.25"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t="s">
        <v>102</v>
      </c>
      <c r="D25" s="38">
        <v>921</v>
      </c>
      <c r="E25" s="38">
        <v>894</v>
      </c>
      <c r="F25" s="38">
        <v>910</v>
      </c>
      <c r="G25" s="38">
        <v>924</v>
      </c>
      <c r="H25" s="38">
        <v>935</v>
      </c>
      <c r="I25" s="38">
        <v>947</v>
      </c>
      <c r="J25" s="38">
        <v>955</v>
      </c>
      <c r="K25" s="38">
        <v>966</v>
      </c>
      <c r="L25" s="38">
        <v>977</v>
      </c>
      <c r="M25" s="38">
        <v>980</v>
      </c>
    </row>
    <row r="26" spans="1:13" x14ac:dyDescent="0.25"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x14ac:dyDescent="0.25">
      <c r="C27" s="1" t="s">
        <v>12</v>
      </c>
      <c r="D27" s="50">
        <f t="shared" ref="D27:M27" si="5">+D25+D23</f>
        <v>7856</v>
      </c>
      <c r="E27" s="50">
        <f t="shared" si="5"/>
        <v>7623</v>
      </c>
      <c r="F27" s="50">
        <f t="shared" si="5"/>
        <v>7764</v>
      </c>
      <c r="G27" s="50">
        <f t="shared" si="5"/>
        <v>7884</v>
      </c>
      <c r="H27" s="50">
        <f t="shared" si="5"/>
        <v>7982</v>
      </c>
      <c r="I27" s="50">
        <f t="shared" si="5"/>
        <v>8081</v>
      </c>
      <c r="J27" s="50">
        <f t="shared" si="5"/>
        <v>8155</v>
      </c>
      <c r="K27" s="50">
        <f t="shared" si="5"/>
        <v>8247</v>
      </c>
      <c r="L27" s="50">
        <f t="shared" si="5"/>
        <v>8346</v>
      </c>
      <c r="M27" s="50">
        <f t="shared" si="5"/>
        <v>8372</v>
      </c>
    </row>
    <row r="28" spans="1:13" x14ac:dyDescent="0.25">
      <c r="C28" s="1" t="s">
        <v>13</v>
      </c>
      <c r="D28" s="50">
        <f t="shared" ref="D28:M28" si="6">+D18-D27</f>
        <v>-823</v>
      </c>
      <c r="E28" s="50">
        <f t="shared" si="6"/>
        <v>-744</v>
      </c>
      <c r="F28" s="50">
        <f t="shared" si="6"/>
        <v>-789</v>
      </c>
      <c r="G28" s="50">
        <f t="shared" si="6"/>
        <v>-854</v>
      </c>
      <c r="H28" s="50">
        <f t="shared" si="6"/>
        <v>-957</v>
      </c>
      <c r="I28" s="50">
        <f t="shared" si="6"/>
        <v>-1064</v>
      </c>
      <c r="J28" s="50">
        <f t="shared" si="6"/>
        <v>-694</v>
      </c>
      <c r="K28" s="50">
        <f t="shared" si="6"/>
        <v>-796</v>
      </c>
      <c r="L28" s="50">
        <f t="shared" si="6"/>
        <v>-908</v>
      </c>
      <c r="M28" s="50">
        <f t="shared" si="6"/>
        <v>-977</v>
      </c>
    </row>
    <row r="29" spans="1:13" x14ac:dyDescent="0.25">
      <c r="C29" s="1" t="s">
        <v>14</v>
      </c>
      <c r="D29" s="53">
        <f>(D28+D25)/D23</f>
        <v>1.4131218457101658E-2</v>
      </c>
      <c r="E29" s="53">
        <f t="shared" ref="E29:M29" si="7">(E28+E25)/E23</f>
        <v>2.229157378510923E-2</v>
      </c>
      <c r="F29" s="53">
        <f t="shared" si="7"/>
        <v>1.7653924715494602E-2</v>
      </c>
      <c r="G29" s="53">
        <f t="shared" si="7"/>
        <v>1.0057471264367816E-2</v>
      </c>
      <c r="H29" s="53">
        <f t="shared" si="7"/>
        <v>-3.1218958422023556E-3</v>
      </c>
      <c r="I29" s="53">
        <f t="shared" si="7"/>
        <v>-1.6400336417157275E-2</v>
      </c>
      <c r="J29" s="53">
        <f t="shared" si="7"/>
        <v>3.6249999999999998E-2</v>
      </c>
      <c r="K29" s="53">
        <f t="shared" si="7"/>
        <v>2.334844114819393E-2</v>
      </c>
      <c r="L29" s="53">
        <f t="shared" si="7"/>
        <v>9.3635500067851818E-3</v>
      </c>
      <c r="M29" s="53">
        <f t="shared" si="7"/>
        <v>4.0584415584415587E-4</v>
      </c>
    </row>
    <row r="31" spans="1:13" x14ac:dyDescent="0.25">
      <c r="A31" s="76" t="s">
        <v>32</v>
      </c>
      <c r="B31" s="76"/>
      <c r="C31" s="76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t="s">
        <v>1</v>
      </c>
      <c r="D32" s="38">
        <v>2495</v>
      </c>
      <c r="E32" s="38">
        <v>2251</v>
      </c>
      <c r="F32" s="38">
        <v>2248</v>
      </c>
      <c r="G32" s="38">
        <v>2248</v>
      </c>
      <c r="H32" s="38">
        <v>2248</v>
      </c>
      <c r="I32" s="38">
        <v>2248</v>
      </c>
      <c r="J32" s="38">
        <v>2245</v>
      </c>
      <c r="K32" s="38">
        <v>2241</v>
      </c>
      <c r="L32" s="38">
        <v>2239</v>
      </c>
      <c r="M32" s="38">
        <v>2239</v>
      </c>
    </row>
    <row r="33" spans="1:27" x14ac:dyDescent="0.25">
      <c r="A33" t="s">
        <v>98</v>
      </c>
      <c r="D33" s="38">
        <v>777</v>
      </c>
      <c r="E33" s="38">
        <v>770</v>
      </c>
      <c r="F33" s="38">
        <v>752</v>
      </c>
      <c r="G33" s="38">
        <v>775</v>
      </c>
      <c r="H33" s="38">
        <v>725</v>
      </c>
      <c r="I33" s="38">
        <v>728</v>
      </c>
      <c r="J33" s="38">
        <v>643</v>
      </c>
      <c r="K33" s="38">
        <v>620</v>
      </c>
      <c r="L33" s="38">
        <v>652</v>
      </c>
      <c r="M33" s="38">
        <v>646</v>
      </c>
    </row>
    <row r="34" spans="1:27" x14ac:dyDescent="0.25">
      <c r="A34" t="s">
        <v>4</v>
      </c>
      <c r="D34" s="38">
        <v>170</v>
      </c>
      <c r="E34" s="38">
        <v>170</v>
      </c>
      <c r="F34" s="38">
        <f>+E34</f>
        <v>170</v>
      </c>
      <c r="G34" s="38">
        <f>+F34</f>
        <v>170</v>
      </c>
      <c r="H34" s="38">
        <f>+G34</f>
        <v>170</v>
      </c>
      <c r="I34" s="38">
        <f>+H34</f>
        <v>170</v>
      </c>
      <c r="J34" s="38">
        <f>+I34</f>
        <v>170</v>
      </c>
      <c r="K34" s="38">
        <v>115</v>
      </c>
      <c r="L34" s="38">
        <v>115</v>
      </c>
      <c r="M34" s="38">
        <v>105</v>
      </c>
    </row>
    <row r="35" spans="1:27" x14ac:dyDescent="0.25">
      <c r="A35" t="s">
        <v>5</v>
      </c>
      <c r="D35" s="38">
        <v>191</v>
      </c>
      <c r="E35" s="38">
        <v>22</v>
      </c>
      <c r="F35" s="38">
        <v>22</v>
      </c>
      <c r="G35" s="38">
        <v>22</v>
      </c>
      <c r="H35" s="38">
        <v>5</v>
      </c>
      <c r="I35" s="38">
        <v>5</v>
      </c>
      <c r="J35" s="38">
        <v>5</v>
      </c>
      <c r="K35" s="38">
        <v>5</v>
      </c>
      <c r="L35" s="38">
        <v>5</v>
      </c>
      <c r="M35" s="38">
        <v>5</v>
      </c>
    </row>
    <row r="36" spans="1:27" x14ac:dyDescent="0.25">
      <c r="A36" t="s">
        <v>97</v>
      </c>
      <c r="D36" s="38">
        <v>116</v>
      </c>
      <c r="E36" s="38">
        <v>114</v>
      </c>
      <c r="F36" s="38">
        <v>140</v>
      </c>
      <c r="G36" s="38">
        <v>135</v>
      </c>
      <c r="H36" s="38">
        <v>134</v>
      </c>
      <c r="I36" s="38">
        <v>120</v>
      </c>
      <c r="J36" s="38">
        <v>120</v>
      </c>
      <c r="K36" s="38">
        <v>120</v>
      </c>
      <c r="L36" s="38">
        <v>115</v>
      </c>
      <c r="M36" s="38">
        <v>115</v>
      </c>
    </row>
    <row r="37" spans="1:27" x14ac:dyDescent="0.25">
      <c r="A37" t="s">
        <v>114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27" x14ac:dyDescent="0.25">
      <c r="A38" t="s">
        <v>9</v>
      </c>
      <c r="D38" s="38">
        <v>-210</v>
      </c>
      <c r="E38" s="38">
        <v>-160</v>
      </c>
      <c r="F38" s="38">
        <v>-160</v>
      </c>
      <c r="G38" s="38">
        <v>-160</v>
      </c>
      <c r="H38" s="38">
        <v>-160</v>
      </c>
      <c r="I38" s="38">
        <v>-160</v>
      </c>
      <c r="J38" s="38">
        <v>-156</v>
      </c>
      <c r="K38" s="38">
        <v>-105</v>
      </c>
      <c r="L38" s="38">
        <v>-105</v>
      </c>
      <c r="M38" s="38">
        <v>-78</v>
      </c>
      <c r="R38">
        <f t="shared" ref="R38:AA38" si="8">+D7</f>
        <v>2015</v>
      </c>
      <c r="S38">
        <f t="shared" si="8"/>
        <v>2016</v>
      </c>
      <c r="T38">
        <f t="shared" si="8"/>
        <v>2017</v>
      </c>
      <c r="U38">
        <f t="shared" si="8"/>
        <v>2018</v>
      </c>
      <c r="V38">
        <f t="shared" si="8"/>
        <v>2019</v>
      </c>
      <c r="W38">
        <f t="shared" si="8"/>
        <v>2020</v>
      </c>
      <c r="X38">
        <f t="shared" si="8"/>
        <v>2021</v>
      </c>
      <c r="Y38">
        <f t="shared" si="8"/>
        <v>2022</v>
      </c>
      <c r="Z38">
        <f t="shared" si="8"/>
        <v>2023</v>
      </c>
      <c r="AA38">
        <f t="shared" si="8"/>
        <v>2024</v>
      </c>
    </row>
    <row r="39" spans="1:27" x14ac:dyDescent="0.25">
      <c r="A39" t="s">
        <v>99</v>
      </c>
      <c r="D39" s="38">
        <v>-3</v>
      </c>
      <c r="E39" s="38">
        <f>+D39</f>
        <v>-3</v>
      </c>
      <c r="F39" s="38">
        <f t="shared" ref="F39:M39" si="9">+E39</f>
        <v>-3</v>
      </c>
      <c r="G39" s="38">
        <f t="shared" si="9"/>
        <v>-3</v>
      </c>
      <c r="H39" s="38">
        <f t="shared" si="9"/>
        <v>-3</v>
      </c>
      <c r="I39" s="38">
        <f t="shared" si="9"/>
        <v>-3</v>
      </c>
      <c r="J39" s="38">
        <f t="shared" si="9"/>
        <v>-3</v>
      </c>
      <c r="K39" s="38">
        <f t="shared" si="9"/>
        <v>-3</v>
      </c>
      <c r="L39" s="38">
        <f t="shared" si="9"/>
        <v>-3</v>
      </c>
      <c r="M39" s="38">
        <f t="shared" si="9"/>
        <v>-3</v>
      </c>
    </row>
    <row r="40" spans="1:27" x14ac:dyDescent="0.25">
      <c r="A40" t="s">
        <v>40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O40" t="str">
        <f>+C27</f>
        <v>East Obligation + Reserves</v>
      </c>
      <c r="R40" s="6">
        <f>+D27</f>
        <v>7856</v>
      </c>
      <c r="S40" s="6">
        <f t="shared" ref="S40:AA40" si="10">+E27</f>
        <v>7623</v>
      </c>
      <c r="T40" s="6">
        <f t="shared" si="10"/>
        <v>7764</v>
      </c>
      <c r="U40" s="6">
        <f t="shared" si="10"/>
        <v>7884</v>
      </c>
      <c r="V40" s="6">
        <f t="shared" si="10"/>
        <v>7982</v>
      </c>
      <c r="W40" s="6">
        <f t="shared" si="10"/>
        <v>8081</v>
      </c>
      <c r="X40" s="6">
        <f t="shared" si="10"/>
        <v>8155</v>
      </c>
      <c r="Y40" s="6">
        <f t="shared" si="10"/>
        <v>8247</v>
      </c>
      <c r="Z40" s="6">
        <f t="shared" si="10"/>
        <v>8346</v>
      </c>
      <c r="AA40" s="6">
        <f t="shared" si="10"/>
        <v>8372</v>
      </c>
    </row>
    <row r="41" spans="1:27" x14ac:dyDescent="0.25">
      <c r="C41" s="1" t="s">
        <v>15</v>
      </c>
      <c r="D41" s="50">
        <f t="shared" ref="D41:M41" si="11">SUM(D32:D40)</f>
        <v>3536</v>
      </c>
      <c r="E41" s="50">
        <f t="shared" si="11"/>
        <v>3164</v>
      </c>
      <c r="F41" s="50">
        <f t="shared" si="11"/>
        <v>3169</v>
      </c>
      <c r="G41" s="50">
        <f t="shared" si="11"/>
        <v>3187</v>
      </c>
      <c r="H41" s="50">
        <f t="shared" si="11"/>
        <v>3119</v>
      </c>
      <c r="I41" s="50">
        <f t="shared" si="11"/>
        <v>3108</v>
      </c>
      <c r="J41" s="50">
        <f t="shared" si="11"/>
        <v>3024</v>
      </c>
      <c r="K41" s="50">
        <f t="shared" si="11"/>
        <v>2993</v>
      </c>
      <c r="L41" s="50">
        <f t="shared" si="11"/>
        <v>3018</v>
      </c>
      <c r="M41" s="50">
        <f t="shared" si="11"/>
        <v>3029</v>
      </c>
      <c r="S41" s="43">
        <f>(S40-R40)/R40</f>
        <v>-2.9658859470468431E-2</v>
      </c>
      <c r="T41" s="43">
        <f t="shared" ref="T41:AA41" si="12">(T40-S40)/S40</f>
        <v>1.8496654860291225E-2</v>
      </c>
      <c r="U41" s="43">
        <f t="shared" si="12"/>
        <v>1.5455950540958269E-2</v>
      </c>
      <c r="V41" s="43">
        <f t="shared" si="12"/>
        <v>1.2430238457635717E-2</v>
      </c>
      <c r="W41" s="29">
        <f t="shared" si="12"/>
        <v>1.2402906539714357E-2</v>
      </c>
      <c r="X41" s="29">
        <f t="shared" si="12"/>
        <v>9.1572825145402794E-3</v>
      </c>
      <c r="Y41" s="29">
        <f t="shared" si="12"/>
        <v>1.1281422440220724E-2</v>
      </c>
      <c r="Z41" s="29">
        <f t="shared" si="12"/>
        <v>1.2004365223717716E-2</v>
      </c>
      <c r="AA41" s="29">
        <f t="shared" si="12"/>
        <v>3.1152647975077881E-3</v>
      </c>
    </row>
    <row r="42" spans="1:27" x14ac:dyDescent="0.25">
      <c r="D42" s="38"/>
      <c r="E42" s="38"/>
      <c r="F42" s="38"/>
      <c r="G42" s="38"/>
      <c r="H42" s="38"/>
      <c r="I42" s="38"/>
      <c r="J42" s="38"/>
      <c r="K42" s="38"/>
      <c r="L42" s="38"/>
      <c r="M42" s="38"/>
      <c r="S42" s="42"/>
      <c r="T42" s="42"/>
      <c r="U42" s="42"/>
      <c r="V42" s="42"/>
    </row>
    <row r="43" spans="1:27" x14ac:dyDescent="0.25">
      <c r="A43" t="s">
        <v>8</v>
      </c>
      <c r="D43" s="38">
        <v>3206</v>
      </c>
      <c r="E43" s="38">
        <v>3237</v>
      </c>
      <c r="F43" s="38">
        <v>3271</v>
      </c>
      <c r="G43" s="38">
        <v>3301</v>
      </c>
      <c r="H43" s="38">
        <v>3323</v>
      </c>
      <c r="I43" s="38">
        <v>3354</v>
      </c>
      <c r="J43" s="38">
        <v>3406</v>
      </c>
      <c r="K43" s="38">
        <v>3429</v>
      </c>
      <c r="L43" s="38">
        <v>3455</v>
      </c>
      <c r="M43" s="38">
        <v>3476</v>
      </c>
      <c r="O43" t="str">
        <f>+C50</f>
        <v>West Obligation + Reserves</v>
      </c>
      <c r="R43" s="6">
        <f t="shared" ref="R43:AA43" si="13">+D50</f>
        <v>3582</v>
      </c>
      <c r="S43" s="24">
        <f t="shared" si="13"/>
        <v>3617</v>
      </c>
      <c r="T43" s="24">
        <f t="shared" si="13"/>
        <v>3656</v>
      </c>
      <c r="U43" s="24">
        <f t="shared" si="13"/>
        <v>3689</v>
      </c>
      <c r="V43" s="24">
        <f t="shared" si="13"/>
        <v>3714</v>
      </c>
      <c r="W43" s="6">
        <f t="shared" si="13"/>
        <v>3749</v>
      </c>
      <c r="X43" s="6">
        <f t="shared" si="13"/>
        <v>3808</v>
      </c>
      <c r="Y43" s="6">
        <f t="shared" si="13"/>
        <v>3834</v>
      </c>
      <c r="Z43" s="6">
        <f t="shared" si="13"/>
        <v>3863</v>
      </c>
      <c r="AA43" s="6">
        <f t="shared" si="13"/>
        <v>3887</v>
      </c>
    </row>
    <row r="44" spans="1:27" x14ac:dyDescent="0.25">
      <c r="B44" t="s">
        <v>100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S44" s="43">
        <f>(S43-R43)/R43</f>
        <v>9.7710776102735899E-3</v>
      </c>
      <c r="T44" s="43">
        <f t="shared" ref="T44:AA44" si="14">(T43-S43)/S43</f>
        <v>1.0782416367155101E-2</v>
      </c>
      <c r="U44" s="43">
        <f t="shared" si="14"/>
        <v>9.0262582056892787E-3</v>
      </c>
      <c r="V44" s="43">
        <f t="shared" si="14"/>
        <v>6.776904310111141E-3</v>
      </c>
      <c r="W44" s="29">
        <f t="shared" si="14"/>
        <v>9.4238018309100707E-3</v>
      </c>
      <c r="X44" s="29">
        <f t="shared" si="14"/>
        <v>1.5737530008002133E-2</v>
      </c>
      <c r="Y44" s="29">
        <f t="shared" si="14"/>
        <v>6.8277310924369748E-3</v>
      </c>
      <c r="Z44" s="29">
        <f t="shared" si="14"/>
        <v>7.5639019300991128E-3</v>
      </c>
      <c r="AA44" s="29">
        <f t="shared" si="14"/>
        <v>6.2127879886098884E-3</v>
      </c>
    </row>
    <row r="45" spans="1:27" x14ac:dyDescent="0.25">
      <c r="B45" t="s">
        <v>113</v>
      </c>
      <c r="D45" s="38">
        <v>-36</v>
      </c>
      <c r="E45" s="38">
        <f>+D45</f>
        <v>-36</v>
      </c>
      <c r="F45" s="38">
        <f t="shared" ref="F45:M45" si="15">+E45</f>
        <v>-36</v>
      </c>
      <c r="G45" s="38">
        <f t="shared" si="15"/>
        <v>-36</v>
      </c>
      <c r="H45" s="38">
        <f t="shared" si="15"/>
        <v>-36</v>
      </c>
      <c r="I45" s="38">
        <f t="shared" si="15"/>
        <v>-36</v>
      </c>
      <c r="J45" s="38">
        <f t="shared" si="15"/>
        <v>-36</v>
      </c>
      <c r="K45" s="38">
        <f t="shared" si="15"/>
        <v>-36</v>
      </c>
      <c r="L45" s="38">
        <f t="shared" si="15"/>
        <v>-36</v>
      </c>
      <c r="M45" s="38">
        <f t="shared" si="15"/>
        <v>-36</v>
      </c>
      <c r="S45" s="42"/>
      <c r="T45" s="42"/>
      <c r="U45" s="42"/>
      <c r="V45" s="42"/>
    </row>
    <row r="46" spans="1:27" x14ac:dyDescent="0.25">
      <c r="C46" s="1" t="s">
        <v>16</v>
      </c>
      <c r="D46" s="50">
        <f>+D45+D44+D43</f>
        <v>3170</v>
      </c>
      <c r="E46" s="50">
        <f t="shared" ref="E46:M46" si="16">+E45+E44+E43</f>
        <v>3201</v>
      </c>
      <c r="F46" s="50">
        <f t="shared" si="16"/>
        <v>3235</v>
      </c>
      <c r="G46" s="50">
        <f t="shared" si="16"/>
        <v>3265</v>
      </c>
      <c r="H46" s="50">
        <f t="shared" si="16"/>
        <v>3287</v>
      </c>
      <c r="I46" s="50">
        <f t="shared" si="16"/>
        <v>3318</v>
      </c>
      <c r="J46" s="50">
        <f t="shared" si="16"/>
        <v>3370</v>
      </c>
      <c r="K46" s="50">
        <f t="shared" si="16"/>
        <v>3393</v>
      </c>
      <c r="L46" s="50">
        <f t="shared" si="16"/>
        <v>3419</v>
      </c>
      <c r="M46" s="50">
        <f t="shared" si="16"/>
        <v>3440</v>
      </c>
      <c r="O46" t="str">
        <f>+C59</f>
        <v>Obligation + Reserves</v>
      </c>
      <c r="R46" s="6">
        <f>+D59</f>
        <v>11438</v>
      </c>
      <c r="S46" s="24">
        <f t="shared" ref="S46:AA46" si="17">+E59</f>
        <v>11240</v>
      </c>
      <c r="T46" s="24">
        <f t="shared" si="17"/>
        <v>11420</v>
      </c>
      <c r="U46" s="24">
        <f t="shared" si="17"/>
        <v>11573</v>
      </c>
      <c r="V46" s="24">
        <f t="shared" si="17"/>
        <v>11696</v>
      </c>
      <c r="W46" s="6">
        <f t="shared" si="17"/>
        <v>11830</v>
      </c>
      <c r="X46" s="6">
        <f t="shared" si="17"/>
        <v>11963</v>
      </c>
      <c r="Y46" s="6">
        <f t="shared" si="17"/>
        <v>12081</v>
      </c>
      <c r="Z46" s="6">
        <f t="shared" si="17"/>
        <v>12209</v>
      </c>
      <c r="AA46" s="6">
        <f t="shared" si="17"/>
        <v>12259</v>
      </c>
    </row>
    <row r="47" spans="1:27" x14ac:dyDescent="0.25">
      <c r="D47" s="38"/>
      <c r="E47" s="38"/>
      <c r="F47" s="38"/>
      <c r="G47" s="38"/>
      <c r="H47" s="38"/>
      <c r="I47" s="38"/>
      <c r="J47" s="38"/>
      <c r="K47" s="38"/>
      <c r="L47" s="38"/>
      <c r="M47" s="38"/>
      <c r="S47" s="43">
        <f>(S46-R46)/R46</f>
        <v>-1.7310718657107885E-2</v>
      </c>
      <c r="T47" s="43">
        <f t="shared" ref="T47:AA47" si="18">(T46-S46)/S46</f>
        <v>1.601423487544484E-2</v>
      </c>
      <c r="U47" s="43">
        <f t="shared" si="18"/>
        <v>1.3397548161120841E-2</v>
      </c>
      <c r="V47" s="43">
        <f t="shared" si="18"/>
        <v>1.0628186295688239E-2</v>
      </c>
      <c r="W47" s="29">
        <f t="shared" si="18"/>
        <v>1.1456908344733242E-2</v>
      </c>
      <c r="X47" s="29">
        <f t="shared" si="18"/>
        <v>1.1242603550295858E-2</v>
      </c>
      <c r="Y47" s="29">
        <f t="shared" si="18"/>
        <v>9.8637465518682608E-3</v>
      </c>
      <c r="Z47" s="29">
        <f t="shared" si="18"/>
        <v>1.0595149408161576E-2</v>
      </c>
      <c r="AA47" s="29">
        <f t="shared" si="18"/>
        <v>4.0953395036448523E-3</v>
      </c>
    </row>
    <row r="48" spans="1:27" x14ac:dyDescent="0.25">
      <c r="A48" t="s">
        <v>101</v>
      </c>
      <c r="D48" s="38">
        <v>412</v>
      </c>
      <c r="E48" s="38">
        <v>416</v>
      </c>
      <c r="F48" s="38">
        <v>421</v>
      </c>
      <c r="G48" s="38">
        <v>424</v>
      </c>
      <c r="H48" s="38">
        <v>427</v>
      </c>
      <c r="I48" s="38">
        <v>431</v>
      </c>
      <c r="J48" s="38">
        <v>438</v>
      </c>
      <c r="K48" s="38">
        <v>441</v>
      </c>
      <c r="L48" s="38">
        <v>444</v>
      </c>
      <c r="M48" s="38">
        <v>447</v>
      </c>
    </row>
    <row r="49" spans="1:22" x14ac:dyDescent="0.25"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22" x14ac:dyDescent="0.25">
      <c r="C50" s="1" t="s">
        <v>18</v>
      </c>
      <c r="D50" s="50">
        <f>+D48+D46</f>
        <v>3582</v>
      </c>
      <c r="E50" s="50">
        <f t="shared" ref="E50:M50" si="19">+E48+E46</f>
        <v>3617</v>
      </c>
      <c r="F50" s="50">
        <f t="shared" si="19"/>
        <v>3656</v>
      </c>
      <c r="G50" s="50">
        <f t="shared" si="19"/>
        <v>3689</v>
      </c>
      <c r="H50" s="50">
        <f t="shared" si="19"/>
        <v>3714</v>
      </c>
      <c r="I50" s="50">
        <f t="shared" si="19"/>
        <v>3749</v>
      </c>
      <c r="J50" s="50">
        <f t="shared" si="19"/>
        <v>3808</v>
      </c>
      <c r="K50" s="50">
        <f t="shared" si="19"/>
        <v>3834</v>
      </c>
      <c r="L50" s="50">
        <f t="shared" si="19"/>
        <v>3863</v>
      </c>
      <c r="M50" s="50">
        <f t="shared" si="19"/>
        <v>3887</v>
      </c>
    </row>
    <row r="51" spans="1:22" x14ac:dyDescent="0.25">
      <c r="C51" s="1" t="s">
        <v>19</v>
      </c>
      <c r="D51" s="50">
        <f>+D41-D50</f>
        <v>-46</v>
      </c>
      <c r="E51" s="50">
        <f t="shared" ref="E51:M51" si="20">+E41-E50</f>
        <v>-453</v>
      </c>
      <c r="F51" s="50">
        <f t="shared" si="20"/>
        <v>-487</v>
      </c>
      <c r="G51" s="50">
        <f t="shared" si="20"/>
        <v>-502</v>
      </c>
      <c r="H51" s="50">
        <f t="shared" si="20"/>
        <v>-595</v>
      </c>
      <c r="I51" s="50">
        <f t="shared" si="20"/>
        <v>-641</v>
      </c>
      <c r="J51" s="50">
        <f t="shared" si="20"/>
        <v>-784</v>
      </c>
      <c r="K51" s="50">
        <f t="shared" si="20"/>
        <v>-841</v>
      </c>
      <c r="L51" s="50">
        <f t="shared" si="20"/>
        <v>-845</v>
      </c>
      <c r="M51" s="50">
        <f t="shared" si="20"/>
        <v>-858</v>
      </c>
    </row>
    <row r="52" spans="1:22" x14ac:dyDescent="0.25">
      <c r="C52" s="1" t="s">
        <v>20</v>
      </c>
      <c r="D52" s="53">
        <f>(D51+D48)/D46</f>
        <v>0.11545741324921135</v>
      </c>
      <c r="E52" s="53">
        <f t="shared" ref="E52:M52" si="21">(E51+E48)/E46</f>
        <v>-1.1558887847547642E-2</v>
      </c>
      <c r="F52" s="53">
        <f t="shared" si="21"/>
        <v>-2.0401854714064915E-2</v>
      </c>
      <c r="G52" s="53">
        <f t="shared" si="21"/>
        <v>-2.3889739663093414E-2</v>
      </c>
      <c r="H52" s="53">
        <f t="shared" si="21"/>
        <v>-5.1110435047155463E-2</v>
      </c>
      <c r="I52" s="53">
        <f t="shared" si="21"/>
        <v>-6.3291139240506333E-2</v>
      </c>
      <c r="J52" s="53">
        <f t="shared" si="21"/>
        <v>-0.1026706231454006</v>
      </c>
      <c r="K52" s="53">
        <f t="shared" si="21"/>
        <v>-0.11788977306218686</v>
      </c>
      <c r="L52" s="53">
        <f t="shared" si="21"/>
        <v>-0.11728575606902603</v>
      </c>
      <c r="M52" s="53">
        <f t="shared" si="21"/>
        <v>-0.11947674418604651</v>
      </c>
    </row>
    <row r="53" spans="1:22" x14ac:dyDescent="0.25">
      <c r="C53" s="1"/>
    </row>
    <row r="54" spans="1:22" x14ac:dyDescent="0.25">
      <c r="A54" s="76" t="s">
        <v>34</v>
      </c>
      <c r="B54" s="76"/>
      <c r="C54" s="76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22" x14ac:dyDescent="0.25">
      <c r="C55" s="1" t="s">
        <v>21</v>
      </c>
      <c r="D55" s="51">
        <f>+D18+D41</f>
        <v>10569</v>
      </c>
      <c r="E55" s="51">
        <f t="shared" ref="E55:M55" si="22">+E18+E41</f>
        <v>10043</v>
      </c>
      <c r="F55" s="51">
        <f t="shared" si="22"/>
        <v>10144</v>
      </c>
      <c r="G55" s="51">
        <f t="shared" si="22"/>
        <v>10217</v>
      </c>
      <c r="H55" s="51">
        <f t="shared" si="22"/>
        <v>10144</v>
      </c>
      <c r="I55" s="51">
        <f t="shared" si="22"/>
        <v>10125</v>
      </c>
      <c r="J55" s="51">
        <f t="shared" si="22"/>
        <v>10485</v>
      </c>
      <c r="K55" s="51">
        <f t="shared" si="22"/>
        <v>10444</v>
      </c>
      <c r="L55" s="51">
        <f t="shared" si="22"/>
        <v>10456</v>
      </c>
      <c r="M55" s="51">
        <f t="shared" si="22"/>
        <v>10424</v>
      </c>
      <c r="N55" s="18">
        <f>RATE(9,,-D55,M55)</f>
        <v>-1.5337501794452423E-3</v>
      </c>
    </row>
    <row r="56" spans="1:22" x14ac:dyDescent="0.25">
      <c r="C56" s="1" t="s">
        <v>35</v>
      </c>
      <c r="D56" s="51">
        <f>+D40+D17</f>
        <v>0</v>
      </c>
      <c r="E56" s="51">
        <f t="shared" ref="E56:M56" si="23">+E40+E17</f>
        <v>0</v>
      </c>
      <c r="F56" s="51">
        <f t="shared" si="23"/>
        <v>0</v>
      </c>
      <c r="G56" s="51">
        <f t="shared" si="23"/>
        <v>0</v>
      </c>
      <c r="H56" s="51">
        <f t="shared" si="23"/>
        <v>0</v>
      </c>
      <c r="I56" s="51">
        <f t="shared" si="23"/>
        <v>0</v>
      </c>
      <c r="J56" s="51">
        <f t="shared" si="23"/>
        <v>0</v>
      </c>
      <c r="K56" s="51">
        <f t="shared" si="23"/>
        <v>0</v>
      </c>
      <c r="L56" s="51">
        <f t="shared" si="23"/>
        <v>0</v>
      </c>
      <c r="M56" s="51">
        <f t="shared" si="23"/>
        <v>0</v>
      </c>
    </row>
    <row r="57" spans="1:22" x14ac:dyDescent="0.25">
      <c r="C57" s="1" t="s">
        <v>36</v>
      </c>
      <c r="D57" s="51">
        <f>+D46+D23</f>
        <v>10105</v>
      </c>
      <c r="E57" s="51">
        <f t="shared" ref="E57:M57" si="24">+E46+E23</f>
        <v>9930</v>
      </c>
      <c r="F57" s="51">
        <f t="shared" si="24"/>
        <v>10089</v>
      </c>
      <c r="G57" s="51">
        <f t="shared" si="24"/>
        <v>10225</v>
      </c>
      <c r="H57" s="51">
        <f t="shared" si="24"/>
        <v>10334</v>
      </c>
      <c r="I57" s="51">
        <f t="shared" si="24"/>
        <v>10452</v>
      </c>
      <c r="J57" s="51">
        <f t="shared" si="24"/>
        <v>10570</v>
      </c>
      <c r="K57" s="51">
        <f t="shared" si="24"/>
        <v>10674</v>
      </c>
      <c r="L57" s="51">
        <f t="shared" si="24"/>
        <v>10788</v>
      </c>
      <c r="M57" s="51">
        <f t="shared" si="24"/>
        <v>10832</v>
      </c>
      <c r="N57" s="18">
        <f>RATE(9,,-D57,M57)</f>
        <v>7.7492451035018799E-3</v>
      </c>
    </row>
    <row r="58" spans="1:22" x14ac:dyDescent="0.25">
      <c r="C58" s="1" t="s">
        <v>22</v>
      </c>
      <c r="D58" s="51">
        <f>+D25+D48</f>
        <v>1333</v>
      </c>
      <c r="E58" s="51">
        <f t="shared" ref="E58:M58" si="25">+E25+E48</f>
        <v>1310</v>
      </c>
      <c r="F58" s="51">
        <f t="shared" si="25"/>
        <v>1331</v>
      </c>
      <c r="G58" s="51">
        <f t="shared" si="25"/>
        <v>1348</v>
      </c>
      <c r="H58" s="51">
        <f t="shared" si="25"/>
        <v>1362</v>
      </c>
      <c r="I58" s="51">
        <f t="shared" si="25"/>
        <v>1378</v>
      </c>
      <c r="J58" s="51">
        <f t="shared" si="25"/>
        <v>1393</v>
      </c>
      <c r="K58" s="51">
        <f t="shared" si="25"/>
        <v>1407</v>
      </c>
      <c r="L58" s="51">
        <f t="shared" si="25"/>
        <v>1421</v>
      </c>
      <c r="M58" s="51">
        <f t="shared" si="25"/>
        <v>1427</v>
      </c>
    </row>
    <row r="59" spans="1:22" x14ac:dyDescent="0.25">
      <c r="C59" s="1" t="s">
        <v>37</v>
      </c>
      <c r="D59" s="51">
        <f>+D58+D57</f>
        <v>11438</v>
      </c>
      <c r="E59" s="51">
        <f t="shared" ref="E59:M59" si="26">+E58+E57</f>
        <v>11240</v>
      </c>
      <c r="F59" s="51">
        <f t="shared" si="26"/>
        <v>11420</v>
      </c>
      <c r="G59" s="51">
        <f t="shared" si="26"/>
        <v>11573</v>
      </c>
      <c r="H59" s="51">
        <f t="shared" si="26"/>
        <v>11696</v>
      </c>
      <c r="I59" s="51">
        <f t="shared" si="26"/>
        <v>11830</v>
      </c>
      <c r="J59" s="51">
        <f t="shared" si="26"/>
        <v>11963</v>
      </c>
      <c r="K59" s="51">
        <f t="shared" si="26"/>
        <v>12081</v>
      </c>
      <c r="L59" s="51">
        <f t="shared" si="26"/>
        <v>12209</v>
      </c>
      <c r="M59" s="51">
        <f t="shared" si="26"/>
        <v>12259</v>
      </c>
    </row>
    <row r="60" spans="1:22" x14ac:dyDescent="0.25">
      <c r="C60" s="1" t="s">
        <v>38</v>
      </c>
      <c r="D60" s="51">
        <f>+D55+D56-D59</f>
        <v>-869</v>
      </c>
      <c r="E60" s="51">
        <f t="shared" ref="E60:M60" si="27">+E55+E56-E59</f>
        <v>-1197</v>
      </c>
      <c r="F60" s="51">
        <f t="shared" si="27"/>
        <v>-1276</v>
      </c>
      <c r="G60" s="51">
        <f t="shared" si="27"/>
        <v>-1356</v>
      </c>
      <c r="H60" s="51">
        <f t="shared" si="27"/>
        <v>-1552</v>
      </c>
      <c r="I60" s="51">
        <f t="shared" si="27"/>
        <v>-1705</v>
      </c>
      <c r="J60" s="51">
        <f t="shared" si="27"/>
        <v>-1478</v>
      </c>
      <c r="K60" s="51">
        <f t="shared" si="27"/>
        <v>-1637</v>
      </c>
      <c r="L60" s="51">
        <f t="shared" si="27"/>
        <v>-1753</v>
      </c>
      <c r="M60" s="51">
        <f t="shared" si="27"/>
        <v>-1835</v>
      </c>
    </row>
    <row r="61" spans="1:22" x14ac:dyDescent="0.25">
      <c r="C61" s="1" t="s">
        <v>23</v>
      </c>
      <c r="D61" s="53">
        <f>(D60+D58)/D57</f>
        <v>4.591786244433449E-2</v>
      </c>
      <c r="E61" s="53">
        <f t="shared" ref="E61:M61" si="28">(E60+E58)/E57</f>
        <v>1.1379657603222558E-2</v>
      </c>
      <c r="F61" s="53">
        <f t="shared" si="28"/>
        <v>5.4514818118743189E-3</v>
      </c>
      <c r="G61" s="53">
        <f t="shared" si="28"/>
        <v>-7.8239608801955994E-4</v>
      </c>
      <c r="H61" s="53">
        <f t="shared" si="28"/>
        <v>-1.838591058641378E-2</v>
      </c>
      <c r="I61" s="53">
        <f t="shared" si="28"/>
        <v>-3.1285878300803677E-2</v>
      </c>
      <c r="J61" s="53">
        <f t="shared" si="28"/>
        <v>-8.0416272469252606E-3</v>
      </c>
      <c r="K61" s="53">
        <f t="shared" si="28"/>
        <v>-2.1547685965898445E-2</v>
      </c>
      <c r="L61" s="53">
        <f t="shared" si="28"/>
        <v>-3.0774935113088618E-2</v>
      </c>
      <c r="M61" s="53">
        <f t="shared" si="28"/>
        <v>-3.7666174298375182E-2</v>
      </c>
      <c r="N61" s="42"/>
      <c r="S61" s="31"/>
      <c r="T61" s="31"/>
      <c r="U61" s="31"/>
      <c r="V61" s="31"/>
    </row>
    <row r="63" spans="1:22" x14ac:dyDescent="0.25">
      <c r="A63" t="s">
        <v>68</v>
      </c>
      <c r="E63" s="40">
        <f>+E83</f>
        <v>-4.9768189989592204E-2</v>
      </c>
      <c r="F63" s="40">
        <f t="shared" ref="F63:M63" si="29">+F83</f>
        <v>1.0056755949417505E-2</v>
      </c>
      <c r="G63" s="40">
        <f t="shared" si="29"/>
        <v>7.1963722397476344E-3</v>
      </c>
      <c r="H63" s="40">
        <f t="shared" si="29"/>
        <v>-7.1449544876186748E-3</v>
      </c>
      <c r="I63" s="31">
        <f t="shared" si="29"/>
        <v>-1.8730283911671925E-3</v>
      </c>
      <c r="J63" s="31">
        <f t="shared" si="29"/>
        <v>3.5555555555555556E-2</v>
      </c>
      <c r="K63" s="31">
        <f t="shared" si="29"/>
        <v>-3.9103481163567004E-3</v>
      </c>
      <c r="L63" s="31">
        <f t="shared" si="29"/>
        <v>1.1489850631941786E-3</v>
      </c>
      <c r="M63" s="31">
        <f t="shared" si="29"/>
        <v>-3.06044376434583E-3</v>
      </c>
    </row>
    <row r="64" spans="1:22" x14ac:dyDescent="0.25">
      <c r="D64" s="18"/>
      <c r="E64" s="41"/>
      <c r="F64" s="41"/>
      <c r="G64" s="41"/>
      <c r="H64" s="42"/>
    </row>
    <row r="65" spans="1:26" x14ac:dyDescent="0.25">
      <c r="A65" t="s">
        <v>69</v>
      </c>
      <c r="E65" s="40">
        <f>+E87</f>
        <v>-1.7310718657107885E-2</v>
      </c>
      <c r="F65" s="40">
        <f t="shared" ref="F65:M65" si="30">+F87</f>
        <v>1.601423487544484E-2</v>
      </c>
      <c r="G65" s="40">
        <f t="shared" si="30"/>
        <v>1.3397548161120841E-2</v>
      </c>
      <c r="H65" s="40">
        <f t="shared" si="30"/>
        <v>1.0628186295688239E-2</v>
      </c>
      <c r="I65" s="31">
        <f t="shared" si="30"/>
        <v>1.1456908344733242E-2</v>
      </c>
      <c r="J65" s="31">
        <f t="shared" si="30"/>
        <v>1.1242603550295858E-2</v>
      </c>
      <c r="K65" s="31">
        <f t="shared" si="30"/>
        <v>9.8637465518682608E-3</v>
      </c>
      <c r="L65" s="31">
        <f t="shared" si="30"/>
        <v>1.0595149408161576E-2</v>
      </c>
      <c r="M65" s="31">
        <f t="shared" si="30"/>
        <v>4.0953395036448523E-3</v>
      </c>
    </row>
    <row r="66" spans="1:26" x14ac:dyDescent="0.25">
      <c r="E66" s="42"/>
      <c r="F66" s="42"/>
      <c r="G66" s="42"/>
      <c r="H66" s="42"/>
    </row>
    <row r="67" spans="1:26" x14ac:dyDescent="0.25">
      <c r="O67" t="s">
        <v>73</v>
      </c>
      <c r="Q67" s="6">
        <f>+R46</f>
        <v>11438</v>
      </c>
      <c r="R67" s="17">
        <f>+Q67*(1+R68)</f>
        <v>11609.57</v>
      </c>
      <c r="S67" s="17">
        <f>+R67*(1+S68)</f>
        <v>11783.713549999999</v>
      </c>
      <c r="T67" s="17">
        <f t="shared" ref="T67:Z67" si="31">+S67*(1+T68)</f>
        <v>11960.469253249998</v>
      </c>
      <c r="U67" s="17">
        <f t="shared" si="31"/>
        <v>12139.876292048746</v>
      </c>
      <c r="V67" s="17">
        <f t="shared" si="31"/>
        <v>12321.974436429477</v>
      </c>
      <c r="W67" s="17">
        <f t="shared" si="31"/>
        <v>12506.804052975918</v>
      </c>
      <c r="X67" s="17">
        <f t="shared" si="31"/>
        <v>12694.406113770556</v>
      </c>
      <c r="Y67" s="17">
        <f t="shared" si="31"/>
        <v>12884.822205477112</v>
      </c>
      <c r="Z67" s="17">
        <f t="shared" si="31"/>
        <v>13078.094538559268</v>
      </c>
    </row>
    <row r="68" spans="1:26" x14ac:dyDescent="0.25">
      <c r="R68" s="29">
        <v>1.4999999999999999E-2</v>
      </c>
      <c r="S68" s="29">
        <f>+R68</f>
        <v>1.4999999999999999E-2</v>
      </c>
      <c r="T68" s="29">
        <f t="shared" ref="T68:Z68" si="32">+S68</f>
        <v>1.4999999999999999E-2</v>
      </c>
      <c r="U68" s="29">
        <f t="shared" si="32"/>
        <v>1.4999999999999999E-2</v>
      </c>
      <c r="V68" s="29">
        <f t="shared" si="32"/>
        <v>1.4999999999999999E-2</v>
      </c>
      <c r="W68" s="29">
        <f t="shared" si="32"/>
        <v>1.4999999999999999E-2</v>
      </c>
      <c r="X68" s="29">
        <f t="shared" si="32"/>
        <v>1.4999999999999999E-2</v>
      </c>
      <c r="Y68" s="29">
        <f t="shared" si="32"/>
        <v>1.4999999999999999E-2</v>
      </c>
      <c r="Z68" s="29">
        <f t="shared" si="32"/>
        <v>1.4999999999999999E-2</v>
      </c>
    </row>
    <row r="69" spans="1:26" x14ac:dyDescent="0.25">
      <c r="D69" s="54">
        <f>+D7</f>
        <v>2015</v>
      </c>
      <c r="E69" s="54">
        <f t="shared" ref="E69:M69" si="33">+E7</f>
        <v>2016</v>
      </c>
      <c r="F69" s="54">
        <f t="shared" si="33"/>
        <v>2017</v>
      </c>
      <c r="G69" s="54">
        <f t="shared" si="33"/>
        <v>2018</v>
      </c>
      <c r="H69" s="54">
        <f t="shared" si="33"/>
        <v>2019</v>
      </c>
      <c r="I69" s="54">
        <f t="shared" si="33"/>
        <v>2020</v>
      </c>
      <c r="J69" s="54">
        <f t="shared" si="33"/>
        <v>2021</v>
      </c>
      <c r="K69" s="54">
        <f t="shared" si="33"/>
        <v>2022</v>
      </c>
      <c r="L69" s="54">
        <f t="shared" si="33"/>
        <v>2023</v>
      </c>
      <c r="M69" s="54">
        <f t="shared" si="33"/>
        <v>2024</v>
      </c>
    </row>
    <row r="70" spans="1:26" x14ac:dyDescent="0.25">
      <c r="A70" t="str">
        <f>+C18</f>
        <v>East Existing Resources</v>
      </c>
      <c r="D70" s="17">
        <f>+D18</f>
        <v>7033</v>
      </c>
      <c r="E70" s="17">
        <f>+E18</f>
        <v>6879</v>
      </c>
      <c r="F70" s="17">
        <f t="shared" ref="F70:M70" si="34">+F18</f>
        <v>6975</v>
      </c>
      <c r="G70" s="17">
        <f t="shared" si="34"/>
        <v>7030</v>
      </c>
      <c r="H70" s="17">
        <f t="shared" si="34"/>
        <v>7025</v>
      </c>
      <c r="I70" s="17">
        <f t="shared" si="34"/>
        <v>7017</v>
      </c>
      <c r="J70" s="17">
        <f t="shared" si="34"/>
        <v>7461</v>
      </c>
      <c r="K70" s="17">
        <f t="shared" si="34"/>
        <v>7451</v>
      </c>
      <c r="L70" s="17">
        <f t="shared" si="34"/>
        <v>7438</v>
      </c>
      <c r="M70" s="17">
        <f t="shared" si="34"/>
        <v>7395</v>
      </c>
    </row>
    <row r="71" spans="1:26" x14ac:dyDescent="0.25">
      <c r="D71" s="17"/>
      <c r="E71" s="29">
        <f>(E70-D70)/D70</f>
        <v>-2.1896772358879567E-2</v>
      </c>
      <c r="F71" s="29">
        <f t="shared" ref="F71:M71" si="35">(F70-E70)/E70</f>
        <v>1.3955516790231139E-2</v>
      </c>
      <c r="G71" s="29">
        <f t="shared" si="35"/>
        <v>7.8853046594982087E-3</v>
      </c>
      <c r="H71" s="29">
        <f t="shared" si="35"/>
        <v>-7.1123755334281653E-4</v>
      </c>
      <c r="I71" s="29">
        <f t="shared" si="35"/>
        <v>-1.1387900355871886E-3</v>
      </c>
      <c r="J71" s="29">
        <f t="shared" si="35"/>
        <v>6.3274903805044885E-2</v>
      </c>
      <c r="K71" s="29">
        <f t="shared" si="35"/>
        <v>-1.3403029084573114E-3</v>
      </c>
      <c r="L71" s="29">
        <f t="shared" si="35"/>
        <v>-1.7447322507046035E-3</v>
      </c>
      <c r="M71" s="29">
        <f t="shared" si="35"/>
        <v>-5.78112395805324E-3</v>
      </c>
    </row>
    <row r="72" spans="1:26" x14ac:dyDescent="0.25"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26" x14ac:dyDescent="0.25">
      <c r="A73" t="str">
        <f>+C27</f>
        <v>East Obligation + Reserves</v>
      </c>
      <c r="D73" s="17">
        <f>+D27</f>
        <v>7856</v>
      </c>
      <c r="E73" s="17">
        <f t="shared" ref="E73:M73" si="36">+E27</f>
        <v>7623</v>
      </c>
      <c r="F73" s="17">
        <f t="shared" si="36"/>
        <v>7764</v>
      </c>
      <c r="G73" s="17">
        <f t="shared" si="36"/>
        <v>7884</v>
      </c>
      <c r="H73" s="17">
        <f t="shared" si="36"/>
        <v>7982</v>
      </c>
      <c r="I73" s="17">
        <f t="shared" si="36"/>
        <v>8081</v>
      </c>
      <c r="J73" s="17">
        <f t="shared" si="36"/>
        <v>8155</v>
      </c>
      <c r="K73" s="17">
        <f t="shared" si="36"/>
        <v>8247</v>
      </c>
      <c r="L73" s="17">
        <f t="shared" si="36"/>
        <v>8346</v>
      </c>
      <c r="M73" s="17">
        <f t="shared" si="36"/>
        <v>8372</v>
      </c>
    </row>
    <row r="74" spans="1:26" x14ac:dyDescent="0.25">
      <c r="D74" s="17"/>
      <c r="E74" s="29">
        <f>(E73-D73)/D73</f>
        <v>-2.9658859470468431E-2</v>
      </c>
      <c r="F74" s="29">
        <f t="shared" ref="F74:M74" si="37">(F73-E73)/E73</f>
        <v>1.8496654860291225E-2</v>
      </c>
      <c r="G74" s="29">
        <f t="shared" si="37"/>
        <v>1.5455950540958269E-2</v>
      </c>
      <c r="H74" s="29">
        <f t="shared" si="37"/>
        <v>1.2430238457635717E-2</v>
      </c>
      <c r="I74" s="29">
        <f t="shared" si="37"/>
        <v>1.2402906539714357E-2</v>
      </c>
      <c r="J74" s="29">
        <f t="shared" si="37"/>
        <v>9.1572825145402794E-3</v>
      </c>
      <c r="K74" s="29">
        <f t="shared" si="37"/>
        <v>1.1281422440220724E-2</v>
      </c>
      <c r="L74" s="29">
        <f t="shared" si="37"/>
        <v>1.2004365223717716E-2</v>
      </c>
      <c r="M74" s="29">
        <f t="shared" si="37"/>
        <v>3.1152647975077881E-3</v>
      </c>
    </row>
    <row r="75" spans="1:26" x14ac:dyDescent="0.25"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26" x14ac:dyDescent="0.25">
      <c r="A76" t="str">
        <f>+C41</f>
        <v>West Existing Resources</v>
      </c>
      <c r="D76" s="17">
        <f t="shared" ref="D76:M76" si="38">+D41</f>
        <v>3536</v>
      </c>
      <c r="E76" s="17">
        <f t="shared" si="38"/>
        <v>3164</v>
      </c>
      <c r="F76" s="17">
        <f t="shared" si="38"/>
        <v>3169</v>
      </c>
      <c r="G76" s="17">
        <f t="shared" si="38"/>
        <v>3187</v>
      </c>
      <c r="H76" s="17">
        <f t="shared" si="38"/>
        <v>3119</v>
      </c>
      <c r="I76" s="17">
        <f t="shared" si="38"/>
        <v>3108</v>
      </c>
      <c r="J76" s="17">
        <f t="shared" si="38"/>
        <v>3024</v>
      </c>
      <c r="K76" s="17">
        <f t="shared" si="38"/>
        <v>2993</v>
      </c>
      <c r="L76" s="17">
        <f t="shared" si="38"/>
        <v>3018</v>
      </c>
      <c r="M76" s="17">
        <f t="shared" si="38"/>
        <v>3029</v>
      </c>
    </row>
    <row r="77" spans="1:26" x14ac:dyDescent="0.25">
      <c r="D77" s="17"/>
      <c r="E77" s="29">
        <f>(E76-D76)/D76</f>
        <v>-0.10520361990950226</v>
      </c>
      <c r="F77" s="29">
        <f t="shared" ref="F77:M77" si="39">(F76-E76)/E76</f>
        <v>1.5802781289506952E-3</v>
      </c>
      <c r="G77" s="29">
        <f t="shared" si="39"/>
        <v>5.6800252445566423E-3</v>
      </c>
      <c r="H77" s="29">
        <f t="shared" si="39"/>
        <v>-2.1336680263570756E-2</v>
      </c>
      <c r="I77" s="29">
        <f t="shared" si="39"/>
        <v>-3.5267714010900932E-3</v>
      </c>
      <c r="J77" s="29">
        <f t="shared" si="39"/>
        <v>-2.7027027027027029E-2</v>
      </c>
      <c r="K77" s="29">
        <f t="shared" si="39"/>
        <v>-1.0251322751322751E-2</v>
      </c>
      <c r="L77" s="29">
        <f t="shared" si="39"/>
        <v>8.35282325425994E-3</v>
      </c>
      <c r="M77" s="29">
        <f t="shared" si="39"/>
        <v>3.6447978793903248E-3</v>
      </c>
    </row>
    <row r="78" spans="1:26" x14ac:dyDescent="0.25"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26" x14ac:dyDescent="0.25">
      <c r="A79" t="str">
        <f>+C50</f>
        <v>West Obligation + Reserves</v>
      </c>
      <c r="D79" s="17">
        <f>+D50</f>
        <v>3582</v>
      </c>
      <c r="E79" s="17">
        <f t="shared" ref="E79:M79" si="40">+E50</f>
        <v>3617</v>
      </c>
      <c r="F79" s="17">
        <f t="shared" si="40"/>
        <v>3656</v>
      </c>
      <c r="G79" s="17">
        <f t="shared" si="40"/>
        <v>3689</v>
      </c>
      <c r="H79" s="17">
        <f t="shared" si="40"/>
        <v>3714</v>
      </c>
      <c r="I79" s="17">
        <f t="shared" si="40"/>
        <v>3749</v>
      </c>
      <c r="J79" s="17">
        <f t="shared" si="40"/>
        <v>3808</v>
      </c>
      <c r="K79" s="17">
        <f t="shared" si="40"/>
        <v>3834</v>
      </c>
      <c r="L79" s="17">
        <f t="shared" si="40"/>
        <v>3863</v>
      </c>
      <c r="M79" s="17">
        <f t="shared" si="40"/>
        <v>3887</v>
      </c>
    </row>
    <row r="80" spans="1:26" x14ac:dyDescent="0.25">
      <c r="D80" s="17"/>
      <c r="E80" s="29">
        <f>(E79-D79)/D79</f>
        <v>9.7710776102735899E-3</v>
      </c>
      <c r="F80" s="29">
        <f t="shared" ref="F80:M80" si="41">(F79-E79)/E79</f>
        <v>1.0782416367155101E-2</v>
      </c>
      <c r="G80" s="29">
        <f t="shared" si="41"/>
        <v>9.0262582056892787E-3</v>
      </c>
      <c r="H80" s="29">
        <f t="shared" si="41"/>
        <v>6.776904310111141E-3</v>
      </c>
      <c r="I80" s="29">
        <f t="shared" si="41"/>
        <v>9.4238018309100707E-3</v>
      </c>
      <c r="J80" s="29">
        <f t="shared" si="41"/>
        <v>1.5737530008002133E-2</v>
      </c>
      <c r="K80" s="29">
        <f t="shared" si="41"/>
        <v>6.8277310924369748E-3</v>
      </c>
      <c r="L80" s="29">
        <f t="shared" si="41"/>
        <v>7.5639019300991128E-3</v>
      </c>
      <c r="M80" s="29">
        <f t="shared" si="41"/>
        <v>6.2127879886098884E-3</v>
      </c>
    </row>
    <row r="81" spans="1:15" x14ac:dyDescent="0.25"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5" x14ac:dyDescent="0.25">
      <c r="A82" t="str">
        <f>+C55</f>
        <v>Total Resources</v>
      </c>
      <c r="D82" s="17">
        <f>+D55</f>
        <v>10569</v>
      </c>
      <c r="E82" s="17">
        <f t="shared" ref="E82:M82" si="42">+E55</f>
        <v>10043</v>
      </c>
      <c r="F82" s="17">
        <f t="shared" si="42"/>
        <v>10144</v>
      </c>
      <c r="G82" s="17">
        <f t="shared" si="42"/>
        <v>10217</v>
      </c>
      <c r="H82" s="17">
        <f t="shared" si="42"/>
        <v>10144</v>
      </c>
      <c r="I82" s="17">
        <f t="shared" si="42"/>
        <v>10125</v>
      </c>
      <c r="J82" s="17">
        <f t="shared" si="42"/>
        <v>10485</v>
      </c>
      <c r="K82" s="17">
        <f t="shared" si="42"/>
        <v>10444</v>
      </c>
      <c r="L82" s="17">
        <f t="shared" si="42"/>
        <v>10456</v>
      </c>
      <c r="M82" s="17">
        <f t="shared" si="42"/>
        <v>10424</v>
      </c>
    </row>
    <row r="83" spans="1:15" x14ac:dyDescent="0.25">
      <c r="D83" s="17"/>
      <c r="E83" s="29">
        <f>(E82-D82)/D82</f>
        <v>-4.9768189989592204E-2</v>
      </c>
      <c r="F83" s="29">
        <f t="shared" ref="F83:M83" si="43">(F82-E82)/E82</f>
        <v>1.0056755949417505E-2</v>
      </c>
      <c r="G83" s="29">
        <f t="shared" si="43"/>
        <v>7.1963722397476344E-3</v>
      </c>
      <c r="H83" s="29">
        <f t="shared" si="43"/>
        <v>-7.1449544876186748E-3</v>
      </c>
      <c r="I83" s="29">
        <f t="shared" si="43"/>
        <v>-1.8730283911671925E-3</v>
      </c>
      <c r="J83" s="29">
        <f t="shared" si="43"/>
        <v>3.5555555555555556E-2</v>
      </c>
      <c r="K83" s="29">
        <f t="shared" si="43"/>
        <v>-3.9103481163567004E-3</v>
      </c>
      <c r="L83" s="29">
        <f t="shared" si="43"/>
        <v>1.1489850631941786E-3</v>
      </c>
      <c r="M83" s="29">
        <f t="shared" si="43"/>
        <v>-3.06044376434583E-3</v>
      </c>
    </row>
    <row r="84" spans="1:15" x14ac:dyDescent="0.25">
      <c r="D84" s="17"/>
      <c r="E84" s="17">
        <f>+E82-D82</f>
        <v>-526</v>
      </c>
      <c r="F84" s="17">
        <f t="shared" ref="F84:M84" si="44">+F82-E82</f>
        <v>101</v>
      </c>
      <c r="G84" s="17">
        <f t="shared" si="44"/>
        <v>73</v>
      </c>
      <c r="H84" s="17">
        <f t="shared" si="44"/>
        <v>-73</v>
      </c>
      <c r="I84" s="17">
        <f t="shared" si="44"/>
        <v>-19</v>
      </c>
      <c r="J84" s="17">
        <f t="shared" si="44"/>
        <v>360</v>
      </c>
      <c r="K84" s="17">
        <f t="shared" si="44"/>
        <v>-41</v>
      </c>
      <c r="L84" s="17">
        <f t="shared" si="44"/>
        <v>12</v>
      </c>
      <c r="M84" s="17">
        <f t="shared" si="44"/>
        <v>-32</v>
      </c>
    </row>
    <row r="85" spans="1:15" x14ac:dyDescent="0.25"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x14ac:dyDescent="0.25">
      <c r="A86" t="str">
        <f>+C59</f>
        <v>Obligation + Reserves</v>
      </c>
      <c r="D86" s="17">
        <f>+D59</f>
        <v>11438</v>
      </c>
      <c r="E86" s="17">
        <f t="shared" ref="E86:M86" si="45">+E59</f>
        <v>11240</v>
      </c>
      <c r="F86" s="17">
        <f t="shared" si="45"/>
        <v>11420</v>
      </c>
      <c r="G86" s="17">
        <f t="shared" si="45"/>
        <v>11573</v>
      </c>
      <c r="H86" s="17">
        <f t="shared" si="45"/>
        <v>11696</v>
      </c>
      <c r="I86" s="17">
        <f t="shared" si="45"/>
        <v>11830</v>
      </c>
      <c r="J86" s="17">
        <f t="shared" si="45"/>
        <v>11963</v>
      </c>
      <c r="K86" s="17">
        <f t="shared" si="45"/>
        <v>12081</v>
      </c>
      <c r="L86" s="17">
        <f t="shared" si="45"/>
        <v>12209</v>
      </c>
      <c r="M86" s="17">
        <f t="shared" si="45"/>
        <v>12259</v>
      </c>
    </row>
    <row r="87" spans="1:15" x14ac:dyDescent="0.25">
      <c r="E87" s="29">
        <f>(E86-D86)/D86</f>
        <v>-1.7310718657107885E-2</v>
      </c>
      <c r="F87" s="29">
        <f t="shared" ref="F87:M87" si="46">(F86-E86)/E86</f>
        <v>1.601423487544484E-2</v>
      </c>
      <c r="G87" s="29">
        <f t="shared" si="46"/>
        <v>1.3397548161120841E-2</v>
      </c>
      <c r="H87" s="29">
        <f t="shared" si="46"/>
        <v>1.0628186295688239E-2</v>
      </c>
      <c r="I87" s="29">
        <f t="shared" si="46"/>
        <v>1.1456908344733242E-2</v>
      </c>
      <c r="J87" s="29">
        <f t="shared" si="46"/>
        <v>1.1242603550295858E-2</v>
      </c>
      <c r="K87" s="29">
        <f t="shared" si="46"/>
        <v>9.8637465518682608E-3</v>
      </c>
      <c r="L87" s="29">
        <f t="shared" si="46"/>
        <v>1.0595149408161576E-2</v>
      </c>
      <c r="M87" s="29">
        <f t="shared" si="46"/>
        <v>4.0953395036448523E-3</v>
      </c>
    </row>
    <row r="88" spans="1:15" x14ac:dyDescent="0.25">
      <c r="E88" s="17">
        <f t="shared" ref="E88:M88" si="47">+E86-D86</f>
        <v>-198</v>
      </c>
      <c r="F88" s="17">
        <f t="shared" si="47"/>
        <v>180</v>
      </c>
      <c r="G88" s="17">
        <f t="shared" si="47"/>
        <v>153</v>
      </c>
      <c r="H88" s="17">
        <f t="shared" si="47"/>
        <v>123</v>
      </c>
      <c r="I88" s="17">
        <f t="shared" si="47"/>
        <v>134</v>
      </c>
      <c r="J88" s="17">
        <f t="shared" si="47"/>
        <v>133</v>
      </c>
      <c r="K88" s="17">
        <f t="shared" si="47"/>
        <v>118</v>
      </c>
      <c r="L88" s="17">
        <f t="shared" si="47"/>
        <v>128</v>
      </c>
      <c r="M88" s="17">
        <f t="shared" si="47"/>
        <v>50</v>
      </c>
    </row>
    <row r="90" spans="1:15" x14ac:dyDescent="0.25">
      <c r="E90" s="26">
        <f>+E88+E84</f>
        <v>-724</v>
      </c>
      <c r="F90" s="26">
        <f>+F88+F84</f>
        <v>281</v>
      </c>
      <c r="G90" s="26">
        <f t="shared" ref="G90:M90" si="48">+G88+G84</f>
        <v>226</v>
      </c>
      <c r="H90" s="26">
        <f t="shared" si="48"/>
        <v>50</v>
      </c>
      <c r="I90" s="26">
        <f t="shared" si="48"/>
        <v>115</v>
      </c>
      <c r="J90" s="26">
        <f t="shared" si="48"/>
        <v>493</v>
      </c>
      <c r="K90" s="26">
        <f t="shared" si="48"/>
        <v>77</v>
      </c>
      <c r="L90" s="26">
        <f t="shared" si="48"/>
        <v>140</v>
      </c>
      <c r="M90" s="26">
        <f t="shared" si="48"/>
        <v>18</v>
      </c>
    </row>
    <row r="92" spans="1:15" x14ac:dyDescent="0.25">
      <c r="A92" t="s">
        <v>8</v>
      </c>
      <c r="D92" s="6">
        <f>+D20+D43</f>
        <v>10363</v>
      </c>
      <c r="E92" s="6">
        <f t="shared" ref="E92:M92" si="49">+E20+E43</f>
        <v>10214</v>
      </c>
      <c r="F92" s="6">
        <f t="shared" si="49"/>
        <v>10373</v>
      </c>
      <c r="G92" s="6">
        <f t="shared" si="49"/>
        <v>10509</v>
      </c>
      <c r="H92" s="6">
        <f t="shared" si="49"/>
        <v>10618</v>
      </c>
      <c r="I92" s="6">
        <f t="shared" si="49"/>
        <v>10736</v>
      </c>
      <c r="J92" s="6">
        <f t="shared" si="49"/>
        <v>10854</v>
      </c>
      <c r="K92" s="6">
        <f t="shared" si="49"/>
        <v>10958</v>
      </c>
      <c r="L92" s="6">
        <f t="shared" si="49"/>
        <v>11072</v>
      </c>
      <c r="M92" s="6">
        <f t="shared" si="49"/>
        <v>11116</v>
      </c>
      <c r="O92" s="18">
        <f>((M92-D92)/D92)/9</f>
        <v>8.0735951622760461E-3</v>
      </c>
    </row>
    <row r="93" spans="1:15" x14ac:dyDescent="0.25">
      <c r="E93" s="18">
        <f>(E92-D92)/D92</f>
        <v>-1.437807584676252E-2</v>
      </c>
      <c r="F93" s="18">
        <f t="shared" ref="F93:M93" si="50">(F92-E92)/E92</f>
        <v>1.5566869003328765E-2</v>
      </c>
      <c r="G93" s="18">
        <f t="shared" si="50"/>
        <v>1.3110961149137183E-2</v>
      </c>
      <c r="H93" s="18">
        <f t="shared" si="50"/>
        <v>1.0372062042059187E-2</v>
      </c>
      <c r="I93" s="18">
        <f t="shared" si="50"/>
        <v>1.1113203993219061E-2</v>
      </c>
      <c r="J93" s="18">
        <f t="shared" si="50"/>
        <v>1.0991058122205664E-2</v>
      </c>
      <c r="K93" s="18">
        <f t="shared" si="50"/>
        <v>9.5817210245070939E-3</v>
      </c>
      <c r="L93" s="18">
        <f t="shared" si="50"/>
        <v>1.0403358277057857E-2</v>
      </c>
      <c r="M93" s="18">
        <f t="shared" si="50"/>
        <v>3.9739884393063581E-3</v>
      </c>
      <c r="O93" s="25">
        <f>AVERAGE(E93:M93)</f>
        <v>7.8594606893398478E-3</v>
      </c>
    </row>
    <row r="95" spans="1:15" x14ac:dyDescent="0.25">
      <c r="E95" s="18">
        <v>2.87239071427755E-2</v>
      </c>
      <c r="F95" s="18">
        <v>3.5256368979479896E-2</v>
      </c>
      <c r="G95" s="18">
        <v>2.9428803325411892E-2</v>
      </c>
      <c r="H95" s="18">
        <v>2.7422864020473423E-2</v>
      </c>
      <c r="I95" s="18">
        <v>2.1862679822407041E-2</v>
      </c>
      <c r="J95" s="18">
        <v>2.1056254005471575E-2</v>
      </c>
      <c r="K95" s="18">
        <v>1.2310186417676238E-2</v>
      </c>
      <c r="L95" s="18">
        <v>1.5151671438056175E-2</v>
      </c>
      <c r="M95" s="18">
        <v>1.56894084756815E-2</v>
      </c>
    </row>
    <row r="97" spans="1:14" x14ac:dyDescent="0.25">
      <c r="E97" s="25">
        <f>+E93-E95</f>
        <v>-4.3101982989538018E-2</v>
      </c>
      <c r="F97" s="25">
        <f t="shared" ref="F97:M97" si="51">+F93-F95</f>
        <v>-1.9689499976151131E-2</v>
      </c>
      <c r="G97" s="25">
        <f t="shared" si="51"/>
        <v>-1.6317842176274709E-2</v>
      </c>
      <c r="H97" s="25">
        <f t="shared" si="51"/>
        <v>-1.7050801978414236E-2</v>
      </c>
      <c r="I97" s="25">
        <f t="shared" si="51"/>
        <v>-1.074947582918798E-2</v>
      </c>
      <c r="J97" s="25">
        <f t="shared" si="51"/>
        <v>-1.0065195883265911E-2</v>
      </c>
      <c r="K97" s="25">
        <f t="shared" si="51"/>
        <v>-2.7284653931691442E-3</v>
      </c>
      <c r="L97" s="25">
        <f t="shared" si="51"/>
        <v>-4.7483131609983176E-3</v>
      </c>
      <c r="M97" s="25">
        <f t="shared" si="51"/>
        <v>-1.1715420036375141E-2</v>
      </c>
    </row>
    <row r="100" spans="1:14" x14ac:dyDescent="0.25">
      <c r="A100" s="36" t="s">
        <v>74</v>
      </c>
      <c r="B100" s="36"/>
      <c r="C100" s="36"/>
      <c r="D100" s="37">
        <f>+D58/D57</f>
        <v>0.13191489361702127</v>
      </c>
      <c r="E100" s="37">
        <f t="shared" ref="E100:M100" si="52">+E58/E57</f>
        <v>0.13192346424974824</v>
      </c>
      <c r="F100" s="37">
        <f t="shared" si="52"/>
        <v>0.13192585984735852</v>
      </c>
      <c r="G100" s="37">
        <f t="shared" si="52"/>
        <v>0.13183374083129584</v>
      </c>
      <c r="H100" s="37">
        <f t="shared" si="52"/>
        <v>0.13179794851945037</v>
      </c>
      <c r="I100" s="37">
        <f t="shared" si="52"/>
        <v>0.13184079601990051</v>
      </c>
      <c r="J100" s="37">
        <f t="shared" si="52"/>
        <v>0.13178807947019869</v>
      </c>
      <c r="K100" s="37">
        <f t="shared" si="52"/>
        <v>0.13181562675660483</v>
      </c>
      <c r="L100" s="37">
        <f t="shared" si="52"/>
        <v>0.13172043010752688</v>
      </c>
      <c r="M100" s="37">
        <f t="shared" si="52"/>
        <v>0.13173929098966028</v>
      </c>
    </row>
    <row r="102" spans="1:14" x14ac:dyDescent="0.25">
      <c r="D102" s="6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4" x14ac:dyDescent="0.2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4" x14ac:dyDescent="0.25">
      <c r="D105" s="6"/>
      <c r="E105" s="6"/>
      <c r="F105" s="6"/>
      <c r="G105" s="6"/>
      <c r="H105" s="6"/>
      <c r="I105" s="6"/>
      <c r="J105" s="6"/>
      <c r="K105" s="6"/>
      <c r="L105" s="6"/>
    </row>
    <row r="106" spans="1:14" x14ac:dyDescent="0.25"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4" x14ac:dyDescent="0.25"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4" x14ac:dyDescent="0.25"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10" spans="1:14" x14ac:dyDescent="0.25"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4" x14ac:dyDescent="0.25">
      <c r="D111" s="6"/>
      <c r="E111" s="6"/>
      <c r="F111" s="6"/>
      <c r="G111" s="6"/>
      <c r="H111" s="6"/>
      <c r="I111" s="6"/>
      <c r="J111" s="6"/>
      <c r="K111" s="6"/>
      <c r="L111" s="6"/>
      <c r="M111" s="6"/>
    </row>
  </sheetData>
  <mergeCells count="6">
    <mergeCell ref="A54:C54"/>
    <mergeCell ref="A3:M3"/>
    <mergeCell ref="A4:M4"/>
    <mergeCell ref="A5:M5"/>
    <mergeCell ref="A8:C8"/>
    <mergeCell ref="A31:C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A114"/>
  <sheetViews>
    <sheetView workbookViewId="0">
      <selection activeCell="E49" sqref="E49"/>
    </sheetView>
  </sheetViews>
  <sheetFormatPr defaultRowHeight="15" x14ac:dyDescent="0.25"/>
  <cols>
    <col min="1" max="2" width="2.7109375" customWidth="1"/>
    <col min="3" max="3" width="26.140625" customWidth="1"/>
  </cols>
  <sheetData>
    <row r="2" spans="1:13" x14ac:dyDescent="0.25">
      <c r="A2" s="55" t="s">
        <v>124</v>
      </c>
      <c r="B2" s="55"/>
      <c r="C2" s="55"/>
      <c r="D2" s="42"/>
      <c r="E2" s="42"/>
      <c r="F2" s="42"/>
      <c r="G2" s="42"/>
      <c r="H2" s="42"/>
      <c r="I2" s="42"/>
      <c r="J2" s="42"/>
      <c r="K2" s="42"/>
      <c r="L2" s="56">
        <v>0.13</v>
      </c>
      <c r="M2" s="42"/>
    </row>
    <row r="3" spans="1:13" ht="18.75" x14ac:dyDescent="0.3">
      <c r="A3" s="78" t="s">
        <v>125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72" t="s">
        <v>120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x14ac:dyDescent="0.25">
      <c r="A5" s="73" t="s">
        <v>85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7" spans="1:13" x14ac:dyDescent="0.25">
      <c r="A7" t="s">
        <v>0</v>
      </c>
      <c r="D7">
        <v>2016</v>
      </c>
      <c r="E7">
        <f>+D7+1</f>
        <v>2017</v>
      </c>
      <c r="F7">
        <f t="shared" ref="F7:M7" si="0">+E7+1</f>
        <v>2018</v>
      </c>
      <c r="G7">
        <f t="shared" si="0"/>
        <v>2019</v>
      </c>
      <c r="H7">
        <f t="shared" si="0"/>
        <v>2020</v>
      </c>
      <c r="I7">
        <f t="shared" si="0"/>
        <v>2021</v>
      </c>
      <c r="J7">
        <f t="shared" si="0"/>
        <v>2022</v>
      </c>
      <c r="K7">
        <f t="shared" si="0"/>
        <v>2023</v>
      </c>
      <c r="L7">
        <f t="shared" si="0"/>
        <v>2024</v>
      </c>
      <c r="M7">
        <f t="shared" si="0"/>
        <v>2025</v>
      </c>
    </row>
    <row r="8" spans="1:13" x14ac:dyDescent="0.25">
      <c r="A8" s="76" t="s">
        <v>27</v>
      </c>
      <c r="B8" s="76"/>
      <c r="C8" s="7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t="s">
        <v>1</v>
      </c>
      <c r="D9" s="38">
        <v>6397</v>
      </c>
      <c r="E9" s="38">
        <v>6397</v>
      </c>
      <c r="F9" s="38">
        <v>6116</v>
      </c>
      <c r="G9" s="38">
        <v>6116</v>
      </c>
      <c r="H9" s="38">
        <v>6116</v>
      </c>
      <c r="I9" s="38">
        <v>6113</v>
      </c>
      <c r="J9" s="38">
        <v>6110</v>
      </c>
      <c r="K9" s="38">
        <v>6108</v>
      </c>
      <c r="L9" s="38">
        <v>6105</v>
      </c>
      <c r="M9" s="38">
        <v>5717</v>
      </c>
    </row>
    <row r="10" spans="1:13" x14ac:dyDescent="0.25">
      <c r="A10" t="s">
        <v>98</v>
      </c>
      <c r="D10" s="38">
        <v>109</v>
      </c>
      <c r="E10" s="38">
        <v>109</v>
      </c>
      <c r="F10" s="38">
        <v>112</v>
      </c>
      <c r="G10" s="38">
        <v>112</v>
      </c>
      <c r="H10" s="38">
        <v>112</v>
      </c>
      <c r="I10" s="38">
        <v>112</v>
      </c>
      <c r="J10" s="38">
        <v>112</v>
      </c>
      <c r="K10" s="38">
        <v>112</v>
      </c>
      <c r="L10" s="38">
        <v>92</v>
      </c>
      <c r="M10" s="38">
        <v>92</v>
      </c>
    </row>
    <row r="11" spans="1:13" x14ac:dyDescent="0.25">
      <c r="A11" t="s">
        <v>4</v>
      </c>
      <c r="D11" s="38">
        <v>187</v>
      </c>
      <c r="E11" s="38">
        <v>187</v>
      </c>
      <c r="F11" s="38">
        <v>187</v>
      </c>
      <c r="G11" s="38">
        <v>187</v>
      </c>
      <c r="H11" s="38">
        <v>187</v>
      </c>
      <c r="I11" s="38">
        <v>185</v>
      </c>
      <c r="J11" s="38">
        <v>185</v>
      </c>
      <c r="K11" s="38">
        <v>178</v>
      </c>
      <c r="L11" s="38">
        <v>178</v>
      </c>
      <c r="M11" s="38">
        <v>168</v>
      </c>
    </row>
    <row r="12" spans="1:13" x14ac:dyDescent="0.25">
      <c r="A12" t="s">
        <v>5</v>
      </c>
      <c r="D12" s="38">
        <v>355</v>
      </c>
      <c r="E12" s="38">
        <v>249</v>
      </c>
      <c r="F12" s="38">
        <v>249</v>
      </c>
      <c r="G12" s="38">
        <v>249</v>
      </c>
      <c r="H12" s="38">
        <v>249</v>
      </c>
      <c r="I12" s="38">
        <v>221</v>
      </c>
      <c r="J12" s="38">
        <v>221</v>
      </c>
      <c r="K12" s="38">
        <v>221</v>
      </c>
      <c r="L12" s="38">
        <v>221</v>
      </c>
      <c r="M12" s="38">
        <v>121</v>
      </c>
    </row>
    <row r="13" spans="1:13" x14ac:dyDescent="0.25">
      <c r="A13" t="s">
        <v>97</v>
      </c>
      <c r="D13" s="38">
        <v>304</v>
      </c>
      <c r="E13" s="38">
        <v>469</v>
      </c>
      <c r="F13" s="38">
        <v>463</v>
      </c>
      <c r="G13" s="38">
        <v>460</v>
      </c>
      <c r="H13" s="38">
        <v>454</v>
      </c>
      <c r="I13" s="38">
        <v>447</v>
      </c>
      <c r="J13" s="38">
        <v>436</v>
      </c>
      <c r="K13" s="38">
        <v>434</v>
      </c>
      <c r="L13" s="38">
        <v>381</v>
      </c>
      <c r="M13" s="38">
        <v>378</v>
      </c>
    </row>
    <row r="14" spans="1:13" x14ac:dyDescent="0.25">
      <c r="A14" t="s">
        <v>112</v>
      </c>
      <c r="D14" s="38">
        <v>323</v>
      </c>
      <c r="E14" s="38">
        <v>323</v>
      </c>
      <c r="F14" s="38">
        <v>323</v>
      </c>
      <c r="G14" s="38">
        <v>323</v>
      </c>
      <c r="H14" s="38">
        <v>323</v>
      </c>
      <c r="I14" s="38">
        <v>323</v>
      </c>
      <c r="J14" s="38">
        <v>323</v>
      </c>
      <c r="K14" s="38">
        <v>323</v>
      </c>
      <c r="L14" s="38">
        <v>323</v>
      </c>
      <c r="M14" s="38">
        <v>323</v>
      </c>
    </row>
    <row r="15" spans="1:13" x14ac:dyDescent="0.25">
      <c r="A15" t="s">
        <v>9</v>
      </c>
      <c r="D15" s="38">
        <v>-728</v>
      </c>
      <c r="E15" s="38">
        <v>-653</v>
      </c>
      <c r="F15" s="38">
        <v>-652</v>
      </c>
      <c r="G15" s="38">
        <v>-652</v>
      </c>
      <c r="H15" s="38">
        <v>-652</v>
      </c>
      <c r="I15" s="38">
        <v>-171</v>
      </c>
      <c r="J15" s="38">
        <v>-171</v>
      </c>
      <c r="K15" s="38">
        <v>-171</v>
      </c>
      <c r="L15" s="38">
        <v>-144</v>
      </c>
      <c r="M15" s="38">
        <v>-144</v>
      </c>
    </row>
    <row r="16" spans="1:13" x14ac:dyDescent="0.25">
      <c r="A16" t="s">
        <v>99</v>
      </c>
      <c r="D16" s="38">
        <v>-38</v>
      </c>
      <c r="E16" s="38">
        <v>-38</v>
      </c>
      <c r="F16" s="38">
        <f>+E16</f>
        <v>-38</v>
      </c>
      <c r="G16" s="38">
        <f t="shared" ref="G16:M16" si="1">+F16</f>
        <v>-38</v>
      </c>
      <c r="H16" s="38">
        <f t="shared" si="1"/>
        <v>-38</v>
      </c>
      <c r="I16" s="38">
        <f t="shared" si="1"/>
        <v>-38</v>
      </c>
      <c r="J16" s="38">
        <f t="shared" si="1"/>
        <v>-38</v>
      </c>
      <c r="K16" s="38">
        <f t="shared" si="1"/>
        <v>-38</v>
      </c>
      <c r="L16" s="38">
        <f t="shared" si="1"/>
        <v>-38</v>
      </c>
      <c r="M16" s="38">
        <f t="shared" si="1"/>
        <v>-38</v>
      </c>
    </row>
    <row r="17" spans="1:13" x14ac:dyDescent="0.25">
      <c r="A17" t="s">
        <v>40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x14ac:dyDescent="0.25">
      <c r="C18" s="1" t="s">
        <v>7</v>
      </c>
      <c r="D18" s="50">
        <f t="shared" ref="D18:M18" si="2">SUM(D9:D17)</f>
        <v>6909</v>
      </c>
      <c r="E18" s="50">
        <f t="shared" si="2"/>
        <v>7043</v>
      </c>
      <c r="F18" s="50">
        <f t="shared" si="2"/>
        <v>6760</v>
      </c>
      <c r="G18" s="50">
        <f t="shared" si="2"/>
        <v>6757</v>
      </c>
      <c r="H18" s="50">
        <f>SUM(H9:H17)</f>
        <v>6751</v>
      </c>
      <c r="I18" s="50">
        <f t="shared" si="2"/>
        <v>7192</v>
      </c>
      <c r="J18" s="50">
        <f t="shared" si="2"/>
        <v>7178</v>
      </c>
      <c r="K18" s="50">
        <f t="shared" si="2"/>
        <v>7167</v>
      </c>
      <c r="L18" s="50">
        <f t="shared" si="2"/>
        <v>7118</v>
      </c>
      <c r="M18" s="50">
        <f t="shared" si="2"/>
        <v>6617</v>
      </c>
    </row>
    <row r="19" spans="1:13" x14ac:dyDescent="0.25"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x14ac:dyDescent="0.25">
      <c r="A20" t="s">
        <v>8</v>
      </c>
      <c r="D20" s="38">
        <v>6963</v>
      </c>
      <c r="E20" s="38">
        <v>7084</v>
      </c>
      <c r="F20" s="38">
        <v>7235</v>
      </c>
      <c r="G20" s="38">
        <v>7359</v>
      </c>
      <c r="H20" s="38">
        <v>7447</v>
      </c>
      <c r="I20" s="38">
        <v>7548</v>
      </c>
      <c r="J20" s="38">
        <v>7637</v>
      </c>
      <c r="K20" s="38">
        <v>7717</v>
      </c>
      <c r="L20" s="38">
        <v>7809</v>
      </c>
      <c r="M20" s="38">
        <v>7880</v>
      </c>
    </row>
    <row r="21" spans="1:13" x14ac:dyDescent="0.25">
      <c r="B21" t="s">
        <v>100</v>
      </c>
      <c r="D21" s="38">
        <v>-195</v>
      </c>
      <c r="E21" s="38">
        <v>-195</v>
      </c>
      <c r="F21" s="38">
        <v>-195</v>
      </c>
      <c r="G21" s="38">
        <v>-195</v>
      </c>
      <c r="H21" s="38">
        <v>-195</v>
      </c>
      <c r="I21" s="38">
        <v>-195</v>
      </c>
      <c r="J21" s="38">
        <v>-195</v>
      </c>
      <c r="K21" s="38">
        <v>-195</v>
      </c>
      <c r="L21" s="38">
        <v>-195</v>
      </c>
      <c r="M21" s="38">
        <v>-195</v>
      </c>
    </row>
    <row r="22" spans="1:13" x14ac:dyDescent="0.25">
      <c r="B22" t="s">
        <v>113</v>
      </c>
      <c r="D22" s="38">
        <v>-61</v>
      </c>
      <c r="E22" s="38">
        <f>+D22</f>
        <v>-61</v>
      </c>
      <c r="F22" s="38">
        <f t="shared" ref="F22:M22" si="3">+E22</f>
        <v>-61</v>
      </c>
      <c r="G22" s="38">
        <f t="shared" si="3"/>
        <v>-61</v>
      </c>
      <c r="H22" s="38">
        <f t="shared" si="3"/>
        <v>-61</v>
      </c>
      <c r="I22" s="38">
        <f t="shared" si="3"/>
        <v>-61</v>
      </c>
      <c r="J22" s="38">
        <f t="shared" si="3"/>
        <v>-61</v>
      </c>
      <c r="K22" s="38">
        <f t="shared" si="3"/>
        <v>-61</v>
      </c>
      <c r="L22" s="38">
        <f t="shared" si="3"/>
        <v>-61</v>
      </c>
      <c r="M22" s="38">
        <f t="shared" si="3"/>
        <v>-61</v>
      </c>
    </row>
    <row r="23" spans="1:13" x14ac:dyDescent="0.25">
      <c r="C23" s="1" t="s">
        <v>10</v>
      </c>
      <c r="D23" s="50">
        <f>+D22+D21+D20</f>
        <v>6707</v>
      </c>
      <c r="E23" s="50">
        <f t="shared" ref="E23:M23" si="4">+E22+E21+E20</f>
        <v>6828</v>
      </c>
      <c r="F23" s="50">
        <f t="shared" si="4"/>
        <v>6979</v>
      </c>
      <c r="G23" s="50">
        <f t="shared" si="4"/>
        <v>7103</v>
      </c>
      <c r="H23" s="50">
        <f t="shared" si="4"/>
        <v>7191</v>
      </c>
      <c r="I23" s="50">
        <f t="shared" si="4"/>
        <v>7292</v>
      </c>
      <c r="J23" s="50">
        <f t="shared" si="4"/>
        <v>7381</v>
      </c>
      <c r="K23" s="50">
        <f t="shared" si="4"/>
        <v>7461</v>
      </c>
      <c r="L23" s="50">
        <f t="shared" si="4"/>
        <v>7553</v>
      </c>
      <c r="M23" s="50">
        <f t="shared" si="4"/>
        <v>7624</v>
      </c>
    </row>
    <row r="24" spans="1:13" x14ac:dyDescent="0.25"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t="s">
        <v>102</v>
      </c>
      <c r="D25" s="38">
        <v>897</v>
      </c>
      <c r="E25" s="38">
        <v>913</v>
      </c>
      <c r="F25" s="38">
        <v>933</v>
      </c>
      <c r="G25" s="38">
        <v>949</v>
      </c>
      <c r="H25" s="38">
        <v>960</v>
      </c>
      <c r="I25" s="38">
        <v>973</v>
      </c>
      <c r="J25" s="38">
        <v>985</v>
      </c>
      <c r="K25" s="38">
        <v>995</v>
      </c>
      <c r="L25" s="38">
        <v>1007</v>
      </c>
      <c r="M25" s="38">
        <v>1016</v>
      </c>
    </row>
    <row r="26" spans="1:13" x14ac:dyDescent="0.25"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x14ac:dyDescent="0.25">
      <c r="C27" s="1" t="s">
        <v>12</v>
      </c>
      <c r="D27" s="50">
        <f t="shared" ref="D27:M27" si="5">+D25+D23</f>
        <v>7604</v>
      </c>
      <c r="E27" s="50">
        <f t="shared" si="5"/>
        <v>7741</v>
      </c>
      <c r="F27" s="50">
        <f t="shared" si="5"/>
        <v>7912</v>
      </c>
      <c r="G27" s="50">
        <f t="shared" si="5"/>
        <v>8052</v>
      </c>
      <c r="H27" s="50">
        <f t="shared" si="5"/>
        <v>8151</v>
      </c>
      <c r="I27" s="50">
        <f t="shared" si="5"/>
        <v>8265</v>
      </c>
      <c r="J27" s="50">
        <f t="shared" si="5"/>
        <v>8366</v>
      </c>
      <c r="K27" s="50">
        <f t="shared" si="5"/>
        <v>8456</v>
      </c>
      <c r="L27" s="50">
        <f t="shared" si="5"/>
        <v>8560</v>
      </c>
      <c r="M27" s="50">
        <f t="shared" si="5"/>
        <v>8640</v>
      </c>
    </row>
    <row r="28" spans="1:13" x14ac:dyDescent="0.25">
      <c r="C28" s="1" t="s">
        <v>13</v>
      </c>
      <c r="D28" s="50">
        <f t="shared" ref="D28:M28" si="6">+D18-D27</f>
        <v>-695</v>
      </c>
      <c r="E28" s="50">
        <f t="shared" si="6"/>
        <v>-698</v>
      </c>
      <c r="F28" s="50">
        <f t="shared" si="6"/>
        <v>-1152</v>
      </c>
      <c r="G28" s="50">
        <f t="shared" si="6"/>
        <v>-1295</v>
      </c>
      <c r="H28" s="50">
        <f t="shared" si="6"/>
        <v>-1400</v>
      </c>
      <c r="I28" s="50">
        <f t="shared" si="6"/>
        <v>-1073</v>
      </c>
      <c r="J28" s="50">
        <f t="shared" si="6"/>
        <v>-1188</v>
      </c>
      <c r="K28" s="50">
        <f t="shared" si="6"/>
        <v>-1289</v>
      </c>
      <c r="L28" s="50">
        <f t="shared" si="6"/>
        <v>-1442</v>
      </c>
      <c r="M28" s="50">
        <f t="shared" si="6"/>
        <v>-2023</v>
      </c>
    </row>
    <row r="29" spans="1:13" x14ac:dyDescent="0.25">
      <c r="C29" s="1" t="s">
        <v>14</v>
      </c>
      <c r="D29" s="53">
        <f>(D28+D25)/D23</f>
        <v>3.0117787386312808E-2</v>
      </c>
      <c r="E29" s="53">
        <f t="shared" ref="E29:M29" si="7">(E28+E25)/E23</f>
        <v>3.1487990626830699E-2</v>
      </c>
      <c r="F29" s="53">
        <f t="shared" si="7"/>
        <v>-3.1379853847256056E-2</v>
      </c>
      <c r="G29" s="53">
        <f t="shared" si="7"/>
        <v>-4.8711811910460368E-2</v>
      </c>
      <c r="H29" s="53">
        <f t="shared" si="7"/>
        <v>-6.1187595605618136E-2</v>
      </c>
      <c r="I29" s="53">
        <f t="shared" si="7"/>
        <v>-1.3713658804168952E-2</v>
      </c>
      <c r="J29" s="53">
        <f t="shared" si="7"/>
        <v>-2.7503048367429887E-2</v>
      </c>
      <c r="K29" s="53">
        <f t="shared" si="7"/>
        <v>-3.9404905508644957E-2</v>
      </c>
      <c r="L29" s="53">
        <f t="shared" si="7"/>
        <v>-5.7593009400238315E-2</v>
      </c>
      <c r="M29" s="53">
        <f t="shared" si="7"/>
        <v>-0.13208289611752361</v>
      </c>
    </row>
    <row r="30" spans="1:13" x14ac:dyDescent="0.25">
      <c r="A30" s="1" t="s">
        <v>126</v>
      </c>
      <c r="B30" s="1"/>
      <c r="C30" s="1"/>
      <c r="D30" s="68">
        <v>318</v>
      </c>
      <c r="E30" s="68">
        <v>318</v>
      </c>
      <c r="F30" s="68">
        <v>318</v>
      </c>
      <c r="G30" s="68">
        <v>318</v>
      </c>
      <c r="H30" s="68">
        <v>318</v>
      </c>
      <c r="I30" s="68">
        <v>318</v>
      </c>
      <c r="J30" s="68">
        <v>318</v>
      </c>
      <c r="K30" s="68">
        <v>318</v>
      </c>
      <c r="L30" s="68">
        <v>318</v>
      </c>
      <c r="M30" s="68">
        <v>318</v>
      </c>
    </row>
    <row r="32" spans="1:13" x14ac:dyDescent="0.25">
      <c r="A32" s="76" t="s">
        <v>32</v>
      </c>
      <c r="B32" s="76"/>
      <c r="C32" s="7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27" x14ac:dyDescent="0.25">
      <c r="A33" t="s">
        <v>1</v>
      </c>
      <c r="D33" s="38">
        <v>2251</v>
      </c>
      <c r="E33" s="38">
        <v>2248</v>
      </c>
      <c r="F33" s="38">
        <v>2248</v>
      </c>
      <c r="G33" s="38">
        <v>2248</v>
      </c>
      <c r="H33" s="38">
        <v>2248</v>
      </c>
      <c r="I33" s="38">
        <v>2245</v>
      </c>
      <c r="J33" s="38">
        <v>2241</v>
      </c>
      <c r="K33" s="38">
        <v>2239</v>
      </c>
      <c r="L33" s="38">
        <v>2239</v>
      </c>
      <c r="M33" s="38">
        <v>2239</v>
      </c>
    </row>
    <row r="34" spans="1:27" x14ac:dyDescent="0.25">
      <c r="A34" t="s">
        <v>98</v>
      </c>
      <c r="D34" s="38">
        <v>841</v>
      </c>
      <c r="E34" s="38">
        <v>826</v>
      </c>
      <c r="F34" s="38">
        <v>837</v>
      </c>
      <c r="G34" s="38">
        <v>736</v>
      </c>
      <c r="H34" s="38">
        <v>793</v>
      </c>
      <c r="I34" s="38">
        <v>623</v>
      </c>
      <c r="J34" s="38">
        <v>548</v>
      </c>
      <c r="K34" s="38">
        <v>654</v>
      </c>
      <c r="L34" s="38">
        <v>643</v>
      </c>
      <c r="M34" s="38">
        <v>632</v>
      </c>
    </row>
    <row r="35" spans="1:27" x14ac:dyDescent="0.25">
      <c r="A35" t="s">
        <v>4</v>
      </c>
      <c r="D35" s="38">
        <v>172</v>
      </c>
      <c r="E35" s="38">
        <v>172</v>
      </c>
      <c r="F35" s="38">
        <v>172</v>
      </c>
      <c r="G35" s="38">
        <v>172</v>
      </c>
      <c r="H35" s="38">
        <v>172</v>
      </c>
      <c r="I35" s="38">
        <v>172</v>
      </c>
      <c r="J35" s="38">
        <v>118</v>
      </c>
      <c r="K35" s="38">
        <v>118</v>
      </c>
      <c r="L35" s="38">
        <v>108</v>
      </c>
      <c r="M35" s="38">
        <v>107</v>
      </c>
    </row>
    <row r="36" spans="1:27" x14ac:dyDescent="0.25">
      <c r="A36" t="s">
        <v>5</v>
      </c>
      <c r="D36" s="38">
        <v>18</v>
      </c>
      <c r="E36" s="38">
        <v>18</v>
      </c>
      <c r="F36" s="38">
        <v>18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</row>
    <row r="37" spans="1:27" x14ac:dyDescent="0.25">
      <c r="A37" t="s">
        <v>97</v>
      </c>
      <c r="D37" s="38">
        <v>108</v>
      </c>
      <c r="E37" s="38">
        <v>177</v>
      </c>
      <c r="F37" s="38">
        <v>175</v>
      </c>
      <c r="G37" s="38">
        <v>174</v>
      </c>
      <c r="H37" s="38">
        <v>176</v>
      </c>
      <c r="I37" s="38">
        <v>166</v>
      </c>
      <c r="J37" s="38">
        <v>163</v>
      </c>
      <c r="K37" s="38">
        <v>155</v>
      </c>
      <c r="L37" s="38">
        <v>154</v>
      </c>
      <c r="M37" s="38">
        <v>154</v>
      </c>
    </row>
    <row r="38" spans="1:27" x14ac:dyDescent="0.25">
      <c r="A38" t="s">
        <v>114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27" x14ac:dyDescent="0.25">
      <c r="A39" t="s">
        <v>9</v>
      </c>
      <c r="D39" s="38">
        <v>-165</v>
      </c>
      <c r="E39" s="38">
        <v>-165</v>
      </c>
      <c r="F39" s="38">
        <v>-165</v>
      </c>
      <c r="G39" s="38">
        <v>-165</v>
      </c>
      <c r="H39" s="38">
        <v>-165</v>
      </c>
      <c r="I39" s="38">
        <v>-161</v>
      </c>
      <c r="J39" s="38">
        <v>-110</v>
      </c>
      <c r="K39" s="38">
        <v>-110</v>
      </c>
      <c r="L39" s="38">
        <v>-80</v>
      </c>
      <c r="M39" s="38">
        <v>-80</v>
      </c>
      <c r="R39">
        <f t="shared" ref="R39:AA39" si="8">+D7</f>
        <v>2016</v>
      </c>
      <c r="S39">
        <f t="shared" si="8"/>
        <v>2017</v>
      </c>
      <c r="T39">
        <f t="shared" si="8"/>
        <v>2018</v>
      </c>
      <c r="U39">
        <f t="shared" si="8"/>
        <v>2019</v>
      </c>
      <c r="V39">
        <f t="shared" si="8"/>
        <v>2020</v>
      </c>
      <c r="W39">
        <f t="shared" si="8"/>
        <v>2021</v>
      </c>
      <c r="X39">
        <f t="shared" si="8"/>
        <v>2022</v>
      </c>
      <c r="Y39">
        <f t="shared" si="8"/>
        <v>2023</v>
      </c>
      <c r="Z39">
        <f t="shared" si="8"/>
        <v>2024</v>
      </c>
      <c r="AA39">
        <f t="shared" si="8"/>
        <v>2025</v>
      </c>
    </row>
    <row r="40" spans="1:27" x14ac:dyDescent="0.25">
      <c r="A40" t="s">
        <v>99</v>
      </c>
      <c r="D40" s="38">
        <v>-3</v>
      </c>
      <c r="E40" s="38">
        <f>+D40</f>
        <v>-3</v>
      </c>
      <c r="F40" s="38">
        <f t="shared" ref="F40:M40" si="9">+E40</f>
        <v>-3</v>
      </c>
      <c r="G40" s="38">
        <f t="shared" si="9"/>
        <v>-3</v>
      </c>
      <c r="H40" s="38">
        <f t="shared" si="9"/>
        <v>-3</v>
      </c>
      <c r="I40" s="38">
        <f t="shared" si="9"/>
        <v>-3</v>
      </c>
      <c r="J40" s="38">
        <f t="shared" si="9"/>
        <v>-3</v>
      </c>
      <c r="K40" s="38">
        <f t="shared" si="9"/>
        <v>-3</v>
      </c>
      <c r="L40" s="38">
        <f t="shared" si="9"/>
        <v>-3</v>
      </c>
      <c r="M40" s="38">
        <f t="shared" si="9"/>
        <v>-3</v>
      </c>
    </row>
    <row r="41" spans="1:27" x14ac:dyDescent="0.25">
      <c r="A41" t="s">
        <v>40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O41" t="str">
        <f>+C27</f>
        <v>East Obligation + Reserves</v>
      </c>
      <c r="R41" s="6">
        <f>+D27</f>
        <v>7604</v>
      </c>
      <c r="S41" s="6">
        <f t="shared" ref="S41:AA41" si="10">+E27</f>
        <v>7741</v>
      </c>
      <c r="T41" s="6">
        <f t="shared" si="10"/>
        <v>7912</v>
      </c>
      <c r="U41" s="6">
        <f t="shared" si="10"/>
        <v>8052</v>
      </c>
      <c r="V41" s="6">
        <f t="shared" si="10"/>
        <v>8151</v>
      </c>
      <c r="W41" s="6">
        <f t="shared" si="10"/>
        <v>8265</v>
      </c>
      <c r="X41" s="6">
        <f t="shared" si="10"/>
        <v>8366</v>
      </c>
      <c r="Y41" s="6">
        <f t="shared" si="10"/>
        <v>8456</v>
      </c>
      <c r="Z41" s="6">
        <f t="shared" si="10"/>
        <v>8560</v>
      </c>
      <c r="AA41" s="6">
        <f t="shared" si="10"/>
        <v>8640</v>
      </c>
    </row>
    <row r="42" spans="1:27" x14ac:dyDescent="0.25">
      <c r="C42" s="1" t="s">
        <v>15</v>
      </c>
      <c r="D42" s="50">
        <f t="shared" ref="D42:M42" si="11">SUM(D33:D41)</f>
        <v>3222</v>
      </c>
      <c r="E42" s="50">
        <f t="shared" si="11"/>
        <v>3273</v>
      </c>
      <c r="F42" s="50">
        <f t="shared" si="11"/>
        <v>3282</v>
      </c>
      <c r="G42" s="50">
        <f t="shared" si="11"/>
        <v>3163</v>
      </c>
      <c r="H42" s="50">
        <f t="shared" si="11"/>
        <v>3222</v>
      </c>
      <c r="I42" s="50">
        <f t="shared" si="11"/>
        <v>3043</v>
      </c>
      <c r="J42" s="50">
        <f t="shared" si="11"/>
        <v>2958</v>
      </c>
      <c r="K42" s="50">
        <f t="shared" si="11"/>
        <v>3054</v>
      </c>
      <c r="L42" s="50">
        <f t="shared" si="11"/>
        <v>3062</v>
      </c>
      <c r="M42" s="50">
        <f t="shared" si="11"/>
        <v>3050</v>
      </c>
      <c r="S42" s="43">
        <f>(S41-R41)/R41</f>
        <v>1.8016833245660179E-2</v>
      </c>
      <c r="T42" s="43">
        <f t="shared" ref="T42:AA42" si="12">(T41-S41)/S41</f>
        <v>2.2090169228781813E-2</v>
      </c>
      <c r="U42" s="43">
        <f t="shared" si="12"/>
        <v>1.7694641051567241E-2</v>
      </c>
      <c r="V42" s="43">
        <f t="shared" si="12"/>
        <v>1.2295081967213115E-2</v>
      </c>
      <c r="W42" s="29">
        <f t="shared" si="12"/>
        <v>1.3986013986013986E-2</v>
      </c>
      <c r="X42" s="29">
        <f t="shared" si="12"/>
        <v>1.2220205686630368E-2</v>
      </c>
      <c r="Y42" s="29">
        <f t="shared" si="12"/>
        <v>1.0757829309108296E-2</v>
      </c>
      <c r="Z42" s="29">
        <f t="shared" si="12"/>
        <v>1.2298959318826869E-2</v>
      </c>
      <c r="AA42" s="29">
        <f t="shared" si="12"/>
        <v>9.3457943925233638E-3</v>
      </c>
    </row>
    <row r="43" spans="1:27" x14ac:dyDescent="0.25">
      <c r="D43" s="38"/>
      <c r="E43" s="38"/>
      <c r="F43" s="38"/>
      <c r="G43" s="38"/>
      <c r="H43" s="38"/>
      <c r="I43" s="38"/>
      <c r="J43" s="38"/>
      <c r="K43" s="38"/>
      <c r="L43" s="38"/>
      <c r="M43" s="38"/>
      <c r="S43" s="42"/>
      <c r="T43" s="42"/>
      <c r="U43" s="42"/>
      <c r="V43" s="42"/>
    </row>
    <row r="44" spans="1:27" x14ac:dyDescent="0.25">
      <c r="A44" t="s">
        <v>8</v>
      </c>
      <c r="D44" s="38">
        <v>3206</v>
      </c>
      <c r="E44" s="38">
        <v>3199</v>
      </c>
      <c r="F44" s="38">
        <v>3235</v>
      </c>
      <c r="G44" s="38">
        <v>3256</v>
      </c>
      <c r="H44" s="38">
        <v>3276</v>
      </c>
      <c r="I44" s="38">
        <v>3294</v>
      </c>
      <c r="J44" s="38">
        <v>3313</v>
      </c>
      <c r="K44" s="38">
        <v>3332</v>
      </c>
      <c r="L44" s="38">
        <v>3346</v>
      </c>
      <c r="M44" s="38">
        <v>3373</v>
      </c>
      <c r="O44" t="str">
        <f>+C51</f>
        <v>West Obligation + Reserves</v>
      </c>
      <c r="R44" s="6">
        <f t="shared" ref="R44:AA44" si="13">+D51</f>
        <v>3582</v>
      </c>
      <c r="S44" s="24">
        <f t="shared" si="13"/>
        <v>3574</v>
      </c>
      <c r="T44" s="24">
        <f t="shared" si="13"/>
        <v>3615</v>
      </c>
      <c r="U44" s="24">
        <f t="shared" si="13"/>
        <v>3639</v>
      </c>
      <c r="V44" s="24">
        <f t="shared" si="13"/>
        <v>3661</v>
      </c>
      <c r="W44" s="6">
        <f t="shared" si="13"/>
        <v>3682</v>
      </c>
      <c r="X44" s="6">
        <f t="shared" si="13"/>
        <v>3703</v>
      </c>
      <c r="Y44" s="6">
        <f t="shared" si="13"/>
        <v>3725</v>
      </c>
      <c r="Z44" s="6">
        <f t="shared" si="13"/>
        <v>3740</v>
      </c>
      <c r="AA44" s="6">
        <f t="shared" si="13"/>
        <v>3771</v>
      </c>
    </row>
    <row r="45" spans="1:27" x14ac:dyDescent="0.25">
      <c r="B45" t="s">
        <v>100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S45" s="43">
        <f>(S44-R44)/R44</f>
        <v>-2.2333891680625349E-3</v>
      </c>
      <c r="T45" s="43">
        <f t="shared" ref="T45:AA45" si="14">(T44-S44)/S44</f>
        <v>1.1471740346950195E-2</v>
      </c>
      <c r="U45" s="43">
        <f t="shared" si="14"/>
        <v>6.6390041493775932E-3</v>
      </c>
      <c r="V45" s="43">
        <f t="shared" si="14"/>
        <v>6.0456169277273977E-3</v>
      </c>
      <c r="W45" s="29">
        <f t="shared" si="14"/>
        <v>5.7361376673040155E-3</v>
      </c>
      <c r="X45" s="29">
        <f t="shared" si="14"/>
        <v>5.7034220532319393E-3</v>
      </c>
      <c r="Y45" s="29">
        <f t="shared" si="14"/>
        <v>5.9411288144747502E-3</v>
      </c>
      <c r="Z45" s="29">
        <f t="shared" si="14"/>
        <v>4.0268456375838931E-3</v>
      </c>
      <c r="AA45" s="29">
        <f t="shared" si="14"/>
        <v>8.2887700534759363E-3</v>
      </c>
    </row>
    <row r="46" spans="1:27" x14ac:dyDescent="0.25">
      <c r="B46" t="s">
        <v>113</v>
      </c>
      <c r="D46" s="38">
        <v>-36</v>
      </c>
      <c r="E46" s="38">
        <f>+D46</f>
        <v>-36</v>
      </c>
      <c r="F46" s="38">
        <f t="shared" ref="F46:M46" si="15">+E46</f>
        <v>-36</v>
      </c>
      <c r="G46" s="38">
        <f t="shared" si="15"/>
        <v>-36</v>
      </c>
      <c r="H46" s="38">
        <f t="shared" si="15"/>
        <v>-36</v>
      </c>
      <c r="I46" s="38">
        <f t="shared" si="15"/>
        <v>-36</v>
      </c>
      <c r="J46" s="38">
        <f t="shared" si="15"/>
        <v>-36</v>
      </c>
      <c r="K46" s="38">
        <f t="shared" si="15"/>
        <v>-36</v>
      </c>
      <c r="L46" s="38">
        <f t="shared" si="15"/>
        <v>-36</v>
      </c>
      <c r="M46" s="38">
        <f t="shared" si="15"/>
        <v>-36</v>
      </c>
      <c r="S46" s="42"/>
      <c r="T46" s="42"/>
      <c r="U46" s="42"/>
      <c r="V46" s="42"/>
    </row>
    <row r="47" spans="1:27" x14ac:dyDescent="0.25">
      <c r="C47" s="1" t="s">
        <v>16</v>
      </c>
      <c r="D47" s="50">
        <f>+D46+D45+D44</f>
        <v>3170</v>
      </c>
      <c r="E47" s="50">
        <f t="shared" ref="E47:M47" si="16">+E46+E45+E44</f>
        <v>3163</v>
      </c>
      <c r="F47" s="50">
        <f t="shared" si="16"/>
        <v>3199</v>
      </c>
      <c r="G47" s="50">
        <f t="shared" si="16"/>
        <v>3220</v>
      </c>
      <c r="H47" s="50">
        <f t="shared" si="16"/>
        <v>3240</v>
      </c>
      <c r="I47" s="50">
        <f t="shared" si="16"/>
        <v>3258</v>
      </c>
      <c r="J47" s="50">
        <f t="shared" si="16"/>
        <v>3277</v>
      </c>
      <c r="K47" s="50">
        <f t="shared" si="16"/>
        <v>3296</v>
      </c>
      <c r="L47" s="50">
        <f t="shared" si="16"/>
        <v>3310</v>
      </c>
      <c r="M47" s="50">
        <f t="shared" si="16"/>
        <v>3337</v>
      </c>
      <c r="O47" t="str">
        <f>+C61</f>
        <v>Obligation + Reserves</v>
      </c>
      <c r="R47" s="6">
        <f>+D61</f>
        <v>11186</v>
      </c>
      <c r="S47" s="24">
        <f t="shared" ref="S47:AA47" si="17">+E61</f>
        <v>11315</v>
      </c>
      <c r="T47" s="24">
        <f t="shared" si="17"/>
        <v>11527</v>
      </c>
      <c r="U47" s="24">
        <f t="shared" si="17"/>
        <v>11691</v>
      </c>
      <c r="V47" s="24">
        <f t="shared" si="17"/>
        <v>11812</v>
      </c>
      <c r="W47" s="6">
        <f t="shared" si="17"/>
        <v>11947</v>
      </c>
      <c r="X47" s="6">
        <f t="shared" si="17"/>
        <v>12069</v>
      </c>
      <c r="Y47" s="6">
        <f t="shared" si="17"/>
        <v>12181</v>
      </c>
      <c r="Z47" s="6">
        <f t="shared" si="17"/>
        <v>12300</v>
      </c>
      <c r="AA47" s="6">
        <f t="shared" si="17"/>
        <v>12411</v>
      </c>
    </row>
    <row r="48" spans="1:27" x14ac:dyDescent="0.25">
      <c r="D48" s="38"/>
      <c r="E48" s="38"/>
      <c r="F48" s="38"/>
      <c r="G48" s="38"/>
      <c r="H48" s="38"/>
      <c r="I48" s="38"/>
      <c r="J48" s="38"/>
      <c r="K48" s="38"/>
      <c r="L48" s="38"/>
      <c r="M48" s="38"/>
      <c r="S48" s="43">
        <f>(S47-R47)/R47</f>
        <v>1.153227248346147E-2</v>
      </c>
      <c r="T48" s="43">
        <f t="shared" ref="T48:AA48" si="18">(T47-S47)/S47</f>
        <v>1.8736190897039328E-2</v>
      </c>
      <c r="U48" s="43">
        <f t="shared" si="18"/>
        <v>1.4227465949509846E-2</v>
      </c>
      <c r="V48" s="43">
        <f t="shared" si="18"/>
        <v>1.034984175861774E-2</v>
      </c>
      <c r="W48" s="29">
        <f t="shared" si="18"/>
        <v>1.1429055198103624E-2</v>
      </c>
      <c r="X48" s="29">
        <f t="shared" si="18"/>
        <v>1.0211768644848079E-2</v>
      </c>
      <c r="Y48" s="29">
        <f t="shared" si="18"/>
        <v>9.2799734857900405E-3</v>
      </c>
      <c r="Z48" s="29">
        <f t="shared" si="18"/>
        <v>9.7693128642968551E-3</v>
      </c>
      <c r="AA48" s="29">
        <f t="shared" si="18"/>
        <v>9.0243902439024384E-3</v>
      </c>
    </row>
    <row r="49" spans="1:22" x14ac:dyDescent="0.25">
      <c r="A49" t="s">
        <v>101</v>
      </c>
      <c r="D49" s="38">
        <v>412</v>
      </c>
      <c r="E49" s="38">
        <v>411</v>
      </c>
      <c r="F49" s="38">
        <v>416</v>
      </c>
      <c r="G49" s="38">
        <v>419</v>
      </c>
      <c r="H49" s="38">
        <v>421</v>
      </c>
      <c r="I49" s="38">
        <v>424</v>
      </c>
      <c r="J49" s="38">
        <v>426</v>
      </c>
      <c r="K49" s="38">
        <v>429</v>
      </c>
      <c r="L49" s="38">
        <v>430</v>
      </c>
      <c r="M49" s="38">
        <v>434</v>
      </c>
    </row>
    <row r="50" spans="1:22" x14ac:dyDescent="0.25"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22" x14ac:dyDescent="0.25">
      <c r="C51" s="1" t="s">
        <v>18</v>
      </c>
      <c r="D51" s="50">
        <f>+D49+D47</f>
        <v>3582</v>
      </c>
      <c r="E51" s="50">
        <f t="shared" ref="E51:M51" si="19">+E49+E47</f>
        <v>3574</v>
      </c>
      <c r="F51" s="50">
        <f t="shared" si="19"/>
        <v>3615</v>
      </c>
      <c r="G51" s="50">
        <f t="shared" si="19"/>
        <v>3639</v>
      </c>
      <c r="H51" s="50">
        <f t="shared" si="19"/>
        <v>3661</v>
      </c>
      <c r="I51" s="50">
        <f t="shared" si="19"/>
        <v>3682</v>
      </c>
      <c r="J51" s="50">
        <f t="shared" si="19"/>
        <v>3703</v>
      </c>
      <c r="K51" s="50">
        <f t="shared" si="19"/>
        <v>3725</v>
      </c>
      <c r="L51" s="50">
        <f t="shared" si="19"/>
        <v>3740</v>
      </c>
      <c r="M51" s="50">
        <f t="shared" si="19"/>
        <v>3771</v>
      </c>
    </row>
    <row r="52" spans="1:22" x14ac:dyDescent="0.25">
      <c r="C52" s="1" t="s">
        <v>19</v>
      </c>
      <c r="D52" s="50">
        <f>+D42-D51</f>
        <v>-360</v>
      </c>
      <c r="E52" s="50">
        <f t="shared" ref="E52:M52" si="20">+E42-E51</f>
        <v>-301</v>
      </c>
      <c r="F52" s="50">
        <f t="shared" si="20"/>
        <v>-333</v>
      </c>
      <c r="G52" s="50">
        <f t="shared" si="20"/>
        <v>-476</v>
      </c>
      <c r="H52" s="50">
        <f t="shared" si="20"/>
        <v>-439</v>
      </c>
      <c r="I52" s="50">
        <f t="shared" si="20"/>
        <v>-639</v>
      </c>
      <c r="J52" s="50">
        <f t="shared" si="20"/>
        <v>-745</v>
      </c>
      <c r="K52" s="50">
        <f t="shared" si="20"/>
        <v>-671</v>
      </c>
      <c r="L52" s="50">
        <f t="shared" si="20"/>
        <v>-678</v>
      </c>
      <c r="M52" s="50">
        <f t="shared" si="20"/>
        <v>-721</v>
      </c>
    </row>
    <row r="53" spans="1:22" x14ac:dyDescent="0.25">
      <c r="C53" s="1" t="s">
        <v>20</v>
      </c>
      <c r="D53" s="53">
        <f>(D52+D49)/D47</f>
        <v>1.6403785488958992E-2</v>
      </c>
      <c r="E53" s="53">
        <f t="shared" ref="E53:M53" si="21">(E52+E49)/E47</f>
        <v>3.4777110338286434E-2</v>
      </c>
      <c r="F53" s="53">
        <f t="shared" si="21"/>
        <v>2.5945608002500783E-2</v>
      </c>
      <c r="G53" s="53">
        <f t="shared" si="21"/>
        <v>-1.7701863354037266E-2</v>
      </c>
      <c r="H53" s="53">
        <f t="shared" si="21"/>
        <v>-5.5555555555555558E-3</v>
      </c>
      <c r="I53" s="53">
        <f t="shared" si="21"/>
        <v>-6.5991405770411293E-2</v>
      </c>
      <c r="J53" s="53">
        <f t="shared" si="21"/>
        <v>-9.7345132743362831E-2</v>
      </c>
      <c r="K53" s="53">
        <f t="shared" si="21"/>
        <v>-7.3422330097087374E-2</v>
      </c>
      <c r="L53" s="53">
        <f t="shared" si="21"/>
        <v>-7.4924471299093659E-2</v>
      </c>
      <c r="M53" s="53">
        <f t="shared" si="21"/>
        <v>-8.6005394066526825E-2</v>
      </c>
    </row>
    <row r="54" spans="1:22" x14ac:dyDescent="0.25">
      <c r="A54" s="1" t="s">
        <v>126</v>
      </c>
      <c r="C54" s="1"/>
      <c r="D54" s="68">
        <v>1352</v>
      </c>
      <c r="E54" s="68">
        <v>1352</v>
      </c>
      <c r="F54" s="68">
        <v>1352</v>
      </c>
      <c r="G54" s="68">
        <v>1352</v>
      </c>
      <c r="H54" s="68">
        <v>1352</v>
      </c>
      <c r="I54" s="68">
        <v>1352</v>
      </c>
      <c r="J54" s="68">
        <v>1352</v>
      </c>
      <c r="K54" s="68">
        <v>1352</v>
      </c>
      <c r="L54" s="68">
        <v>1352</v>
      </c>
      <c r="M54" s="68">
        <v>1352</v>
      </c>
    </row>
    <row r="55" spans="1:22" x14ac:dyDescent="0.25">
      <c r="C55" s="1"/>
    </row>
    <row r="56" spans="1:22" x14ac:dyDescent="0.25">
      <c r="A56" s="76" t="s">
        <v>34</v>
      </c>
      <c r="B56" s="76"/>
      <c r="C56" s="76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22" x14ac:dyDescent="0.25">
      <c r="C57" s="1" t="s">
        <v>21</v>
      </c>
      <c r="D57" s="51">
        <f>+D18+D42</f>
        <v>10131</v>
      </c>
      <c r="E57" s="51">
        <f t="shared" ref="E57:M57" si="22">+E18+E42</f>
        <v>10316</v>
      </c>
      <c r="F57" s="51">
        <f t="shared" si="22"/>
        <v>10042</v>
      </c>
      <c r="G57" s="51">
        <f t="shared" si="22"/>
        <v>9920</v>
      </c>
      <c r="H57" s="51">
        <f t="shared" si="22"/>
        <v>9973</v>
      </c>
      <c r="I57" s="51">
        <f t="shared" si="22"/>
        <v>10235</v>
      </c>
      <c r="J57" s="51">
        <f t="shared" si="22"/>
        <v>10136</v>
      </c>
      <c r="K57" s="51">
        <f t="shared" si="22"/>
        <v>10221</v>
      </c>
      <c r="L57" s="51">
        <f t="shared" si="22"/>
        <v>10180</v>
      </c>
      <c r="M57" s="51">
        <f t="shared" si="22"/>
        <v>9667</v>
      </c>
      <c r="N57" s="18">
        <f>RATE(9,,-D57,M57)</f>
        <v>-5.1955679475599913E-3</v>
      </c>
    </row>
    <row r="58" spans="1:22" x14ac:dyDescent="0.25">
      <c r="C58" s="1" t="s">
        <v>35</v>
      </c>
      <c r="D58" s="51">
        <f>+D41+D17</f>
        <v>0</v>
      </c>
      <c r="E58" s="51">
        <f t="shared" ref="E58:M58" si="23">+E41+E17</f>
        <v>0</v>
      </c>
      <c r="F58" s="51">
        <f t="shared" si="23"/>
        <v>0</v>
      </c>
      <c r="G58" s="51">
        <f t="shared" si="23"/>
        <v>0</v>
      </c>
      <c r="H58" s="51">
        <f t="shared" si="23"/>
        <v>0</v>
      </c>
      <c r="I58" s="51">
        <f t="shared" si="23"/>
        <v>0</v>
      </c>
      <c r="J58" s="51">
        <f t="shared" si="23"/>
        <v>0</v>
      </c>
      <c r="K58" s="51">
        <f t="shared" si="23"/>
        <v>0</v>
      </c>
      <c r="L58" s="51">
        <f t="shared" si="23"/>
        <v>0</v>
      </c>
      <c r="M58" s="51">
        <f t="shared" si="23"/>
        <v>0</v>
      </c>
    </row>
    <row r="59" spans="1:22" x14ac:dyDescent="0.25">
      <c r="C59" s="1" t="s">
        <v>36</v>
      </c>
      <c r="D59" s="51">
        <f>+D47+D23</f>
        <v>9877</v>
      </c>
      <c r="E59" s="51">
        <f t="shared" ref="E59:M59" si="24">+E47+E23</f>
        <v>9991</v>
      </c>
      <c r="F59" s="51">
        <f t="shared" si="24"/>
        <v>10178</v>
      </c>
      <c r="G59" s="51">
        <f t="shared" si="24"/>
        <v>10323</v>
      </c>
      <c r="H59" s="51">
        <f t="shared" si="24"/>
        <v>10431</v>
      </c>
      <c r="I59" s="51">
        <f t="shared" si="24"/>
        <v>10550</v>
      </c>
      <c r="J59" s="51">
        <f t="shared" si="24"/>
        <v>10658</v>
      </c>
      <c r="K59" s="51">
        <f t="shared" si="24"/>
        <v>10757</v>
      </c>
      <c r="L59" s="51">
        <f t="shared" si="24"/>
        <v>10863</v>
      </c>
      <c r="M59" s="51">
        <f t="shared" si="24"/>
        <v>10961</v>
      </c>
      <c r="N59" s="18">
        <f>RATE(9,,-D59,M59)</f>
        <v>1.1637719219057025E-2</v>
      </c>
    </row>
    <row r="60" spans="1:22" x14ac:dyDescent="0.25">
      <c r="C60" s="1" t="s">
        <v>22</v>
      </c>
      <c r="D60" s="51">
        <f>+D25+D49</f>
        <v>1309</v>
      </c>
      <c r="E60" s="51">
        <f t="shared" ref="E60:M60" si="25">+E25+E49</f>
        <v>1324</v>
      </c>
      <c r="F60" s="51">
        <f t="shared" si="25"/>
        <v>1349</v>
      </c>
      <c r="G60" s="51">
        <f t="shared" si="25"/>
        <v>1368</v>
      </c>
      <c r="H60" s="51">
        <f t="shared" si="25"/>
        <v>1381</v>
      </c>
      <c r="I60" s="51">
        <f t="shared" si="25"/>
        <v>1397</v>
      </c>
      <c r="J60" s="51">
        <f t="shared" si="25"/>
        <v>1411</v>
      </c>
      <c r="K60" s="51">
        <f t="shared" si="25"/>
        <v>1424</v>
      </c>
      <c r="L60" s="51">
        <f t="shared" si="25"/>
        <v>1437</v>
      </c>
      <c r="M60" s="51">
        <f t="shared" si="25"/>
        <v>1450</v>
      </c>
    </row>
    <row r="61" spans="1:22" x14ac:dyDescent="0.25">
      <c r="C61" s="1" t="s">
        <v>37</v>
      </c>
      <c r="D61" s="51">
        <f>+D60+D59</f>
        <v>11186</v>
      </c>
      <c r="E61" s="51">
        <f t="shared" ref="E61:M61" si="26">+E60+E59</f>
        <v>11315</v>
      </c>
      <c r="F61" s="51">
        <f t="shared" si="26"/>
        <v>11527</v>
      </c>
      <c r="G61" s="51">
        <f t="shared" si="26"/>
        <v>11691</v>
      </c>
      <c r="H61" s="51">
        <f t="shared" si="26"/>
        <v>11812</v>
      </c>
      <c r="I61" s="51">
        <f t="shared" si="26"/>
        <v>11947</v>
      </c>
      <c r="J61" s="51">
        <f t="shared" si="26"/>
        <v>12069</v>
      </c>
      <c r="K61" s="51">
        <f t="shared" si="26"/>
        <v>12181</v>
      </c>
      <c r="L61" s="51">
        <f t="shared" si="26"/>
        <v>12300</v>
      </c>
      <c r="M61" s="51">
        <f t="shared" si="26"/>
        <v>12411</v>
      </c>
    </row>
    <row r="62" spans="1:22" x14ac:dyDescent="0.25">
      <c r="C62" s="1" t="s">
        <v>38</v>
      </c>
      <c r="D62" s="51">
        <f>+D57+D58-D61</f>
        <v>-1055</v>
      </c>
      <c r="E62" s="51">
        <f t="shared" ref="E62:M62" si="27">+E57+E58-E61</f>
        <v>-999</v>
      </c>
      <c r="F62" s="51">
        <f t="shared" si="27"/>
        <v>-1485</v>
      </c>
      <c r="G62" s="51">
        <f t="shared" si="27"/>
        <v>-1771</v>
      </c>
      <c r="H62" s="51">
        <f t="shared" si="27"/>
        <v>-1839</v>
      </c>
      <c r="I62" s="51">
        <f t="shared" si="27"/>
        <v>-1712</v>
      </c>
      <c r="J62" s="51">
        <f t="shared" si="27"/>
        <v>-1933</v>
      </c>
      <c r="K62" s="51">
        <f t="shared" si="27"/>
        <v>-1960</v>
      </c>
      <c r="L62" s="51">
        <f t="shared" si="27"/>
        <v>-2120</v>
      </c>
      <c r="M62" s="51">
        <f t="shared" si="27"/>
        <v>-2744</v>
      </c>
    </row>
    <row r="63" spans="1:22" x14ac:dyDescent="0.25">
      <c r="C63" s="1" t="s">
        <v>23</v>
      </c>
      <c r="D63" s="53">
        <f>(D62+D60)/D59</f>
        <v>2.5716310620633797E-2</v>
      </c>
      <c r="E63" s="53">
        <f t="shared" ref="E63:M63" si="28">(E62+E60)/E59</f>
        <v>3.2529276348713845E-2</v>
      </c>
      <c r="F63" s="53">
        <f t="shared" si="28"/>
        <v>-1.3362153664767144E-2</v>
      </c>
      <c r="G63" s="53">
        <f t="shared" si="28"/>
        <v>-3.903903903903904E-2</v>
      </c>
      <c r="H63" s="53">
        <f t="shared" si="28"/>
        <v>-4.390758316556418E-2</v>
      </c>
      <c r="I63" s="53">
        <f t="shared" si="28"/>
        <v>-2.985781990521327E-2</v>
      </c>
      <c r="J63" s="53">
        <f t="shared" si="28"/>
        <v>-4.8977294051416778E-2</v>
      </c>
      <c r="K63" s="53">
        <f t="shared" si="28"/>
        <v>-4.9828018964395281E-2</v>
      </c>
      <c r="L63" s="53">
        <f t="shared" si="28"/>
        <v>-6.2873975881432384E-2</v>
      </c>
      <c r="M63" s="53">
        <f t="shared" si="28"/>
        <v>-0.11805492199616824</v>
      </c>
      <c r="N63" s="42"/>
      <c r="S63" s="31"/>
      <c r="T63" s="31"/>
      <c r="U63" s="31"/>
      <c r="V63" s="31"/>
    </row>
    <row r="64" spans="1:22" x14ac:dyDescent="0.25">
      <c r="A64" s="1" t="s">
        <v>126</v>
      </c>
      <c r="D64" s="69">
        <f>+D54+D30</f>
        <v>1670</v>
      </c>
      <c r="E64" s="69">
        <f t="shared" ref="E64:M64" si="29">+E54+E30</f>
        <v>1670</v>
      </c>
      <c r="F64" s="69">
        <f t="shared" si="29"/>
        <v>1670</v>
      </c>
      <c r="G64" s="69">
        <f t="shared" si="29"/>
        <v>1670</v>
      </c>
      <c r="H64" s="69">
        <f t="shared" si="29"/>
        <v>1670</v>
      </c>
      <c r="I64" s="69">
        <f t="shared" si="29"/>
        <v>1670</v>
      </c>
      <c r="J64" s="69">
        <f t="shared" si="29"/>
        <v>1670</v>
      </c>
      <c r="K64" s="69">
        <f t="shared" si="29"/>
        <v>1670</v>
      </c>
      <c r="L64" s="69">
        <f t="shared" si="29"/>
        <v>1670</v>
      </c>
      <c r="M64" s="69">
        <f t="shared" si="29"/>
        <v>1670</v>
      </c>
    </row>
    <row r="66" spans="1:26" x14ac:dyDescent="0.25">
      <c r="A66" t="s">
        <v>68</v>
      </c>
      <c r="E66" s="40">
        <f>+E86</f>
        <v>1.8260783733096437E-2</v>
      </c>
      <c r="F66" s="40">
        <f t="shared" ref="F66:M66" si="30">+F86</f>
        <v>-2.6560682435052347E-2</v>
      </c>
      <c r="G66" s="40">
        <f t="shared" si="30"/>
        <v>-1.2148974307906792E-2</v>
      </c>
      <c r="H66" s="40">
        <f t="shared" si="30"/>
        <v>5.3427419354838707E-3</v>
      </c>
      <c r="I66" s="31">
        <f t="shared" si="30"/>
        <v>2.6270931515090745E-2</v>
      </c>
      <c r="J66" s="31">
        <f t="shared" si="30"/>
        <v>-9.6726917440156327E-3</v>
      </c>
      <c r="K66" s="31">
        <f t="shared" si="30"/>
        <v>8.3859510655090765E-3</v>
      </c>
      <c r="L66" s="31">
        <f t="shared" si="30"/>
        <v>-4.011349183054496E-3</v>
      </c>
      <c r="M66" s="31">
        <f t="shared" si="30"/>
        <v>-5.0392927308447938E-2</v>
      </c>
    </row>
    <row r="67" spans="1:26" x14ac:dyDescent="0.25">
      <c r="D67" s="18"/>
      <c r="E67" s="41"/>
      <c r="F67" s="41"/>
      <c r="G67" s="41"/>
      <c r="H67" s="42"/>
    </row>
    <row r="68" spans="1:26" x14ac:dyDescent="0.25">
      <c r="A68" t="s">
        <v>69</v>
      </c>
      <c r="E68" s="40">
        <f>+E90</f>
        <v>1.153227248346147E-2</v>
      </c>
      <c r="F68" s="40">
        <f t="shared" ref="F68:M68" si="31">+F90</f>
        <v>1.8736190897039328E-2</v>
      </c>
      <c r="G68" s="40">
        <f t="shared" si="31"/>
        <v>1.4227465949509846E-2</v>
      </c>
      <c r="H68" s="40">
        <f t="shared" si="31"/>
        <v>1.034984175861774E-2</v>
      </c>
      <c r="I68" s="31">
        <f t="shared" si="31"/>
        <v>1.1429055198103624E-2</v>
      </c>
      <c r="J68" s="31">
        <f t="shared" si="31"/>
        <v>1.0211768644848079E-2</v>
      </c>
      <c r="K68" s="31">
        <f t="shared" si="31"/>
        <v>9.2799734857900405E-3</v>
      </c>
      <c r="L68" s="31">
        <f t="shared" si="31"/>
        <v>9.7693128642968551E-3</v>
      </c>
      <c r="M68" s="31">
        <f t="shared" si="31"/>
        <v>9.0243902439024384E-3</v>
      </c>
    </row>
    <row r="69" spans="1:26" x14ac:dyDescent="0.25">
      <c r="E69" s="42"/>
      <c r="F69" s="42"/>
      <c r="G69" s="42"/>
      <c r="H69" s="42"/>
    </row>
    <row r="70" spans="1:26" x14ac:dyDescent="0.25">
      <c r="O70" t="s">
        <v>73</v>
      </c>
      <c r="Q70" s="6">
        <f>+R47</f>
        <v>11186</v>
      </c>
      <c r="R70" s="17">
        <f>+Q70*(1+R71)</f>
        <v>11353.789999999999</v>
      </c>
      <c r="S70" s="17">
        <f>+R70*(1+S71)</f>
        <v>11524.096849999998</v>
      </c>
      <c r="T70" s="17">
        <f t="shared" ref="T70:Z70" si="32">+S70*(1+T71)</f>
        <v>11696.958302749998</v>
      </c>
      <c r="U70" s="17">
        <f t="shared" si="32"/>
        <v>11872.412677291246</v>
      </c>
      <c r="V70" s="17">
        <f t="shared" si="32"/>
        <v>12050.498867450613</v>
      </c>
      <c r="W70" s="17">
        <f t="shared" si="32"/>
        <v>12231.25635046237</v>
      </c>
      <c r="X70" s="17">
        <f t="shared" si="32"/>
        <v>12414.725195719304</v>
      </c>
      <c r="Y70" s="17">
        <f t="shared" si="32"/>
        <v>12600.946073655092</v>
      </c>
      <c r="Z70" s="17">
        <f t="shared" si="32"/>
        <v>12789.960264759917</v>
      </c>
    </row>
    <row r="71" spans="1:26" x14ac:dyDescent="0.25">
      <c r="R71" s="29">
        <v>1.4999999999999999E-2</v>
      </c>
      <c r="S71" s="29">
        <f>+R71</f>
        <v>1.4999999999999999E-2</v>
      </c>
      <c r="T71" s="29">
        <f t="shared" ref="T71:Z71" si="33">+S71</f>
        <v>1.4999999999999999E-2</v>
      </c>
      <c r="U71" s="29">
        <f t="shared" si="33"/>
        <v>1.4999999999999999E-2</v>
      </c>
      <c r="V71" s="29">
        <f t="shared" si="33"/>
        <v>1.4999999999999999E-2</v>
      </c>
      <c r="W71" s="29">
        <f t="shared" si="33"/>
        <v>1.4999999999999999E-2</v>
      </c>
      <c r="X71" s="29">
        <f t="shared" si="33"/>
        <v>1.4999999999999999E-2</v>
      </c>
      <c r="Y71" s="29">
        <f t="shared" si="33"/>
        <v>1.4999999999999999E-2</v>
      </c>
      <c r="Z71" s="29">
        <f t="shared" si="33"/>
        <v>1.4999999999999999E-2</v>
      </c>
    </row>
    <row r="72" spans="1:26" x14ac:dyDescent="0.25">
      <c r="D72" s="54">
        <f>+D7</f>
        <v>2016</v>
      </c>
      <c r="E72" s="54">
        <f t="shared" ref="E72:M72" si="34">+E7</f>
        <v>2017</v>
      </c>
      <c r="F72" s="54">
        <f t="shared" si="34"/>
        <v>2018</v>
      </c>
      <c r="G72" s="54">
        <f t="shared" si="34"/>
        <v>2019</v>
      </c>
      <c r="H72" s="54">
        <f t="shared" si="34"/>
        <v>2020</v>
      </c>
      <c r="I72" s="54">
        <f t="shared" si="34"/>
        <v>2021</v>
      </c>
      <c r="J72" s="54">
        <f t="shared" si="34"/>
        <v>2022</v>
      </c>
      <c r="K72" s="54">
        <f t="shared" si="34"/>
        <v>2023</v>
      </c>
      <c r="L72" s="54">
        <f t="shared" si="34"/>
        <v>2024</v>
      </c>
      <c r="M72" s="54">
        <f t="shared" si="34"/>
        <v>2025</v>
      </c>
    </row>
    <row r="73" spans="1:26" x14ac:dyDescent="0.25">
      <c r="A73" t="str">
        <f>+C18</f>
        <v>East Existing Resources</v>
      </c>
      <c r="D73" s="17">
        <f>+D18</f>
        <v>6909</v>
      </c>
      <c r="E73" s="17">
        <f>+E18</f>
        <v>7043</v>
      </c>
      <c r="F73" s="17">
        <f t="shared" ref="F73:M73" si="35">+F18</f>
        <v>6760</v>
      </c>
      <c r="G73" s="17">
        <f t="shared" si="35"/>
        <v>6757</v>
      </c>
      <c r="H73" s="17">
        <f t="shared" si="35"/>
        <v>6751</v>
      </c>
      <c r="I73" s="17">
        <f t="shared" si="35"/>
        <v>7192</v>
      </c>
      <c r="J73" s="17">
        <f t="shared" si="35"/>
        <v>7178</v>
      </c>
      <c r="K73" s="17">
        <f t="shared" si="35"/>
        <v>7167</v>
      </c>
      <c r="L73" s="17">
        <f t="shared" si="35"/>
        <v>7118</v>
      </c>
      <c r="M73" s="17">
        <f t="shared" si="35"/>
        <v>6617</v>
      </c>
    </row>
    <row r="74" spans="1:26" x14ac:dyDescent="0.25">
      <c r="D74" s="17"/>
      <c r="E74" s="29">
        <f>(E73-D73)/D73</f>
        <v>1.9394992039368938E-2</v>
      </c>
      <c r="F74" s="29">
        <f t="shared" ref="F74:M74" si="36">(F73-E73)/E73</f>
        <v>-4.0181740735482037E-2</v>
      </c>
      <c r="G74" s="29">
        <f t="shared" si="36"/>
        <v>-4.4378698224852069E-4</v>
      </c>
      <c r="H74" s="29">
        <f t="shared" si="36"/>
        <v>-8.8796803315080658E-4</v>
      </c>
      <c r="I74" s="29">
        <f t="shared" si="36"/>
        <v>6.5323655754703003E-2</v>
      </c>
      <c r="J74" s="29">
        <f t="shared" si="36"/>
        <v>-1.946607341490545E-3</v>
      </c>
      <c r="K74" s="29">
        <f t="shared" si="36"/>
        <v>-1.5324602953468932E-3</v>
      </c>
      <c r="L74" s="29">
        <f t="shared" si="36"/>
        <v>-6.8368913073810524E-3</v>
      </c>
      <c r="M74" s="29">
        <f t="shared" si="36"/>
        <v>-7.0384939589772405E-2</v>
      </c>
    </row>
    <row r="75" spans="1:26" x14ac:dyDescent="0.25"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26" x14ac:dyDescent="0.25">
      <c r="A76" t="str">
        <f>+C27</f>
        <v>East Obligation + Reserves</v>
      </c>
      <c r="D76" s="17">
        <f>+D27</f>
        <v>7604</v>
      </c>
      <c r="E76" s="17">
        <f t="shared" ref="E76:M76" si="37">+E27</f>
        <v>7741</v>
      </c>
      <c r="F76" s="17">
        <f t="shared" si="37"/>
        <v>7912</v>
      </c>
      <c r="G76" s="17">
        <f t="shared" si="37"/>
        <v>8052</v>
      </c>
      <c r="H76" s="17">
        <f t="shared" si="37"/>
        <v>8151</v>
      </c>
      <c r="I76" s="17">
        <f t="shared" si="37"/>
        <v>8265</v>
      </c>
      <c r="J76" s="17">
        <f t="shared" si="37"/>
        <v>8366</v>
      </c>
      <c r="K76" s="17">
        <f t="shared" si="37"/>
        <v>8456</v>
      </c>
      <c r="L76" s="17">
        <f t="shared" si="37"/>
        <v>8560</v>
      </c>
      <c r="M76" s="17">
        <f t="shared" si="37"/>
        <v>8640</v>
      </c>
    </row>
    <row r="77" spans="1:26" x14ac:dyDescent="0.25">
      <c r="D77" s="17"/>
      <c r="E77" s="29">
        <f>(E76-D76)/D76</f>
        <v>1.8016833245660179E-2</v>
      </c>
      <c r="F77" s="29">
        <f t="shared" ref="F77:M77" si="38">(F76-E76)/E76</f>
        <v>2.2090169228781813E-2</v>
      </c>
      <c r="G77" s="29">
        <f t="shared" si="38"/>
        <v>1.7694641051567241E-2</v>
      </c>
      <c r="H77" s="29">
        <f t="shared" si="38"/>
        <v>1.2295081967213115E-2</v>
      </c>
      <c r="I77" s="29">
        <f t="shared" si="38"/>
        <v>1.3986013986013986E-2</v>
      </c>
      <c r="J77" s="29">
        <f t="shared" si="38"/>
        <v>1.2220205686630368E-2</v>
      </c>
      <c r="K77" s="29">
        <f t="shared" si="38"/>
        <v>1.0757829309108296E-2</v>
      </c>
      <c r="L77" s="29">
        <f t="shared" si="38"/>
        <v>1.2298959318826869E-2</v>
      </c>
      <c r="M77" s="29">
        <f t="shared" si="38"/>
        <v>9.3457943925233638E-3</v>
      </c>
    </row>
    <row r="78" spans="1:26" x14ac:dyDescent="0.25"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26" x14ac:dyDescent="0.25">
      <c r="A79" t="str">
        <f>+C42</f>
        <v>West Existing Resources</v>
      </c>
      <c r="D79" s="17">
        <f t="shared" ref="D79:M79" si="39">+D42</f>
        <v>3222</v>
      </c>
      <c r="E79" s="17">
        <f t="shared" si="39"/>
        <v>3273</v>
      </c>
      <c r="F79" s="17">
        <f t="shared" si="39"/>
        <v>3282</v>
      </c>
      <c r="G79" s="17">
        <f t="shared" si="39"/>
        <v>3163</v>
      </c>
      <c r="H79" s="17">
        <f t="shared" si="39"/>
        <v>3222</v>
      </c>
      <c r="I79" s="17">
        <f t="shared" si="39"/>
        <v>3043</v>
      </c>
      <c r="J79" s="17">
        <f t="shared" si="39"/>
        <v>2958</v>
      </c>
      <c r="K79" s="17">
        <f t="shared" si="39"/>
        <v>3054</v>
      </c>
      <c r="L79" s="17">
        <f t="shared" si="39"/>
        <v>3062</v>
      </c>
      <c r="M79" s="17">
        <f t="shared" si="39"/>
        <v>3050</v>
      </c>
    </row>
    <row r="80" spans="1:26" x14ac:dyDescent="0.25">
      <c r="D80" s="17"/>
      <c r="E80" s="29">
        <f>(E79-D79)/D79</f>
        <v>1.5828677839851025E-2</v>
      </c>
      <c r="F80" s="29">
        <f t="shared" ref="F80:M80" si="40">(F79-E79)/E79</f>
        <v>2.7497708524289641E-3</v>
      </c>
      <c r="G80" s="29">
        <f t="shared" si="40"/>
        <v>-3.6258379037172453E-2</v>
      </c>
      <c r="H80" s="29">
        <f t="shared" si="40"/>
        <v>1.8653177363262725E-2</v>
      </c>
      <c r="I80" s="29">
        <f t="shared" si="40"/>
        <v>-5.5555555555555552E-2</v>
      </c>
      <c r="J80" s="29">
        <f t="shared" si="40"/>
        <v>-2.7932960893854747E-2</v>
      </c>
      <c r="K80" s="29">
        <f t="shared" si="40"/>
        <v>3.2454361054766734E-2</v>
      </c>
      <c r="L80" s="29">
        <f t="shared" si="40"/>
        <v>2.6195153896529143E-3</v>
      </c>
      <c r="M80" s="29">
        <f t="shared" si="40"/>
        <v>-3.9190071848465057E-3</v>
      </c>
    </row>
    <row r="81" spans="1:15" x14ac:dyDescent="0.25"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5" x14ac:dyDescent="0.25">
      <c r="A82" t="str">
        <f>+C51</f>
        <v>West Obligation + Reserves</v>
      </c>
      <c r="D82" s="17">
        <f>+D51</f>
        <v>3582</v>
      </c>
      <c r="E82" s="17">
        <f t="shared" ref="E82:M82" si="41">+E51</f>
        <v>3574</v>
      </c>
      <c r="F82" s="17">
        <f t="shared" si="41"/>
        <v>3615</v>
      </c>
      <c r="G82" s="17">
        <f t="shared" si="41"/>
        <v>3639</v>
      </c>
      <c r="H82" s="17">
        <f t="shared" si="41"/>
        <v>3661</v>
      </c>
      <c r="I82" s="17">
        <f t="shared" si="41"/>
        <v>3682</v>
      </c>
      <c r="J82" s="17">
        <f t="shared" si="41"/>
        <v>3703</v>
      </c>
      <c r="K82" s="17">
        <f t="shared" si="41"/>
        <v>3725</v>
      </c>
      <c r="L82" s="17">
        <f t="shared" si="41"/>
        <v>3740</v>
      </c>
      <c r="M82" s="17">
        <f t="shared" si="41"/>
        <v>3771</v>
      </c>
    </row>
    <row r="83" spans="1:15" x14ac:dyDescent="0.25">
      <c r="D83" s="17"/>
      <c r="E83" s="29">
        <f>(E82-D82)/D82</f>
        <v>-2.2333891680625349E-3</v>
      </c>
      <c r="F83" s="29">
        <f t="shared" ref="F83:M83" si="42">(F82-E82)/E82</f>
        <v>1.1471740346950195E-2</v>
      </c>
      <c r="G83" s="29">
        <f t="shared" si="42"/>
        <v>6.6390041493775932E-3</v>
      </c>
      <c r="H83" s="29">
        <f t="shared" si="42"/>
        <v>6.0456169277273977E-3</v>
      </c>
      <c r="I83" s="29">
        <f t="shared" si="42"/>
        <v>5.7361376673040155E-3</v>
      </c>
      <c r="J83" s="29">
        <f t="shared" si="42"/>
        <v>5.7034220532319393E-3</v>
      </c>
      <c r="K83" s="29">
        <f t="shared" si="42"/>
        <v>5.9411288144747502E-3</v>
      </c>
      <c r="L83" s="29">
        <f t="shared" si="42"/>
        <v>4.0268456375838931E-3</v>
      </c>
      <c r="M83" s="29">
        <f t="shared" si="42"/>
        <v>8.2887700534759363E-3</v>
      </c>
    </row>
    <row r="84" spans="1:15" x14ac:dyDescent="0.25"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5" x14ac:dyDescent="0.25">
      <c r="A85" t="str">
        <f>+C57</f>
        <v>Total Resources</v>
      </c>
      <c r="D85" s="17">
        <f>+D57</f>
        <v>10131</v>
      </c>
      <c r="E85" s="17">
        <f t="shared" ref="E85:M85" si="43">+E57</f>
        <v>10316</v>
      </c>
      <c r="F85" s="17">
        <f t="shared" si="43"/>
        <v>10042</v>
      </c>
      <c r="G85" s="17">
        <f t="shared" si="43"/>
        <v>9920</v>
      </c>
      <c r="H85" s="17">
        <f t="shared" si="43"/>
        <v>9973</v>
      </c>
      <c r="I85" s="17">
        <f t="shared" si="43"/>
        <v>10235</v>
      </c>
      <c r="J85" s="17">
        <f t="shared" si="43"/>
        <v>10136</v>
      </c>
      <c r="K85" s="17">
        <f t="shared" si="43"/>
        <v>10221</v>
      </c>
      <c r="L85" s="17">
        <f t="shared" si="43"/>
        <v>10180</v>
      </c>
      <c r="M85" s="17">
        <f t="shared" si="43"/>
        <v>9667</v>
      </c>
    </row>
    <row r="86" spans="1:15" x14ac:dyDescent="0.25">
      <c r="D86" s="17"/>
      <c r="E86" s="29">
        <f>(E85-D85)/D85</f>
        <v>1.8260783733096437E-2</v>
      </c>
      <c r="F86" s="29">
        <f t="shared" ref="F86:M86" si="44">(F85-E85)/E85</f>
        <v>-2.6560682435052347E-2</v>
      </c>
      <c r="G86" s="29">
        <f t="shared" si="44"/>
        <v>-1.2148974307906792E-2</v>
      </c>
      <c r="H86" s="29">
        <f t="shared" si="44"/>
        <v>5.3427419354838707E-3</v>
      </c>
      <c r="I86" s="29">
        <f t="shared" si="44"/>
        <v>2.6270931515090745E-2</v>
      </c>
      <c r="J86" s="29">
        <f t="shared" si="44"/>
        <v>-9.6726917440156327E-3</v>
      </c>
      <c r="K86" s="29">
        <f t="shared" si="44"/>
        <v>8.3859510655090765E-3</v>
      </c>
      <c r="L86" s="29">
        <f t="shared" si="44"/>
        <v>-4.011349183054496E-3</v>
      </c>
      <c r="M86" s="29">
        <f t="shared" si="44"/>
        <v>-5.0392927308447938E-2</v>
      </c>
    </row>
    <row r="87" spans="1:15" x14ac:dyDescent="0.25">
      <c r="D87" s="17"/>
      <c r="E87" s="17">
        <f>+E85-D85</f>
        <v>185</v>
      </c>
      <c r="F87" s="17">
        <f t="shared" ref="F87:M87" si="45">+F85-E85</f>
        <v>-274</v>
      </c>
      <c r="G87" s="17">
        <f t="shared" si="45"/>
        <v>-122</v>
      </c>
      <c r="H87" s="17">
        <f t="shared" si="45"/>
        <v>53</v>
      </c>
      <c r="I87" s="17">
        <f t="shared" si="45"/>
        <v>262</v>
      </c>
      <c r="J87" s="17">
        <f t="shared" si="45"/>
        <v>-99</v>
      </c>
      <c r="K87" s="17">
        <f t="shared" si="45"/>
        <v>85</v>
      </c>
      <c r="L87" s="17">
        <f t="shared" si="45"/>
        <v>-41</v>
      </c>
      <c r="M87" s="17">
        <f t="shared" si="45"/>
        <v>-513</v>
      </c>
    </row>
    <row r="88" spans="1:15" x14ac:dyDescent="0.25"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5" x14ac:dyDescent="0.25">
      <c r="A89" t="str">
        <f>+C61</f>
        <v>Obligation + Reserves</v>
      </c>
      <c r="D89" s="17">
        <f>+D61</f>
        <v>11186</v>
      </c>
      <c r="E89" s="17">
        <f t="shared" ref="E89:M89" si="46">+E61</f>
        <v>11315</v>
      </c>
      <c r="F89" s="17">
        <f t="shared" si="46"/>
        <v>11527</v>
      </c>
      <c r="G89" s="17">
        <f t="shared" si="46"/>
        <v>11691</v>
      </c>
      <c r="H89" s="17">
        <f t="shared" si="46"/>
        <v>11812</v>
      </c>
      <c r="I89" s="17">
        <f t="shared" si="46"/>
        <v>11947</v>
      </c>
      <c r="J89" s="17">
        <f t="shared" si="46"/>
        <v>12069</v>
      </c>
      <c r="K89" s="17">
        <f t="shared" si="46"/>
        <v>12181</v>
      </c>
      <c r="L89" s="17">
        <f t="shared" si="46"/>
        <v>12300</v>
      </c>
      <c r="M89" s="17">
        <f t="shared" si="46"/>
        <v>12411</v>
      </c>
    </row>
    <row r="90" spans="1:15" x14ac:dyDescent="0.25">
      <c r="E90" s="29">
        <f>(E89-D89)/D89</f>
        <v>1.153227248346147E-2</v>
      </c>
      <c r="F90" s="29">
        <f t="shared" ref="F90:M90" si="47">(F89-E89)/E89</f>
        <v>1.8736190897039328E-2</v>
      </c>
      <c r="G90" s="29">
        <f t="shared" si="47"/>
        <v>1.4227465949509846E-2</v>
      </c>
      <c r="H90" s="29">
        <f t="shared" si="47"/>
        <v>1.034984175861774E-2</v>
      </c>
      <c r="I90" s="29">
        <f t="shared" si="47"/>
        <v>1.1429055198103624E-2</v>
      </c>
      <c r="J90" s="29">
        <f t="shared" si="47"/>
        <v>1.0211768644848079E-2</v>
      </c>
      <c r="K90" s="29">
        <f t="shared" si="47"/>
        <v>9.2799734857900405E-3</v>
      </c>
      <c r="L90" s="29">
        <f t="shared" si="47"/>
        <v>9.7693128642968551E-3</v>
      </c>
      <c r="M90" s="29">
        <f t="shared" si="47"/>
        <v>9.0243902439024384E-3</v>
      </c>
    </row>
    <row r="91" spans="1:15" x14ac:dyDescent="0.25">
      <c r="E91" s="17">
        <f t="shared" ref="E91:M91" si="48">+E89-D89</f>
        <v>129</v>
      </c>
      <c r="F91" s="17">
        <f t="shared" si="48"/>
        <v>212</v>
      </c>
      <c r="G91" s="17">
        <f t="shared" si="48"/>
        <v>164</v>
      </c>
      <c r="H91" s="17">
        <f t="shared" si="48"/>
        <v>121</v>
      </c>
      <c r="I91" s="17">
        <f t="shared" si="48"/>
        <v>135</v>
      </c>
      <c r="J91" s="17">
        <f t="shared" si="48"/>
        <v>122</v>
      </c>
      <c r="K91" s="17">
        <f t="shared" si="48"/>
        <v>112</v>
      </c>
      <c r="L91" s="17">
        <f t="shared" si="48"/>
        <v>119</v>
      </c>
      <c r="M91" s="17">
        <f t="shared" si="48"/>
        <v>111</v>
      </c>
    </row>
    <row r="93" spans="1:15" x14ac:dyDescent="0.25">
      <c r="E93" s="26">
        <f>+E91+E87</f>
        <v>314</v>
      </c>
      <c r="F93" s="26">
        <f>+F91+F87</f>
        <v>-62</v>
      </c>
      <c r="G93" s="26">
        <f t="shared" ref="G93:M93" si="49">+G91+G87</f>
        <v>42</v>
      </c>
      <c r="H93" s="26">
        <f t="shared" si="49"/>
        <v>174</v>
      </c>
      <c r="I93" s="26">
        <f t="shared" si="49"/>
        <v>397</v>
      </c>
      <c r="J93" s="26">
        <f t="shared" si="49"/>
        <v>23</v>
      </c>
      <c r="K93" s="26">
        <f t="shared" si="49"/>
        <v>197</v>
      </c>
      <c r="L93" s="26">
        <f t="shared" si="49"/>
        <v>78</v>
      </c>
      <c r="M93" s="26">
        <f t="shared" si="49"/>
        <v>-402</v>
      </c>
    </row>
    <row r="95" spans="1:15" x14ac:dyDescent="0.25">
      <c r="A95" t="s">
        <v>8</v>
      </c>
      <c r="D95" s="6">
        <f>+D20+D44</f>
        <v>10169</v>
      </c>
      <c r="E95" s="6">
        <f t="shared" ref="E95:M95" si="50">+E20+E44</f>
        <v>10283</v>
      </c>
      <c r="F95" s="6">
        <f t="shared" si="50"/>
        <v>10470</v>
      </c>
      <c r="G95" s="6">
        <f t="shared" si="50"/>
        <v>10615</v>
      </c>
      <c r="H95" s="6">
        <f t="shared" si="50"/>
        <v>10723</v>
      </c>
      <c r="I95" s="6">
        <f t="shared" si="50"/>
        <v>10842</v>
      </c>
      <c r="J95" s="6">
        <f t="shared" si="50"/>
        <v>10950</v>
      </c>
      <c r="K95" s="6">
        <f t="shared" si="50"/>
        <v>11049</v>
      </c>
      <c r="L95" s="6">
        <f t="shared" si="50"/>
        <v>11155</v>
      </c>
      <c r="M95" s="6">
        <f t="shared" si="50"/>
        <v>11253</v>
      </c>
      <c r="O95" s="18">
        <f>((M95-D95)/D95)/9</f>
        <v>1.1844276177052261E-2</v>
      </c>
    </row>
    <row r="96" spans="1:15" x14ac:dyDescent="0.25">
      <c r="E96" s="18">
        <f>(E95-D95)/D95</f>
        <v>1.1210541842855738E-2</v>
      </c>
      <c r="F96" s="18">
        <f t="shared" ref="F96:M96" si="51">(F95-E95)/E95</f>
        <v>1.8185354468540308E-2</v>
      </c>
      <c r="G96" s="18">
        <f t="shared" si="51"/>
        <v>1.3849092645654251E-2</v>
      </c>
      <c r="H96" s="18">
        <f t="shared" si="51"/>
        <v>1.017428167687235E-2</v>
      </c>
      <c r="I96" s="18">
        <f t="shared" si="51"/>
        <v>1.1097640585656999E-2</v>
      </c>
      <c r="J96" s="18">
        <f t="shared" si="51"/>
        <v>9.9612617598229102E-3</v>
      </c>
      <c r="K96" s="18">
        <f t="shared" si="51"/>
        <v>9.0410958904109592E-3</v>
      </c>
      <c r="L96" s="18">
        <f t="shared" si="51"/>
        <v>9.593628382659064E-3</v>
      </c>
      <c r="M96" s="18">
        <f t="shared" si="51"/>
        <v>8.785298072613178E-3</v>
      </c>
      <c r="O96" s="25">
        <f>AVERAGE(E96:M96)</f>
        <v>1.1322021702787306E-2</v>
      </c>
    </row>
    <row r="98" spans="1:14" x14ac:dyDescent="0.25">
      <c r="E98" s="18">
        <v>2.87239071427755E-2</v>
      </c>
      <c r="F98" s="18">
        <v>3.5256368979479896E-2</v>
      </c>
      <c r="G98" s="18">
        <v>2.9428803325411892E-2</v>
      </c>
      <c r="H98" s="18">
        <v>2.7422864020473423E-2</v>
      </c>
      <c r="I98" s="18">
        <v>2.1862679822407041E-2</v>
      </c>
      <c r="J98" s="18">
        <v>2.1056254005471575E-2</v>
      </c>
      <c r="K98" s="18">
        <v>1.2310186417676238E-2</v>
      </c>
      <c r="L98" s="18">
        <v>1.5151671438056175E-2</v>
      </c>
      <c r="M98" s="18">
        <v>1.56894084756815E-2</v>
      </c>
    </row>
    <row r="100" spans="1:14" x14ac:dyDescent="0.25">
      <c r="E100" s="25">
        <f>+E96-E98</f>
        <v>-1.7513365299919762E-2</v>
      </c>
      <c r="F100" s="25">
        <f t="shared" ref="F100:M100" si="52">+F96-F98</f>
        <v>-1.7071014510939588E-2</v>
      </c>
      <c r="G100" s="25">
        <f t="shared" si="52"/>
        <v>-1.5579710679757641E-2</v>
      </c>
      <c r="H100" s="25">
        <f t="shared" si="52"/>
        <v>-1.7248582343601073E-2</v>
      </c>
      <c r="I100" s="25">
        <f t="shared" si="52"/>
        <v>-1.0765039236750042E-2</v>
      </c>
      <c r="J100" s="25">
        <f t="shared" si="52"/>
        <v>-1.1094992245648664E-2</v>
      </c>
      <c r="K100" s="25">
        <f t="shared" si="52"/>
        <v>-3.2690905272652789E-3</v>
      </c>
      <c r="L100" s="25">
        <f t="shared" si="52"/>
        <v>-5.5580430553971109E-3</v>
      </c>
      <c r="M100" s="25">
        <f t="shared" si="52"/>
        <v>-6.9041104030683215E-3</v>
      </c>
    </row>
    <row r="103" spans="1:14" x14ac:dyDescent="0.25">
      <c r="A103" s="36" t="s">
        <v>74</v>
      </c>
      <c r="B103" s="36"/>
      <c r="C103" s="36"/>
      <c r="D103" s="37">
        <f>+D60/D59</f>
        <v>0.13253012048192772</v>
      </c>
      <c r="E103" s="37">
        <f t="shared" ref="E103:M103" si="53">+E60/E59</f>
        <v>0.13251926734060654</v>
      </c>
      <c r="F103" s="37">
        <f t="shared" si="53"/>
        <v>0.13254077421890351</v>
      </c>
      <c r="G103" s="37">
        <f t="shared" si="53"/>
        <v>0.13251961639058413</v>
      </c>
      <c r="H103" s="37">
        <f t="shared" si="53"/>
        <v>0.13239382609529288</v>
      </c>
      <c r="I103" s="37">
        <f t="shared" si="53"/>
        <v>0.1324170616113744</v>
      </c>
      <c r="J103" s="37">
        <f t="shared" si="53"/>
        <v>0.13238881591292925</v>
      </c>
      <c r="K103" s="37">
        <f t="shared" si="53"/>
        <v>0.13237891605466209</v>
      </c>
      <c r="L103" s="37">
        <f t="shared" si="53"/>
        <v>0.13228389947528307</v>
      </c>
      <c r="M103" s="37">
        <f t="shared" si="53"/>
        <v>0.13228720007298603</v>
      </c>
    </row>
    <row r="105" spans="1:14" x14ac:dyDescent="0.25">
      <c r="D105" s="6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4" x14ac:dyDescent="0.2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4" x14ac:dyDescent="0.25">
      <c r="D108" s="6"/>
      <c r="E108" s="6"/>
      <c r="F108" s="6"/>
      <c r="G108" s="6"/>
      <c r="H108" s="6"/>
      <c r="I108" s="6"/>
      <c r="J108" s="6"/>
      <c r="K108" s="6"/>
      <c r="L108" s="6"/>
    </row>
    <row r="109" spans="1:14" x14ac:dyDescent="0.25"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4" x14ac:dyDescent="0.25"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4" x14ac:dyDescent="0.25"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3" spans="4:13" x14ac:dyDescent="0.25"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4:13" x14ac:dyDescent="0.25">
      <c r="D114" s="6"/>
      <c r="E114" s="6"/>
      <c r="F114" s="6"/>
      <c r="G114" s="6"/>
      <c r="H114" s="6"/>
      <c r="I114" s="6"/>
      <c r="J114" s="6"/>
      <c r="K114" s="6"/>
      <c r="L114" s="6"/>
      <c r="M114" s="6"/>
    </row>
  </sheetData>
  <mergeCells count="6">
    <mergeCell ref="A56:C56"/>
    <mergeCell ref="A3:M3"/>
    <mergeCell ref="A4:M4"/>
    <mergeCell ref="A5:M5"/>
    <mergeCell ref="A8:C8"/>
    <mergeCell ref="A32:C3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M68"/>
  <sheetViews>
    <sheetView workbookViewId="0">
      <selection sqref="A1:XFD1048576"/>
    </sheetView>
  </sheetViews>
  <sheetFormatPr defaultRowHeight="15" x14ac:dyDescent="0.25"/>
  <cols>
    <col min="1" max="2" width="2.7109375" customWidth="1"/>
    <col min="3" max="3" width="26.140625" customWidth="1"/>
  </cols>
  <sheetData>
    <row r="2" spans="1:13" x14ac:dyDescent="0.25">
      <c r="A2" s="55"/>
      <c r="B2" s="55"/>
      <c r="C2" s="55"/>
      <c r="D2" s="42"/>
      <c r="E2" s="42"/>
      <c r="F2" s="42"/>
      <c r="G2" s="42"/>
      <c r="H2" s="42"/>
      <c r="I2" s="42"/>
      <c r="J2" s="42"/>
      <c r="K2" s="42"/>
      <c r="L2" s="56">
        <v>0.13</v>
      </c>
      <c r="M2" s="42"/>
    </row>
    <row r="3" spans="1:13" ht="15.75" x14ac:dyDescent="0.25">
      <c r="A3" s="77" t="s">
        <v>127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8.75" x14ac:dyDescent="0.3">
      <c r="A4" s="72" t="s">
        <v>120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x14ac:dyDescent="0.25">
      <c r="A5" s="73" t="s">
        <v>85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7" spans="1:13" x14ac:dyDescent="0.25">
      <c r="A7" t="s">
        <v>0</v>
      </c>
      <c r="D7">
        <v>2016</v>
      </c>
      <c r="E7">
        <f>+D7+1</f>
        <v>2017</v>
      </c>
      <c r="F7">
        <f t="shared" ref="F7:M7" si="0">+E7+1</f>
        <v>2018</v>
      </c>
      <c r="G7">
        <f t="shared" si="0"/>
        <v>2019</v>
      </c>
      <c r="H7">
        <f t="shared" si="0"/>
        <v>2020</v>
      </c>
      <c r="I7">
        <f t="shared" si="0"/>
        <v>2021</v>
      </c>
      <c r="J7">
        <f t="shared" si="0"/>
        <v>2022</v>
      </c>
      <c r="K7">
        <f t="shared" si="0"/>
        <v>2023</v>
      </c>
      <c r="L7">
        <f t="shared" si="0"/>
        <v>2024</v>
      </c>
      <c r="M7">
        <f t="shared" si="0"/>
        <v>2025</v>
      </c>
    </row>
    <row r="8" spans="1:13" x14ac:dyDescent="0.25">
      <c r="A8" s="76" t="s">
        <v>27</v>
      </c>
      <c r="B8" s="76"/>
      <c r="C8" s="7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t="s">
        <v>1</v>
      </c>
      <c r="D9" s="38">
        <f>+'2015 IRP Update'!D9-'2015 IRP'!E9</f>
        <v>0</v>
      </c>
      <c r="E9" s="38">
        <f>+'2015 IRP Update'!E9-'2015 IRP'!F9</f>
        <v>0</v>
      </c>
      <c r="F9" s="38">
        <f>+'2015 IRP Update'!F9-'2015 IRP'!G9</f>
        <v>-337</v>
      </c>
      <c r="G9" s="38">
        <f>+'2015 IRP Update'!G9-'2015 IRP'!H9</f>
        <v>-333</v>
      </c>
      <c r="H9" s="38">
        <f>+'2015 IRP Update'!H9-'2015 IRP'!I9</f>
        <v>-332</v>
      </c>
      <c r="I9" s="38">
        <f>+'2015 IRP Update'!I9-'2015 IRP'!J9</f>
        <v>-331</v>
      </c>
      <c r="J9" s="38">
        <f>+'2015 IRP Update'!J9-'2015 IRP'!K9</f>
        <v>-329</v>
      </c>
      <c r="K9" s="38">
        <f>+'2015 IRP Update'!K9-'2015 IRP'!L9</f>
        <v>-326</v>
      </c>
      <c r="L9" s="38">
        <f>+'2015 IRP Update'!L9-'2015 IRP'!M9</f>
        <v>-326</v>
      </c>
      <c r="M9" s="38"/>
    </row>
    <row r="10" spans="1:13" x14ac:dyDescent="0.25">
      <c r="A10" t="s">
        <v>98</v>
      </c>
      <c r="D10" s="38">
        <f>+'2015 IRP Update'!D10-'2015 IRP'!E10</f>
        <v>-5</v>
      </c>
      <c r="E10" s="38">
        <f>+'2015 IRP Update'!E10-'2015 IRP'!F10</f>
        <v>-5</v>
      </c>
      <c r="F10" s="38">
        <f>+'2015 IRP Update'!F10-'2015 IRP'!G10</f>
        <v>-2</v>
      </c>
      <c r="G10" s="38">
        <f>+'2015 IRP Update'!G10-'2015 IRP'!H10</f>
        <v>-2</v>
      </c>
      <c r="H10" s="38">
        <f>+'2015 IRP Update'!H10-'2015 IRP'!I10</f>
        <v>-2</v>
      </c>
      <c r="I10" s="38">
        <f>+'2015 IRP Update'!I10-'2015 IRP'!J10</f>
        <v>-2</v>
      </c>
      <c r="J10" s="38">
        <f>+'2015 IRP Update'!J10-'2015 IRP'!K10</f>
        <v>-2</v>
      </c>
      <c r="K10" s="38">
        <f>+'2015 IRP Update'!K10-'2015 IRP'!L10</f>
        <v>-2</v>
      </c>
      <c r="L10" s="38">
        <f>+'2015 IRP Update'!L10-'2015 IRP'!M10</f>
        <v>-2</v>
      </c>
      <c r="M10" s="38"/>
    </row>
    <row r="11" spans="1:13" x14ac:dyDescent="0.25">
      <c r="A11" s="42" t="s">
        <v>4</v>
      </c>
      <c r="B11" s="42"/>
      <c r="C11" s="42"/>
      <c r="D11" s="38">
        <f>+'2015 IRP Update'!D11-'2015 IRP'!E11</f>
        <v>0</v>
      </c>
      <c r="E11" s="38">
        <f>+'2015 IRP Update'!E11-'2015 IRP'!F11</f>
        <v>0</v>
      </c>
      <c r="F11" s="38">
        <f>+'2015 IRP Update'!F11-'2015 IRP'!G11</f>
        <v>0</v>
      </c>
      <c r="G11" s="38">
        <f>+'2015 IRP Update'!G11-'2015 IRP'!H11</f>
        <v>0</v>
      </c>
      <c r="H11" s="38">
        <f>+'2015 IRP Update'!H11-'2015 IRP'!I11</f>
        <v>0</v>
      </c>
      <c r="I11" s="38">
        <f>+'2015 IRP Update'!I11-'2015 IRP'!J11</f>
        <v>1</v>
      </c>
      <c r="J11" s="38">
        <f>+'2015 IRP Update'!J11-'2015 IRP'!K11</f>
        <v>1</v>
      </c>
      <c r="K11" s="38">
        <f>+'2015 IRP Update'!K11-'2015 IRP'!L11</f>
        <v>1</v>
      </c>
      <c r="L11" s="38">
        <f>+'2015 IRP Update'!L11-'2015 IRP'!M11</f>
        <v>1</v>
      </c>
      <c r="M11" s="38"/>
    </row>
    <row r="12" spans="1:13" x14ac:dyDescent="0.25">
      <c r="A12" s="42" t="s">
        <v>5</v>
      </c>
      <c r="B12" s="42"/>
      <c r="C12" s="42"/>
      <c r="D12" s="38">
        <f>+'2015 IRP Update'!D12-'2015 IRP'!E12</f>
        <v>-51</v>
      </c>
      <c r="E12" s="38">
        <f>+'2015 IRP Update'!E12-'2015 IRP'!F12</f>
        <v>-51</v>
      </c>
      <c r="F12" s="38">
        <f>+'2015 IRP Update'!F12-'2015 IRP'!G12</f>
        <v>-51</v>
      </c>
      <c r="G12" s="38">
        <f>+'2015 IRP Update'!G12-'2015 IRP'!H12</f>
        <v>-51</v>
      </c>
      <c r="H12" s="38">
        <f>+'2015 IRP Update'!H12-'2015 IRP'!I12</f>
        <v>-51</v>
      </c>
      <c r="I12" s="38">
        <f>+'2015 IRP Update'!I12-'2015 IRP'!J12</f>
        <v>-51</v>
      </c>
      <c r="J12" s="38">
        <f>+'2015 IRP Update'!J12-'2015 IRP'!K12</f>
        <v>-51</v>
      </c>
      <c r="K12" s="38">
        <f>+'2015 IRP Update'!K12-'2015 IRP'!L12</f>
        <v>-51</v>
      </c>
      <c r="L12" s="38">
        <f>+'2015 IRP Update'!L12-'2015 IRP'!M12</f>
        <v>-51</v>
      </c>
      <c r="M12" s="38"/>
    </row>
    <row r="13" spans="1:13" x14ac:dyDescent="0.25">
      <c r="A13" s="36" t="s">
        <v>97</v>
      </c>
      <c r="B13" s="36"/>
      <c r="C13" s="36"/>
      <c r="D13" s="34">
        <f>+'2015 IRP Update'!D13-'2015 IRP'!E13</f>
        <v>82</v>
      </c>
      <c r="E13" s="34">
        <f>+'2015 IRP Update'!E13-'2015 IRP'!F13</f>
        <v>121</v>
      </c>
      <c r="F13" s="34">
        <f>+'2015 IRP Update'!F13-'2015 IRP'!G13</f>
        <v>116</v>
      </c>
      <c r="G13" s="34">
        <f>+'2015 IRP Update'!G13-'2015 IRP'!H13</f>
        <v>114</v>
      </c>
      <c r="H13" s="34">
        <f>+'2015 IRP Update'!H13-'2015 IRP'!I13</f>
        <v>115</v>
      </c>
      <c r="I13" s="34">
        <f>+'2015 IRP Update'!I13-'2015 IRP'!J13</f>
        <v>110</v>
      </c>
      <c r="J13" s="34">
        <f>+'2015 IRP Update'!J13-'2015 IRP'!K13</f>
        <v>104</v>
      </c>
      <c r="K13" s="34">
        <f>+'2015 IRP Update'!K13-'2015 IRP'!L13</f>
        <v>103</v>
      </c>
      <c r="L13" s="34">
        <f>+'2015 IRP Update'!L13-'2015 IRP'!M13</f>
        <v>101</v>
      </c>
      <c r="M13" s="38"/>
    </row>
    <row r="14" spans="1:13" x14ac:dyDescent="0.25">
      <c r="A14" s="42" t="s">
        <v>112</v>
      </c>
      <c r="B14" s="42"/>
      <c r="C14" s="42"/>
      <c r="D14" s="38">
        <f>+'2015 IRP Update'!D14-'2015 IRP'!E14</f>
        <v>0</v>
      </c>
      <c r="E14" s="38">
        <f>+'2015 IRP Update'!E14-'2015 IRP'!F14</f>
        <v>0</v>
      </c>
      <c r="F14" s="38">
        <f>+'2015 IRP Update'!F14-'2015 IRP'!G14</f>
        <v>0</v>
      </c>
      <c r="G14" s="38">
        <f>+'2015 IRP Update'!G14-'2015 IRP'!H14</f>
        <v>0</v>
      </c>
      <c r="H14" s="38">
        <f>+'2015 IRP Update'!H14-'2015 IRP'!I14</f>
        <v>0</v>
      </c>
      <c r="I14" s="38">
        <f>+'2015 IRP Update'!I14-'2015 IRP'!J14</f>
        <v>0</v>
      </c>
      <c r="J14" s="38">
        <f>+'2015 IRP Update'!J14-'2015 IRP'!K14</f>
        <v>0</v>
      </c>
      <c r="K14" s="38">
        <f>+'2015 IRP Update'!K14-'2015 IRP'!L14</f>
        <v>0</v>
      </c>
      <c r="L14" s="38">
        <f>+'2015 IRP Update'!L14-'2015 IRP'!M14</f>
        <v>0</v>
      </c>
      <c r="M14" s="38"/>
    </row>
    <row r="15" spans="1:13" x14ac:dyDescent="0.25">
      <c r="A15" t="s">
        <v>9</v>
      </c>
      <c r="D15" s="38">
        <f>+'2015 IRP Update'!D15-'2015 IRP'!E15</f>
        <v>4</v>
      </c>
      <c r="E15" s="38">
        <f>+'2015 IRP Update'!E15-'2015 IRP'!F15</f>
        <v>3</v>
      </c>
      <c r="F15" s="38">
        <f>+'2015 IRP Update'!F15-'2015 IRP'!G15</f>
        <v>4</v>
      </c>
      <c r="G15" s="38">
        <f>+'2015 IRP Update'!G15-'2015 IRP'!H15</f>
        <v>4</v>
      </c>
      <c r="H15" s="38">
        <f>+'2015 IRP Update'!H15-'2015 IRP'!I15</f>
        <v>4</v>
      </c>
      <c r="I15" s="38">
        <f>+'2015 IRP Update'!I15-'2015 IRP'!J15</f>
        <v>4</v>
      </c>
      <c r="J15" s="38">
        <f>+'2015 IRP Update'!J15-'2015 IRP'!K15</f>
        <v>4</v>
      </c>
      <c r="K15" s="38">
        <f>+'2015 IRP Update'!K15-'2015 IRP'!L15</f>
        <v>4</v>
      </c>
      <c r="L15" s="38">
        <f>+'2015 IRP Update'!L15-'2015 IRP'!M15</f>
        <v>0</v>
      </c>
      <c r="M15" s="38"/>
    </row>
    <row r="16" spans="1:13" x14ac:dyDescent="0.25">
      <c r="A16" t="s">
        <v>99</v>
      </c>
      <c r="D16" s="38">
        <f>+'2015 IRP Update'!D16-'2015 IRP'!E16</f>
        <v>0</v>
      </c>
      <c r="E16" s="38">
        <f>+'2015 IRP Update'!E16-'2015 IRP'!F16</f>
        <v>0</v>
      </c>
      <c r="F16" s="38">
        <f>+'2015 IRP Update'!F16-'2015 IRP'!G16</f>
        <v>0</v>
      </c>
      <c r="G16" s="38">
        <f>+'2015 IRP Update'!G16-'2015 IRP'!H16</f>
        <v>0</v>
      </c>
      <c r="H16" s="38">
        <f>+'2015 IRP Update'!H16-'2015 IRP'!I16</f>
        <v>0</v>
      </c>
      <c r="I16" s="38">
        <f>+'2015 IRP Update'!I16-'2015 IRP'!J16</f>
        <v>0</v>
      </c>
      <c r="J16" s="38">
        <f>+'2015 IRP Update'!J16-'2015 IRP'!K16</f>
        <v>0</v>
      </c>
      <c r="K16" s="38">
        <f>+'2015 IRP Update'!K16-'2015 IRP'!L16</f>
        <v>0</v>
      </c>
      <c r="L16" s="38">
        <f>+'2015 IRP Update'!L16-'2015 IRP'!M16</f>
        <v>0</v>
      </c>
      <c r="M16" s="38"/>
    </row>
    <row r="17" spans="1:13" x14ac:dyDescent="0.25">
      <c r="A17" t="s">
        <v>40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x14ac:dyDescent="0.25">
      <c r="C18" s="1" t="s">
        <v>7</v>
      </c>
      <c r="D18" s="50">
        <f t="shared" ref="D18:L18" si="1">SUM(D9:D17)</f>
        <v>30</v>
      </c>
      <c r="E18" s="50">
        <f t="shared" si="1"/>
        <v>68</v>
      </c>
      <c r="F18" s="50">
        <f t="shared" si="1"/>
        <v>-270</v>
      </c>
      <c r="G18" s="50">
        <f t="shared" si="1"/>
        <v>-268</v>
      </c>
      <c r="H18" s="50">
        <f>SUM(H9:H17)</f>
        <v>-266</v>
      </c>
      <c r="I18" s="50">
        <f t="shared" si="1"/>
        <v>-269</v>
      </c>
      <c r="J18" s="50">
        <f t="shared" si="1"/>
        <v>-273</v>
      </c>
      <c r="K18" s="50">
        <f t="shared" si="1"/>
        <v>-271</v>
      </c>
      <c r="L18" s="50">
        <f t="shared" si="1"/>
        <v>-277</v>
      </c>
      <c r="M18" s="67"/>
    </row>
    <row r="19" spans="1:13" x14ac:dyDescent="0.25"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x14ac:dyDescent="0.25">
      <c r="A20" t="s">
        <v>8</v>
      </c>
      <c r="D20" s="38">
        <f>+'2015 IRP Update'!D20-'2015 IRP'!E20</f>
        <v>-14</v>
      </c>
      <c r="E20" s="38">
        <f>+'2015 IRP Update'!E20-'2015 IRP'!F20</f>
        <v>-18</v>
      </c>
      <c r="F20" s="38">
        <f>+'2015 IRP Update'!F20-'2015 IRP'!G20</f>
        <v>27</v>
      </c>
      <c r="G20" s="38">
        <f>+'2015 IRP Update'!G20-'2015 IRP'!H20</f>
        <v>64</v>
      </c>
      <c r="H20" s="38">
        <f>+'2015 IRP Update'!H20-'2015 IRP'!I20</f>
        <v>65</v>
      </c>
      <c r="I20" s="38">
        <f>+'2015 IRP Update'!I20-'2015 IRP'!J20</f>
        <v>100</v>
      </c>
      <c r="J20" s="38">
        <f>+'2015 IRP Update'!J20-'2015 IRP'!K20</f>
        <v>108</v>
      </c>
      <c r="K20" s="38">
        <f>+'2015 IRP Update'!K20-'2015 IRP'!L20</f>
        <v>100</v>
      </c>
      <c r="L20" s="38">
        <f>+'2015 IRP Update'!L20-'2015 IRP'!M20</f>
        <v>169</v>
      </c>
      <c r="M20" s="34"/>
    </row>
    <row r="21" spans="1:13" x14ac:dyDescent="0.25">
      <c r="B21" t="s">
        <v>100</v>
      </c>
      <c r="D21" s="38">
        <f>+'2015 IRP Update'!D21-'2015 IRP'!E21</f>
        <v>-20</v>
      </c>
      <c r="E21" s="38">
        <f>+'2015 IRP Update'!E21-'2015 IRP'!F21</f>
        <v>-20</v>
      </c>
      <c r="F21" s="38">
        <f>+'2015 IRP Update'!F21-'2015 IRP'!G21</f>
        <v>-20</v>
      </c>
      <c r="G21" s="38">
        <f>+'2015 IRP Update'!G21-'2015 IRP'!H21</f>
        <v>-20</v>
      </c>
      <c r="H21" s="38">
        <f>+'2015 IRP Update'!H21-'2015 IRP'!I21</f>
        <v>-20</v>
      </c>
      <c r="I21" s="38">
        <f>+'2015 IRP Update'!I21-'2015 IRP'!J21</f>
        <v>-20</v>
      </c>
      <c r="J21" s="38">
        <f>+'2015 IRP Update'!J21-'2015 IRP'!K21</f>
        <v>-20</v>
      </c>
      <c r="K21" s="38">
        <f>+'2015 IRP Update'!K21-'2015 IRP'!L21</f>
        <v>-20</v>
      </c>
      <c r="L21" s="38">
        <f>+'2015 IRP Update'!L21-'2015 IRP'!M21</f>
        <v>-20</v>
      </c>
      <c r="M21" s="38"/>
    </row>
    <row r="22" spans="1:13" x14ac:dyDescent="0.25">
      <c r="B22" t="s">
        <v>113</v>
      </c>
      <c r="D22" s="38">
        <f>+'2015 IRP Update'!D22-'2015 IRP'!E22</f>
        <v>12</v>
      </c>
      <c r="E22" s="38">
        <f>+'2015 IRP Update'!E22-'2015 IRP'!F22</f>
        <v>12</v>
      </c>
      <c r="F22" s="38">
        <f>+'2015 IRP Update'!F22-'2015 IRP'!G22</f>
        <v>12</v>
      </c>
      <c r="G22" s="38">
        <f>+'2015 IRP Update'!G22-'2015 IRP'!H22</f>
        <v>12</v>
      </c>
      <c r="H22" s="38">
        <f>+'2015 IRP Update'!H22-'2015 IRP'!I22</f>
        <v>12</v>
      </c>
      <c r="I22" s="38">
        <f>+'2015 IRP Update'!I22-'2015 IRP'!J22</f>
        <v>12</v>
      </c>
      <c r="J22" s="38">
        <f>+'2015 IRP Update'!J22-'2015 IRP'!K22</f>
        <v>12</v>
      </c>
      <c r="K22" s="38">
        <f>+'2015 IRP Update'!K22-'2015 IRP'!L22</f>
        <v>12</v>
      </c>
      <c r="L22" s="38">
        <f>+'2015 IRP Update'!L22-'2015 IRP'!M22</f>
        <v>12</v>
      </c>
      <c r="M22" s="38"/>
    </row>
    <row r="23" spans="1:13" x14ac:dyDescent="0.25">
      <c r="C23" s="1" t="s">
        <v>10</v>
      </c>
      <c r="D23" s="38">
        <f>+'2015 IRP Update'!D23-'2015 IRP'!E23</f>
        <v>-22</v>
      </c>
      <c r="E23" s="38">
        <f>+'2015 IRP Update'!E23-'2015 IRP'!F23</f>
        <v>-26</v>
      </c>
      <c r="F23" s="38">
        <f>+'2015 IRP Update'!F23-'2015 IRP'!G23</f>
        <v>19</v>
      </c>
      <c r="G23" s="38">
        <f>+'2015 IRP Update'!G23-'2015 IRP'!H23</f>
        <v>56</v>
      </c>
      <c r="H23" s="38">
        <f>+'2015 IRP Update'!H23-'2015 IRP'!I23</f>
        <v>57</v>
      </c>
      <c r="I23" s="38">
        <f>+'2015 IRP Update'!I23-'2015 IRP'!J23</f>
        <v>92</v>
      </c>
      <c r="J23" s="38">
        <f>+'2015 IRP Update'!J23-'2015 IRP'!K23</f>
        <v>100</v>
      </c>
      <c r="K23" s="38">
        <f>+'2015 IRP Update'!K23-'2015 IRP'!L23</f>
        <v>92</v>
      </c>
      <c r="L23" s="38">
        <f>+'2015 IRP Update'!L23-'2015 IRP'!M23</f>
        <v>161</v>
      </c>
      <c r="M23" s="50"/>
    </row>
    <row r="24" spans="1:13" x14ac:dyDescent="0.25"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t="s">
        <v>102</v>
      </c>
      <c r="D25" s="38">
        <f>+'2015 IRP Update'!D25-'2015 IRP'!E25</f>
        <v>3</v>
      </c>
      <c r="E25" s="38">
        <f>+'2015 IRP Update'!E25-'2015 IRP'!F25</f>
        <v>3</v>
      </c>
      <c r="F25" s="38">
        <f>+'2015 IRP Update'!F25-'2015 IRP'!G25</f>
        <v>9</v>
      </c>
      <c r="G25" s="38">
        <f>+'2015 IRP Update'!G25-'2015 IRP'!H25</f>
        <v>14</v>
      </c>
      <c r="H25" s="38">
        <f>+'2015 IRP Update'!H25-'2015 IRP'!I25</f>
        <v>13</v>
      </c>
      <c r="I25" s="38">
        <f>+'2015 IRP Update'!I25-'2015 IRP'!J25</f>
        <v>18</v>
      </c>
      <c r="J25" s="38">
        <f>+'2015 IRP Update'!J25-'2015 IRP'!K25</f>
        <v>19</v>
      </c>
      <c r="K25" s="38">
        <f>+'2015 IRP Update'!K25-'2015 IRP'!L25</f>
        <v>18</v>
      </c>
      <c r="L25" s="38">
        <f>+'2015 IRP Update'!L25-'2015 IRP'!M25</f>
        <v>27</v>
      </c>
      <c r="M25" s="50"/>
    </row>
    <row r="26" spans="1:13" x14ac:dyDescent="0.25"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x14ac:dyDescent="0.25">
      <c r="C27" s="1" t="s">
        <v>12</v>
      </c>
      <c r="D27" s="38">
        <f>+'2015 IRP Update'!D27-'2015 IRP'!E27</f>
        <v>-19</v>
      </c>
      <c r="E27" s="38">
        <f>+'2015 IRP Update'!E27-'2015 IRP'!F27</f>
        <v>-23</v>
      </c>
      <c r="F27" s="38">
        <f>+'2015 IRP Update'!F27-'2015 IRP'!G27</f>
        <v>28</v>
      </c>
      <c r="G27" s="38">
        <f>+'2015 IRP Update'!G27-'2015 IRP'!H27</f>
        <v>70</v>
      </c>
      <c r="H27" s="38">
        <f>+'2015 IRP Update'!H27-'2015 IRP'!I27</f>
        <v>70</v>
      </c>
      <c r="I27" s="38">
        <f>+'2015 IRP Update'!I27-'2015 IRP'!J27</f>
        <v>110</v>
      </c>
      <c r="J27" s="38">
        <f>+'2015 IRP Update'!J27-'2015 IRP'!K27</f>
        <v>119</v>
      </c>
      <c r="K27" s="38">
        <f>+'2015 IRP Update'!K27-'2015 IRP'!L27</f>
        <v>110</v>
      </c>
      <c r="L27" s="38">
        <f>+'2015 IRP Update'!L27-'2015 IRP'!M27</f>
        <v>188</v>
      </c>
      <c r="M27" s="50"/>
    </row>
    <row r="28" spans="1:13" x14ac:dyDescent="0.25">
      <c r="C28" s="1" t="s">
        <v>13</v>
      </c>
      <c r="D28" s="38">
        <f>+'2015 IRP Update'!D28-'2015 IRP'!E28</f>
        <v>49</v>
      </c>
      <c r="E28" s="38">
        <f>+'2015 IRP Update'!E28-'2015 IRP'!F28</f>
        <v>91</v>
      </c>
      <c r="F28" s="38">
        <f>+'2015 IRP Update'!F28-'2015 IRP'!G28</f>
        <v>-298</v>
      </c>
      <c r="G28" s="38">
        <f>+'2015 IRP Update'!G28-'2015 IRP'!H28</f>
        <v>-338</v>
      </c>
      <c r="H28" s="38">
        <f>+'2015 IRP Update'!H28-'2015 IRP'!I28</f>
        <v>-336</v>
      </c>
      <c r="I28" s="38">
        <f>+'2015 IRP Update'!I28-'2015 IRP'!J28</f>
        <v>-379</v>
      </c>
      <c r="J28" s="38">
        <f>+'2015 IRP Update'!J28-'2015 IRP'!K28</f>
        <v>-392</v>
      </c>
      <c r="K28" s="38">
        <f>+'2015 IRP Update'!K28-'2015 IRP'!L28</f>
        <v>-381</v>
      </c>
      <c r="L28" s="38">
        <f>+'2015 IRP Update'!L28-'2015 IRP'!M28</f>
        <v>-465</v>
      </c>
      <c r="M28" s="50"/>
    </row>
    <row r="29" spans="1:13" x14ac:dyDescent="0.25">
      <c r="C29" s="1" t="s">
        <v>14</v>
      </c>
      <c r="D29" s="38"/>
      <c r="E29" s="38"/>
      <c r="F29" s="38"/>
      <c r="G29" s="38"/>
      <c r="H29" s="38"/>
      <c r="I29" s="38"/>
      <c r="J29" s="38"/>
      <c r="K29" s="38"/>
      <c r="L29" s="38"/>
      <c r="M29" s="53"/>
    </row>
    <row r="31" spans="1:13" x14ac:dyDescent="0.25">
      <c r="A31" s="76" t="s">
        <v>32</v>
      </c>
      <c r="B31" s="76"/>
      <c r="C31" s="76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t="s">
        <v>1</v>
      </c>
      <c r="D32" s="38">
        <f>+'2015 IRP Update'!D33-'2015 IRP'!E32</f>
        <v>0</v>
      </c>
      <c r="E32" s="38">
        <f>+'2015 IRP Update'!E33-'2015 IRP'!F32</f>
        <v>0</v>
      </c>
      <c r="F32" s="38">
        <f>+'2015 IRP Update'!F33-'2015 IRP'!G32</f>
        <v>0</v>
      </c>
      <c r="G32" s="38">
        <f>+'2015 IRP Update'!G33-'2015 IRP'!H32</f>
        <v>0</v>
      </c>
      <c r="H32" s="38">
        <f>+'2015 IRP Update'!H33-'2015 IRP'!I32</f>
        <v>0</v>
      </c>
      <c r="I32" s="38">
        <f>+'2015 IRP Update'!I33-'2015 IRP'!J32</f>
        <v>0</v>
      </c>
      <c r="J32" s="38">
        <f>+'2015 IRP Update'!J33-'2015 IRP'!K32</f>
        <v>0</v>
      </c>
      <c r="K32" s="38">
        <f>+'2015 IRP Update'!K33-'2015 IRP'!L32</f>
        <v>0</v>
      </c>
      <c r="L32" s="38">
        <f>+'2015 IRP Update'!L33-'2015 IRP'!M32</f>
        <v>0</v>
      </c>
      <c r="M32" s="38"/>
    </row>
    <row r="33" spans="1:13" x14ac:dyDescent="0.25">
      <c r="A33" t="s">
        <v>98</v>
      </c>
      <c r="D33" s="38">
        <f>+'2015 IRP Update'!D34-'2015 IRP'!E33</f>
        <v>71</v>
      </c>
      <c r="E33" s="38">
        <f>+'2015 IRP Update'!E34-'2015 IRP'!F33</f>
        <v>74</v>
      </c>
      <c r="F33" s="38">
        <f>+'2015 IRP Update'!F34-'2015 IRP'!G33</f>
        <v>62</v>
      </c>
      <c r="G33" s="38">
        <f>+'2015 IRP Update'!G34-'2015 IRP'!H33</f>
        <v>11</v>
      </c>
      <c r="H33" s="38">
        <f>+'2015 IRP Update'!H34-'2015 IRP'!I33</f>
        <v>65</v>
      </c>
      <c r="I33" s="38">
        <f>+'2015 IRP Update'!I34-'2015 IRP'!J33</f>
        <v>-20</v>
      </c>
      <c r="J33" s="38">
        <f>+'2015 IRP Update'!J34-'2015 IRP'!K33</f>
        <v>-72</v>
      </c>
      <c r="K33" s="38">
        <f>+'2015 IRP Update'!K34-'2015 IRP'!L33</f>
        <v>2</v>
      </c>
      <c r="L33" s="38">
        <f>+'2015 IRP Update'!L34-'2015 IRP'!M33</f>
        <v>-3</v>
      </c>
      <c r="M33" s="38"/>
    </row>
    <row r="34" spans="1:13" x14ac:dyDescent="0.25">
      <c r="A34" s="36" t="s">
        <v>4</v>
      </c>
      <c r="B34" s="36"/>
      <c r="C34" s="36"/>
      <c r="D34" s="38">
        <f>+'2015 IRP Update'!D35-'2015 IRP'!E34</f>
        <v>2</v>
      </c>
      <c r="E34" s="38">
        <f>+'2015 IRP Update'!E35-'2015 IRP'!F34</f>
        <v>2</v>
      </c>
      <c r="F34" s="38">
        <f>+'2015 IRP Update'!F35-'2015 IRP'!G34</f>
        <v>2</v>
      </c>
      <c r="G34" s="38">
        <f>+'2015 IRP Update'!G35-'2015 IRP'!H34</f>
        <v>2</v>
      </c>
      <c r="H34" s="38">
        <f>+'2015 IRP Update'!H35-'2015 IRP'!I34</f>
        <v>2</v>
      </c>
      <c r="I34" s="38">
        <f>+'2015 IRP Update'!I35-'2015 IRP'!J34</f>
        <v>2</v>
      </c>
      <c r="J34" s="38">
        <f>+'2015 IRP Update'!J35-'2015 IRP'!K34</f>
        <v>3</v>
      </c>
      <c r="K34" s="38">
        <f>+'2015 IRP Update'!K35-'2015 IRP'!L34</f>
        <v>3</v>
      </c>
      <c r="L34" s="38">
        <f>+'2015 IRP Update'!L35-'2015 IRP'!M34</f>
        <v>3</v>
      </c>
      <c r="M34" s="38"/>
    </row>
    <row r="35" spans="1:13" x14ac:dyDescent="0.25">
      <c r="A35" t="s">
        <v>5</v>
      </c>
      <c r="D35" s="38">
        <f>+'2015 IRP Update'!D36-'2015 IRP'!E35</f>
        <v>-4</v>
      </c>
      <c r="E35" s="38">
        <f>+'2015 IRP Update'!E36-'2015 IRP'!F35</f>
        <v>-4</v>
      </c>
      <c r="F35" s="38">
        <f>+'2015 IRP Update'!F36-'2015 IRP'!G35</f>
        <v>-4</v>
      </c>
      <c r="G35" s="38">
        <f>+'2015 IRP Update'!G36-'2015 IRP'!H35</f>
        <v>-4</v>
      </c>
      <c r="H35" s="38">
        <f>+'2015 IRP Update'!H36-'2015 IRP'!I35</f>
        <v>-4</v>
      </c>
      <c r="I35" s="38">
        <f>+'2015 IRP Update'!I36-'2015 IRP'!J35</f>
        <v>-4</v>
      </c>
      <c r="J35" s="38">
        <f>+'2015 IRP Update'!J36-'2015 IRP'!K35</f>
        <v>-4</v>
      </c>
      <c r="K35" s="38">
        <f>+'2015 IRP Update'!K36-'2015 IRP'!L35</f>
        <v>-4</v>
      </c>
      <c r="L35" s="38">
        <f>+'2015 IRP Update'!L36-'2015 IRP'!M35</f>
        <v>-4</v>
      </c>
      <c r="M35" s="38"/>
    </row>
    <row r="36" spans="1:13" x14ac:dyDescent="0.25">
      <c r="A36" t="s">
        <v>97</v>
      </c>
      <c r="D36" s="38">
        <f>+'2015 IRP Update'!D37-'2015 IRP'!E36</f>
        <v>-6</v>
      </c>
      <c r="E36" s="38">
        <f>+'2015 IRP Update'!E37-'2015 IRP'!F36</f>
        <v>37</v>
      </c>
      <c r="F36" s="38">
        <f>+'2015 IRP Update'!F37-'2015 IRP'!G36</f>
        <v>40</v>
      </c>
      <c r="G36" s="38">
        <f>+'2015 IRP Update'!G37-'2015 IRP'!H36</f>
        <v>40</v>
      </c>
      <c r="H36" s="38">
        <f>+'2015 IRP Update'!H37-'2015 IRP'!I36</f>
        <v>56</v>
      </c>
      <c r="I36" s="38">
        <f>+'2015 IRP Update'!I37-'2015 IRP'!J36</f>
        <v>46</v>
      </c>
      <c r="J36" s="38">
        <f>+'2015 IRP Update'!J37-'2015 IRP'!K36</f>
        <v>43</v>
      </c>
      <c r="K36" s="38">
        <f>+'2015 IRP Update'!K37-'2015 IRP'!L36</f>
        <v>40</v>
      </c>
      <c r="L36" s="38">
        <f>+'2015 IRP Update'!L37-'2015 IRP'!M36</f>
        <v>39</v>
      </c>
      <c r="M36" s="38"/>
    </row>
    <row r="37" spans="1:13" x14ac:dyDescent="0.25">
      <c r="A37" t="s">
        <v>114</v>
      </c>
      <c r="D37" s="38">
        <f>+'2015 IRP Update'!D38-'2015 IRP'!E37</f>
        <v>0</v>
      </c>
      <c r="E37" s="38">
        <f>+'2015 IRP Update'!E38-'2015 IRP'!F37</f>
        <v>0</v>
      </c>
      <c r="F37" s="38">
        <f>+'2015 IRP Update'!F38-'2015 IRP'!G37</f>
        <v>0</v>
      </c>
      <c r="G37" s="38">
        <f>+'2015 IRP Update'!G38-'2015 IRP'!H37</f>
        <v>0</v>
      </c>
      <c r="H37" s="38">
        <f>+'2015 IRP Update'!H38-'2015 IRP'!I37</f>
        <v>0</v>
      </c>
      <c r="I37" s="38">
        <f>+'2015 IRP Update'!I38-'2015 IRP'!J37</f>
        <v>0</v>
      </c>
      <c r="J37" s="38">
        <f>+'2015 IRP Update'!J38-'2015 IRP'!K37</f>
        <v>0</v>
      </c>
      <c r="K37" s="38">
        <f>+'2015 IRP Update'!K38-'2015 IRP'!L37</f>
        <v>0</v>
      </c>
      <c r="L37" s="38">
        <f>+'2015 IRP Update'!L38-'2015 IRP'!M37</f>
        <v>0</v>
      </c>
      <c r="M37" s="38"/>
    </row>
    <row r="38" spans="1:13" x14ac:dyDescent="0.25">
      <c r="A38" t="s">
        <v>9</v>
      </c>
      <c r="D38" s="38">
        <f>+'2015 IRP Update'!D39-'2015 IRP'!E38</f>
        <v>-5</v>
      </c>
      <c r="E38" s="38">
        <f>+'2015 IRP Update'!E39-'2015 IRP'!F38</f>
        <v>-5</v>
      </c>
      <c r="F38" s="38">
        <f>+'2015 IRP Update'!F39-'2015 IRP'!G38</f>
        <v>-5</v>
      </c>
      <c r="G38" s="38">
        <f>+'2015 IRP Update'!G39-'2015 IRP'!H38</f>
        <v>-5</v>
      </c>
      <c r="H38" s="38">
        <f>+'2015 IRP Update'!H39-'2015 IRP'!I38</f>
        <v>-5</v>
      </c>
      <c r="I38" s="38">
        <f>+'2015 IRP Update'!I39-'2015 IRP'!J38</f>
        <v>-5</v>
      </c>
      <c r="J38" s="38">
        <f>+'2015 IRP Update'!J39-'2015 IRP'!K38</f>
        <v>-5</v>
      </c>
      <c r="K38" s="38">
        <f>+'2015 IRP Update'!K39-'2015 IRP'!L38</f>
        <v>-5</v>
      </c>
      <c r="L38" s="38">
        <f>+'2015 IRP Update'!L39-'2015 IRP'!M38</f>
        <v>-2</v>
      </c>
      <c r="M38" s="38"/>
    </row>
    <row r="39" spans="1:13" x14ac:dyDescent="0.25">
      <c r="A39" t="s">
        <v>99</v>
      </c>
      <c r="D39" s="38">
        <f>+'2015 IRP Update'!D40-'2015 IRP'!E39</f>
        <v>0</v>
      </c>
      <c r="E39" s="38">
        <f>+'2015 IRP Update'!E40-'2015 IRP'!F39</f>
        <v>0</v>
      </c>
      <c r="F39" s="38">
        <f>+'2015 IRP Update'!F40-'2015 IRP'!G39</f>
        <v>0</v>
      </c>
      <c r="G39" s="38">
        <f>+'2015 IRP Update'!G40-'2015 IRP'!H39</f>
        <v>0</v>
      </c>
      <c r="H39" s="38">
        <f>+'2015 IRP Update'!H40-'2015 IRP'!I39</f>
        <v>0</v>
      </c>
      <c r="I39" s="38">
        <f>+'2015 IRP Update'!I40-'2015 IRP'!J39</f>
        <v>0</v>
      </c>
      <c r="J39" s="38">
        <f>+'2015 IRP Update'!J40-'2015 IRP'!K39</f>
        <v>0</v>
      </c>
      <c r="K39" s="38">
        <f>+'2015 IRP Update'!K40-'2015 IRP'!L39</f>
        <v>0</v>
      </c>
      <c r="L39" s="38">
        <f>+'2015 IRP Update'!L40-'2015 IRP'!M39</f>
        <v>0</v>
      </c>
      <c r="M39" s="38"/>
    </row>
    <row r="40" spans="1:13" x14ac:dyDescent="0.25">
      <c r="A40" t="s">
        <v>40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x14ac:dyDescent="0.25">
      <c r="C41" s="1" t="s">
        <v>15</v>
      </c>
      <c r="D41" s="38">
        <f>+'2015 IRP Update'!D42-'2015 IRP'!E41</f>
        <v>58</v>
      </c>
      <c r="E41" s="38">
        <f>+'2015 IRP Update'!E42-'2015 IRP'!F41</f>
        <v>104</v>
      </c>
      <c r="F41" s="38">
        <f>+'2015 IRP Update'!F42-'2015 IRP'!G41</f>
        <v>95</v>
      </c>
      <c r="G41" s="38">
        <f>+'2015 IRP Update'!G42-'2015 IRP'!H41</f>
        <v>44</v>
      </c>
      <c r="H41" s="38">
        <f>+'2015 IRP Update'!H42-'2015 IRP'!I41</f>
        <v>114</v>
      </c>
      <c r="I41" s="38">
        <f>+'2015 IRP Update'!I42-'2015 IRP'!J41</f>
        <v>19</v>
      </c>
      <c r="J41" s="38">
        <f>+'2015 IRP Update'!J42-'2015 IRP'!K41</f>
        <v>-35</v>
      </c>
      <c r="K41" s="38">
        <f>+'2015 IRP Update'!K42-'2015 IRP'!L41</f>
        <v>36</v>
      </c>
      <c r="L41" s="38">
        <f>+'2015 IRP Update'!L42-'2015 IRP'!M41</f>
        <v>33</v>
      </c>
      <c r="M41" s="67"/>
    </row>
    <row r="42" spans="1:13" x14ac:dyDescent="0.25"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x14ac:dyDescent="0.25">
      <c r="A43" t="s">
        <v>8</v>
      </c>
      <c r="D43" s="38">
        <f>+'2015 IRP Update'!D44-'2015 IRP'!E43</f>
        <v>-31</v>
      </c>
      <c r="E43" s="38">
        <f>+'2015 IRP Update'!E44-'2015 IRP'!F43</f>
        <v>-72</v>
      </c>
      <c r="F43" s="38">
        <f>+'2015 IRP Update'!F44-'2015 IRP'!G43</f>
        <v>-66</v>
      </c>
      <c r="G43" s="38">
        <f>+'2015 IRP Update'!G44-'2015 IRP'!H43</f>
        <v>-67</v>
      </c>
      <c r="H43" s="38">
        <f>+'2015 IRP Update'!H44-'2015 IRP'!I43</f>
        <v>-78</v>
      </c>
      <c r="I43" s="38">
        <f>+'2015 IRP Update'!I44-'2015 IRP'!J43</f>
        <v>-112</v>
      </c>
      <c r="J43" s="38">
        <f>+'2015 IRP Update'!J44-'2015 IRP'!K43</f>
        <v>-116</v>
      </c>
      <c r="K43" s="38">
        <f>+'2015 IRP Update'!K44-'2015 IRP'!L43</f>
        <v>-123</v>
      </c>
      <c r="L43" s="38">
        <f>+'2015 IRP Update'!L44-'2015 IRP'!M43</f>
        <v>-130</v>
      </c>
      <c r="M43" s="50"/>
    </row>
    <row r="44" spans="1:13" x14ac:dyDescent="0.25">
      <c r="B44" t="s">
        <v>100</v>
      </c>
      <c r="D44" s="38">
        <f>+'2015 IRP Update'!D45-'2015 IRP'!E44</f>
        <v>0</v>
      </c>
      <c r="E44" s="38">
        <f>+'2015 IRP Update'!E45-'2015 IRP'!F44</f>
        <v>0</v>
      </c>
      <c r="F44" s="38">
        <f>+'2015 IRP Update'!F45-'2015 IRP'!G44</f>
        <v>0</v>
      </c>
      <c r="G44" s="38">
        <f>+'2015 IRP Update'!G45-'2015 IRP'!H44</f>
        <v>0</v>
      </c>
      <c r="H44" s="38">
        <f>+'2015 IRP Update'!H45-'2015 IRP'!I44</f>
        <v>0</v>
      </c>
      <c r="I44" s="38">
        <f>+'2015 IRP Update'!I45-'2015 IRP'!J44</f>
        <v>0</v>
      </c>
      <c r="J44" s="38">
        <f>+'2015 IRP Update'!J45-'2015 IRP'!K44</f>
        <v>0</v>
      </c>
      <c r="K44" s="38">
        <f>+'2015 IRP Update'!K45-'2015 IRP'!L44</f>
        <v>0</v>
      </c>
      <c r="L44" s="38">
        <f>+'2015 IRP Update'!L45-'2015 IRP'!M44</f>
        <v>0</v>
      </c>
      <c r="M44" s="50"/>
    </row>
    <row r="45" spans="1:13" x14ac:dyDescent="0.25">
      <c r="B45" t="s">
        <v>113</v>
      </c>
      <c r="D45" s="38">
        <f>+'2015 IRP Update'!D46-'2015 IRP'!E45</f>
        <v>0</v>
      </c>
      <c r="E45" s="38">
        <f>+'2015 IRP Update'!E46-'2015 IRP'!F45</f>
        <v>0</v>
      </c>
      <c r="F45" s="38">
        <f>+'2015 IRP Update'!F46-'2015 IRP'!G45</f>
        <v>0</v>
      </c>
      <c r="G45" s="38">
        <f>+'2015 IRP Update'!G46-'2015 IRP'!H45</f>
        <v>0</v>
      </c>
      <c r="H45" s="38">
        <f>+'2015 IRP Update'!H46-'2015 IRP'!I45</f>
        <v>0</v>
      </c>
      <c r="I45" s="38">
        <f>+'2015 IRP Update'!I46-'2015 IRP'!J45</f>
        <v>0</v>
      </c>
      <c r="J45" s="38">
        <f>+'2015 IRP Update'!J46-'2015 IRP'!K45</f>
        <v>0</v>
      </c>
      <c r="K45" s="38">
        <f>+'2015 IRP Update'!K46-'2015 IRP'!L45</f>
        <v>0</v>
      </c>
      <c r="L45" s="38">
        <f>+'2015 IRP Update'!L46-'2015 IRP'!M45</f>
        <v>0</v>
      </c>
      <c r="M45" s="38"/>
    </row>
    <row r="46" spans="1:13" x14ac:dyDescent="0.25">
      <c r="C46" s="1" t="s">
        <v>16</v>
      </c>
      <c r="D46" s="38">
        <f>+'2015 IRP Update'!D47-'2015 IRP'!E46</f>
        <v>-31</v>
      </c>
      <c r="E46" s="38">
        <f>+'2015 IRP Update'!E47-'2015 IRP'!F46</f>
        <v>-72</v>
      </c>
      <c r="F46" s="38">
        <f>+'2015 IRP Update'!F47-'2015 IRP'!G46</f>
        <v>-66</v>
      </c>
      <c r="G46" s="38">
        <f>+'2015 IRP Update'!G47-'2015 IRP'!H46</f>
        <v>-67</v>
      </c>
      <c r="H46" s="38">
        <f>+'2015 IRP Update'!H47-'2015 IRP'!I46</f>
        <v>-78</v>
      </c>
      <c r="I46" s="38">
        <f>+'2015 IRP Update'!I47-'2015 IRP'!J46</f>
        <v>-112</v>
      </c>
      <c r="J46" s="38">
        <f>+'2015 IRP Update'!J47-'2015 IRP'!K46</f>
        <v>-116</v>
      </c>
      <c r="K46" s="38">
        <f>+'2015 IRP Update'!K47-'2015 IRP'!L46</f>
        <v>-123</v>
      </c>
      <c r="L46" s="38">
        <f>+'2015 IRP Update'!L47-'2015 IRP'!M46</f>
        <v>-130</v>
      </c>
      <c r="M46" s="50"/>
    </row>
    <row r="47" spans="1:13" x14ac:dyDescent="0.25"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x14ac:dyDescent="0.25">
      <c r="A48" t="s">
        <v>101</v>
      </c>
      <c r="D48" s="38">
        <f>+'2015 IRP Update'!D49-'2015 IRP'!E48</f>
        <v>-4</v>
      </c>
      <c r="E48" s="38">
        <f>+'2015 IRP Update'!E49-'2015 IRP'!F48</f>
        <v>-10</v>
      </c>
      <c r="F48" s="38">
        <f>+'2015 IRP Update'!F49-'2015 IRP'!G48</f>
        <v>-8</v>
      </c>
      <c r="G48" s="38">
        <f>+'2015 IRP Update'!G49-'2015 IRP'!H48</f>
        <v>-8</v>
      </c>
      <c r="H48" s="38">
        <f>+'2015 IRP Update'!H49-'2015 IRP'!I48</f>
        <v>-10</v>
      </c>
      <c r="I48" s="38">
        <f>+'2015 IRP Update'!I49-'2015 IRP'!J48</f>
        <v>-14</v>
      </c>
      <c r="J48" s="38">
        <f>+'2015 IRP Update'!J49-'2015 IRP'!K48</f>
        <v>-15</v>
      </c>
      <c r="K48" s="38">
        <f>+'2015 IRP Update'!K49-'2015 IRP'!L48</f>
        <v>-15</v>
      </c>
      <c r="L48" s="38">
        <f>+'2015 IRP Update'!L49-'2015 IRP'!M48</f>
        <v>-17</v>
      </c>
      <c r="M48" s="38"/>
    </row>
    <row r="49" spans="1:13" x14ac:dyDescent="0.25"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x14ac:dyDescent="0.25">
      <c r="C50" s="1" t="s">
        <v>18</v>
      </c>
      <c r="D50" s="38">
        <f>+'2015 IRP Update'!D51-'2015 IRP'!E50</f>
        <v>-35</v>
      </c>
      <c r="E50" s="38">
        <f>+'2015 IRP Update'!E51-'2015 IRP'!F50</f>
        <v>-82</v>
      </c>
      <c r="F50" s="38">
        <f>+'2015 IRP Update'!F51-'2015 IRP'!G50</f>
        <v>-74</v>
      </c>
      <c r="G50" s="38">
        <f>+'2015 IRP Update'!G51-'2015 IRP'!H50</f>
        <v>-75</v>
      </c>
      <c r="H50" s="38">
        <f>+'2015 IRP Update'!H51-'2015 IRP'!I50</f>
        <v>-88</v>
      </c>
      <c r="I50" s="38">
        <f>+'2015 IRP Update'!I51-'2015 IRP'!J50</f>
        <v>-126</v>
      </c>
      <c r="J50" s="38">
        <f>+'2015 IRP Update'!J51-'2015 IRP'!K50</f>
        <v>-131</v>
      </c>
      <c r="K50" s="38">
        <f>+'2015 IRP Update'!K51-'2015 IRP'!L50</f>
        <v>-138</v>
      </c>
      <c r="L50" s="38">
        <f>+'2015 IRP Update'!L51-'2015 IRP'!M50</f>
        <v>-147</v>
      </c>
      <c r="M50" s="38"/>
    </row>
    <row r="51" spans="1:13" x14ac:dyDescent="0.25">
      <c r="C51" s="1" t="s">
        <v>19</v>
      </c>
      <c r="D51" s="38">
        <f>+'2015 IRP Update'!D52-'2015 IRP'!E51</f>
        <v>93</v>
      </c>
      <c r="E51" s="38">
        <f>+'2015 IRP Update'!E52-'2015 IRP'!F51</f>
        <v>186</v>
      </c>
      <c r="F51" s="38">
        <f>+'2015 IRP Update'!F52-'2015 IRP'!G51</f>
        <v>169</v>
      </c>
      <c r="G51" s="38">
        <f>+'2015 IRP Update'!G52-'2015 IRP'!H51</f>
        <v>119</v>
      </c>
      <c r="H51" s="38">
        <f>+'2015 IRP Update'!H52-'2015 IRP'!I51</f>
        <v>202</v>
      </c>
      <c r="I51" s="38">
        <f>+'2015 IRP Update'!I52-'2015 IRP'!J51</f>
        <v>145</v>
      </c>
      <c r="J51" s="38">
        <f>+'2015 IRP Update'!J52-'2015 IRP'!K51</f>
        <v>96</v>
      </c>
      <c r="K51" s="38">
        <f>+'2015 IRP Update'!K52-'2015 IRP'!L51</f>
        <v>174</v>
      </c>
      <c r="L51" s="38">
        <f>+'2015 IRP Update'!L52-'2015 IRP'!M51</f>
        <v>180</v>
      </c>
      <c r="M51" s="38"/>
    </row>
    <row r="52" spans="1:13" x14ac:dyDescent="0.25">
      <c r="C52" s="1" t="s">
        <v>20</v>
      </c>
      <c r="D52" s="38"/>
      <c r="E52" s="53"/>
      <c r="F52" s="53"/>
      <c r="G52" s="53"/>
      <c r="H52" s="53"/>
      <c r="I52" s="53"/>
      <c r="J52" s="53"/>
      <c r="K52" s="53"/>
      <c r="L52" s="53"/>
      <c r="M52" s="53"/>
    </row>
    <row r="53" spans="1:13" x14ac:dyDescent="0.25">
      <c r="C53" s="1"/>
    </row>
    <row r="54" spans="1:13" x14ac:dyDescent="0.25">
      <c r="A54" s="76" t="s">
        <v>34</v>
      </c>
      <c r="B54" s="76"/>
      <c r="C54" s="76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C55" s="1" t="s">
        <v>21</v>
      </c>
      <c r="D55" s="38">
        <f>+'2015 IRP Update'!D57-'2015 IRP'!E55</f>
        <v>88</v>
      </c>
      <c r="E55" s="38">
        <f>+'2015 IRP Update'!E57-'2015 IRP'!F55</f>
        <v>172</v>
      </c>
      <c r="F55" s="38">
        <f>+'2015 IRP Update'!F57-'2015 IRP'!G55</f>
        <v>-175</v>
      </c>
      <c r="G55" s="38">
        <f>+'2015 IRP Update'!G57-'2015 IRP'!H55</f>
        <v>-224</v>
      </c>
      <c r="H55" s="38">
        <f>+'2015 IRP Update'!H57-'2015 IRP'!I55</f>
        <v>-152</v>
      </c>
      <c r="I55" s="38">
        <f>+'2015 IRP Update'!I57-'2015 IRP'!J55</f>
        <v>-250</v>
      </c>
      <c r="J55" s="38">
        <f>+'2015 IRP Update'!J57-'2015 IRP'!K55</f>
        <v>-308</v>
      </c>
      <c r="K55" s="38">
        <f>+'2015 IRP Update'!K57-'2015 IRP'!L55</f>
        <v>-235</v>
      </c>
      <c r="L55" s="38">
        <f>+'2015 IRP Update'!L57-'2015 IRP'!M55</f>
        <v>-244</v>
      </c>
      <c r="M55" s="51"/>
    </row>
    <row r="56" spans="1:13" x14ac:dyDescent="0.25">
      <c r="C56" s="1" t="s">
        <v>35</v>
      </c>
      <c r="D56" s="38">
        <f>+'2015 IRP Update'!D58-'2015 IRP'!E56</f>
        <v>0</v>
      </c>
      <c r="E56" s="38">
        <f>+'2015 IRP Update'!E58-'2015 IRP'!F56</f>
        <v>0</v>
      </c>
      <c r="F56" s="38">
        <f>+'2015 IRP Update'!F58-'2015 IRP'!G56</f>
        <v>0</v>
      </c>
      <c r="G56" s="38">
        <f>+'2015 IRP Update'!G58-'2015 IRP'!H56</f>
        <v>0</v>
      </c>
      <c r="H56" s="38">
        <f>+'2015 IRP Update'!H58-'2015 IRP'!I56</f>
        <v>0</v>
      </c>
      <c r="I56" s="38">
        <f>+'2015 IRP Update'!I58-'2015 IRP'!J56</f>
        <v>0</v>
      </c>
      <c r="J56" s="38">
        <f>+'2015 IRP Update'!J58-'2015 IRP'!K56</f>
        <v>0</v>
      </c>
      <c r="K56" s="38">
        <f>+'2015 IRP Update'!K58-'2015 IRP'!L56</f>
        <v>0</v>
      </c>
      <c r="L56" s="38">
        <f>+'2015 IRP Update'!L58-'2015 IRP'!M56</f>
        <v>0</v>
      </c>
      <c r="M56" s="51"/>
    </row>
    <row r="57" spans="1:13" x14ac:dyDescent="0.25">
      <c r="C57" s="1" t="s">
        <v>36</v>
      </c>
      <c r="D57" s="38">
        <f>+'2015 IRP Update'!D59-'2015 IRP'!E57</f>
        <v>-53</v>
      </c>
      <c r="E57" s="38">
        <f>+'2015 IRP Update'!E59-'2015 IRP'!F57</f>
        <v>-98</v>
      </c>
      <c r="F57" s="38">
        <f>+'2015 IRP Update'!F59-'2015 IRP'!G57</f>
        <v>-47</v>
      </c>
      <c r="G57" s="38">
        <f>+'2015 IRP Update'!G59-'2015 IRP'!H57</f>
        <v>-11</v>
      </c>
      <c r="H57" s="38">
        <f>+'2015 IRP Update'!H59-'2015 IRP'!I57</f>
        <v>-21</v>
      </c>
      <c r="I57" s="38">
        <f>+'2015 IRP Update'!I59-'2015 IRP'!J57</f>
        <v>-20</v>
      </c>
      <c r="J57" s="38">
        <f>+'2015 IRP Update'!J59-'2015 IRP'!K57</f>
        <v>-16</v>
      </c>
      <c r="K57" s="38">
        <f>+'2015 IRP Update'!K59-'2015 IRP'!L57</f>
        <v>-31</v>
      </c>
      <c r="L57" s="38">
        <f>+'2015 IRP Update'!L59-'2015 IRP'!M57</f>
        <v>31</v>
      </c>
      <c r="M57" s="51"/>
    </row>
    <row r="58" spans="1:13" x14ac:dyDescent="0.25">
      <c r="C58" s="1" t="s">
        <v>22</v>
      </c>
      <c r="D58" s="38">
        <f>+'2015 IRP Update'!D60-'2015 IRP'!E58</f>
        <v>-1</v>
      </c>
      <c r="E58" s="38">
        <f>+'2015 IRP Update'!E60-'2015 IRP'!F58</f>
        <v>-7</v>
      </c>
      <c r="F58" s="38">
        <f>+'2015 IRP Update'!F60-'2015 IRP'!G58</f>
        <v>1</v>
      </c>
      <c r="G58" s="38">
        <f>+'2015 IRP Update'!G60-'2015 IRP'!H58</f>
        <v>6</v>
      </c>
      <c r="H58" s="38">
        <f>+'2015 IRP Update'!H60-'2015 IRP'!I58</f>
        <v>3</v>
      </c>
      <c r="I58" s="38">
        <f>+'2015 IRP Update'!I60-'2015 IRP'!J58</f>
        <v>4</v>
      </c>
      <c r="J58" s="38">
        <f>+'2015 IRP Update'!J60-'2015 IRP'!K58</f>
        <v>4</v>
      </c>
      <c r="K58" s="38">
        <f>+'2015 IRP Update'!K60-'2015 IRP'!L58</f>
        <v>3</v>
      </c>
      <c r="L58" s="38">
        <f>+'2015 IRP Update'!L60-'2015 IRP'!M58</f>
        <v>10</v>
      </c>
      <c r="M58" s="51"/>
    </row>
    <row r="59" spans="1:13" x14ac:dyDescent="0.25">
      <c r="C59" s="1" t="s">
        <v>37</v>
      </c>
      <c r="D59" s="38">
        <f>+'2015 IRP Update'!D61-'2015 IRP'!E59</f>
        <v>-54</v>
      </c>
      <c r="E59" s="38">
        <f>+'2015 IRP Update'!E61-'2015 IRP'!F59</f>
        <v>-105</v>
      </c>
      <c r="F59" s="38">
        <f>+'2015 IRP Update'!F61-'2015 IRP'!G59</f>
        <v>-46</v>
      </c>
      <c r="G59" s="38">
        <f>+'2015 IRP Update'!G61-'2015 IRP'!H59</f>
        <v>-5</v>
      </c>
      <c r="H59" s="38">
        <f>+'2015 IRP Update'!H61-'2015 IRP'!I59</f>
        <v>-18</v>
      </c>
      <c r="I59" s="38">
        <f>+'2015 IRP Update'!I61-'2015 IRP'!J59</f>
        <v>-16</v>
      </c>
      <c r="J59" s="38">
        <f>+'2015 IRP Update'!J61-'2015 IRP'!K59</f>
        <v>-12</v>
      </c>
      <c r="K59" s="38">
        <f>+'2015 IRP Update'!K61-'2015 IRP'!L59</f>
        <v>-28</v>
      </c>
      <c r="L59" s="38">
        <f>+'2015 IRP Update'!L61-'2015 IRP'!M59</f>
        <v>41</v>
      </c>
      <c r="M59" s="51"/>
    </row>
    <row r="60" spans="1:13" x14ac:dyDescent="0.25">
      <c r="C60" s="1" t="s">
        <v>38</v>
      </c>
      <c r="D60" s="38">
        <f>+'2015 IRP Update'!D62-'2015 IRP'!E60</f>
        <v>142</v>
      </c>
      <c r="E60" s="38">
        <f>+'2015 IRP Update'!E62-'2015 IRP'!F60</f>
        <v>277</v>
      </c>
      <c r="F60" s="38">
        <f>+'2015 IRP Update'!F62-'2015 IRP'!G60</f>
        <v>-129</v>
      </c>
      <c r="G60" s="38">
        <f>+'2015 IRP Update'!G62-'2015 IRP'!H60</f>
        <v>-219</v>
      </c>
      <c r="H60" s="38">
        <f>+'2015 IRP Update'!H62-'2015 IRP'!I60</f>
        <v>-134</v>
      </c>
      <c r="I60" s="38">
        <f>+'2015 IRP Update'!I62-'2015 IRP'!J60</f>
        <v>-234</v>
      </c>
      <c r="J60" s="38">
        <f>+'2015 IRP Update'!J62-'2015 IRP'!K60</f>
        <v>-296</v>
      </c>
      <c r="K60" s="38">
        <f>+'2015 IRP Update'!K62-'2015 IRP'!L60</f>
        <v>-207</v>
      </c>
      <c r="L60" s="38">
        <f>+'2015 IRP Update'!L62-'2015 IRP'!M60</f>
        <v>-285</v>
      </c>
      <c r="M60" s="51"/>
    </row>
    <row r="61" spans="1:13" x14ac:dyDescent="0.25">
      <c r="C61" s="1" t="s">
        <v>23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3" spans="1:13" x14ac:dyDescent="0.25"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x14ac:dyDescent="0.25">
      <c r="D65" s="6"/>
      <c r="E65" s="6"/>
      <c r="F65" s="6"/>
      <c r="G65" s="6"/>
      <c r="H65" s="6"/>
      <c r="I65" s="6"/>
      <c r="J65" s="6"/>
      <c r="K65" s="6"/>
      <c r="L65" s="6"/>
      <c r="M65" s="6"/>
    </row>
    <row r="67" spans="4:13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4:13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</row>
  </sheetData>
  <mergeCells count="6">
    <mergeCell ref="A54:C54"/>
    <mergeCell ref="A3:M3"/>
    <mergeCell ref="A4:M4"/>
    <mergeCell ref="A5:M5"/>
    <mergeCell ref="A8:C8"/>
    <mergeCell ref="A31:C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A116"/>
  <sheetViews>
    <sheetView workbookViewId="0">
      <selection activeCell="B2" sqref="B2"/>
    </sheetView>
  </sheetViews>
  <sheetFormatPr defaultRowHeight="15" x14ac:dyDescent="0.25"/>
  <cols>
    <col min="1" max="2" width="2.7109375" customWidth="1"/>
    <col min="3" max="3" width="26.140625" customWidth="1"/>
  </cols>
  <sheetData>
    <row r="2" spans="1:13" x14ac:dyDescent="0.25">
      <c r="A2" s="70" t="s">
        <v>124</v>
      </c>
      <c r="B2" s="70"/>
      <c r="C2" s="70"/>
      <c r="D2" s="42"/>
      <c r="E2" s="42"/>
      <c r="F2" s="42"/>
      <c r="G2" s="42"/>
      <c r="H2" s="42"/>
      <c r="I2" s="42"/>
      <c r="J2" s="42"/>
      <c r="K2" s="42"/>
      <c r="L2" s="56">
        <v>0.13</v>
      </c>
      <c r="M2" s="42"/>
    </row>
    <row r="3" spans="1:13" ht="18.75" x14ac:dyDescent="0.3">
      <c r="A3" s="78" t="s">
        <v>128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72" t="s">
        <v>129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x14ac:dyDescent="0.25">
      <c r="A5" s="73" t="s">
        <v>85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7" spans="1:13" x14ac:dyDescent="0.25">
      <c r="A7" t="s">
        <v>0</v>
      </c>
      <c r="D7">
        <v>2017</v>
      </c>
      <c r="E7">
        <f>+D7+1</f>
        <v>2018</v>
      </c>
      <c r="F7">
        <f t="shared" ref="F7:M7" si="0">+E7+1</f>
        <v>2019</v>
      </c>
      <c r="G7">
        <f t="shared" si="0"/>
        <v>2020</v>
      </c>
      <c r="H7">
        <f t="shared" si="0"/>
        <v>2021</v>
      </c>
      <c r="I7">
        <f t="shared" si="0"/>
        <v>2022</v>
      </c>
      <c r="J7">
        <f t="shared" si="0"/>
        <v>2023</v>
      </c>
      <c r="K7">
        <f t="shared" si="0"/>
        <v>2024</v>
      </c>
      <c r="L7">
        <f t="shared" si="0"/>
        <v>2025</v>
      </c>
      <c r="M7">
        <f t="shared" si="0"/>
        <v>2026</v>
      </c>
    </row>
    <row r="8" spans="1:13" x14ac:dyDescent="0.25">
      <c r="A8" s="76" t="s">
        <v>27</v>
      </c>
      <c r="B8" s="76"/>
      <c r="C8" s="7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t="s">
        <v>1</v>
      </c>
      <c r="D9" s="38">
        <v>6406</v>
      </c>
      <c r="E9" s="38">
        <v>6126</v>
      </c>
      <c r="F9" s="38">
        <v>6126</v>
      </c>
      <c r="G9" s="38">
        <v>6126</v>
      </c>
      <c r="H9" s="38">
        <v>6126</v>
      </c>
      <c r="I9" s="38">
        <v>6126</v>
      </c>
      <c r="J9" s="38">
        <v>6126</v>
      </c>
      <c r="K9" s="38">
        <v>6126</v>
      </c>
      <c r="L9" s="34">
        <v>5735</v>
      </c>
      <c r="M9" s="34">
        <v>5645</v>
      </c>
    </row>
    <row r="10" spans="1:13" x14ac:dyDescent="0.25">
      <c r="A10" t="s">
        <v>98</v>
      </c>
      <c r="D10" s="38">
        <v>103</v>
      </c>
      <c r="E10" s="38">
        <v>106</v>
      </c>
      <c r="F10" s="38">
        <v>113</v>
      </c>
      <c r="G10" s="38">
        <v>113</v>
      </c>
      <c r="H10" s="38">
        <v>113</v>
      </c>
      <c r="I10" s="38">
        <v>113</v>
      </c>
      <c r="J10" s="38">
        <v>113</v>
      </c>
      <c r="K10" s="38">
        <v>92</v>
      </c>
      <c r="L10" s="38">
        <v>92</v>
      </c>
      <c r="M10" s="38">
        <v>92</v>
      </c>
    </row>
    <row r="11" spans="1:13" x14ac:dyDescent="0.25">
      <c r="A11" t="s">
        <v>4</v>
      </c>
      <c r="D11" s="38">
        <v>202</v>
      </c>
      <c r="E11" s="38">
        <v>202</v>
      </c>
      <c r="F11" s="38">
        <v>202</v>
      </c>
      <c r="G11" s="38">
        <v>202</v>
      </c>
      <c r="H11" s="38">
        <v>199</v>
      </c>
      <c r="I11" s="38">
        <v>191</v>
      </c>
      <c r="J11" s="38">
        <v>191</v>
      </c>
      <c r="K11" s="38">
        <v>191</v>
      </c>
      <c r="L11" s="38">
        <v>191</v>
      </c>
      <c r="M11" s="38">
        <v>181</v>
      </c>
    </row>
    <row r="12" spans="1:13" x14ac:dyDescent="0.25">
      <c r="A12" t="s">
        <v>5</v>
      </c>
      <c r="D12" s="38">
        <v>249</v>
      </c>
      <c r="E12" s="38">
        <v>249</v>
      </c>
      <c r="F12" s="38">
        <v>249</v>
      </c>
      <c r="G12" s="38">
        <v>249</v>
      </c>
      <c r="H12" s="38">
        <v>221</v>
      </c>
      <c r="I12" s="38">
        <v>221</v>
      </c>
      <c r="J12" s="38">
        <v>221</v>
      </c>
      <c r="K12" s="38">
        <v>221</v>
      </c>
      <c r="L12" s="34">
        <v>121</v>
      </c>
      <c r="M12" s="34">
        <v>121</v>
      </c>
    </row>
    <row r="13" spans="1:13" x14ac:dyDescent="0.25">
      <c r="A13" t="s">
        <v>97</v>
      </c>
      <c r="D13" s="38">
        <v>727</v>
      </c>
      <c r="E13" s="38">
        <v>716</v>
      </c>
      <c r="F13" s="38">
        <v>766</v>
      </c>
      <c r="G13" s="38">
        <v>757</v>
      </c>
      <c r="H13" s="38">
        <v>748</v>
      </c>
      <c r="I13" s="38">
        <v>736</v>
      </c>
      <c r="J13" s="38">
        <v>731</v>
      </c>
      <c r="K13" s="38">
        <v>677</v>
      </c>
      <c r="L13" s="38">
        <v>671</v>
      </c>
      <c r="M13" s="38">
        <v>666</v>
      </c>
    </row>
    <row r="14" spans="1:13" x14ac:dyDescent="0.25">
      <c r="A14" t="s">
        <v>112</v>
      </c>
      <c r="D14" s="38">
        <v>323</v>
      </c>
      <c r="E14" s="38">
        <v>323</v>
      </c>
      <c r="F14" s="38">
        <v>323</v>
      </c>
      <c r="G14" s="38">
        <v>323</v>
      </c>
      <c r="H14" s="38">
        <v>323</v>
      </c>
      <c r="I14" s="38">
        <v>323</v>
      </c>
      <c r="J14" s="38">
        <v>323</v>
      </c>
      <c r="K14" s="38">
        <v>323</v>
      </c>
      <c r="L14" s="38">
        <v>323</v>
      </c>
      <c r="M14" s="38">
        <v>323</v>
      </c>
    </row>
    <row r="15" spans="1:13" x14ac:dyDescent="0.25">
      <c r="A15" t="s">
        <v>9</v>
      </c>
      <c r="D15" s="38">
        <v>-652</v>
      </c>
      <c r="E15" s="38">
        <v>-652</v>
      </c>
      <c r="F15" s="38">
        <v>-652</v>
      </c>
      <c r="G15" s="38">
        <v>-652</v>
      </c>
      <c r="H15" s="38">
        <v>-172</v>
      </c>
      <c r="I15" s="38">
        <v>-172</v>
      </c>
      <c r="J15" s="38">
        <v>-172</v>
      </c>
      <c r="K15" s="38">
        <v>-146</v>
      </c>
      <c r="L15" s="38">
        <v>-146</v>
      </c>
      <c r="M15" s="38">
        <v>-63</v>
      </c>
    </row>
    <row r="16" spans="1:13" x14ac:dyDescent="0.25">
      <c r="A16" t="s">
        <v>99</v>
      </c>
      <c r="D16" s="38">
        <v>-37</v>
      </c>
      <c r="E16" s="38">
        <v>-37</v>
      </c>
      <c r="F16" s="38">
        <f>+E16</f>
        <v>-37</v>
      </c>
      <c r="G16" s="38">
        <f t="shared" ref="G16:M16" si="1">+F16</f>
        <v>-37</v>
      </c>
      <c r="H16" s="38">
        <f t="shared" si="1"/>
        <v>-37</v>
      </c>
      <c r="I16" s="38">
        <f t="shared" si="1"/>
        <v>-37</v>
      </c>
      <c r="J16" s="38">
        <f t="shared" si="1"/>
        <v>-37</v>
      </c>
      <c r="K16" s="38">
        <f t="shared" si="1"/>
        <v>-37</v>
      </c>
      <c r="L16" s="38">
        <f t="shared" si="1"/>
        <v>-37</v>
      </c>
      <c r="M16" s="38">
        <f t="shared" si="1"/>
        <v>-37</v>
      </c>
    </row>
    <row r="17" spans="1:13" x14ac:dyDescent="0.25">
      <c r="A17" t="s">
        <v>40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x14ac:dyDescent="0.25">
      <c r="C18" s="1" t="s">
        <v>7</v>
      </c>
      <c r="D18" s="50">
        <f t="shared" ref="D18:M18" si="2">SUM(D9:D17)</f>
        <v>7321</v>
      </c>
      <c r="E18" s="50">
        <f t="shared" si="2"/>
        <v>7033</v>
      </c>
      <c r="F18" s="50">
        <f t="shared" si="2"/>
        <v>7090</v>
      </c>
      <c r="G18" s="50">
        <f t="shared" si="2"/>
        <v>7081</v>
      </c>
      <c r="H18" s="50">
        <f>SUM(H9:H17)</f>
        <v>7521</v>
      </c>
      <c r="I18" s="50">
        <f t="shared" si="2"/>
        <v>7501</v>
      </c>
      <c r="J18" s="50">
        <f t="shared" si="2"/>
        <v>7496</v>
      </c>
      <c r="K18" s="50">
        <f t="shared" si="2"/>
        <v>7447</v>
      </c>
      <c r="L18" s="50">
        <f t="shared" si="2"/>
        <v>6950</v>
      </c>
      <c r="M18" s="50">
        <f t="shared" si="2"/>
        <v>6928</v>
      </c>
    </row>
    <row r="19" spans="1:13" x14ac:dyDescent="0.25"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x14ac:dyDescent="0.25">
      <c r="A20" t="s">
        <v>8</v>
      </c>
      <c r="D20" s="38">
        <v>7011</v>
      </c>
      <c r="E20" s="38">
        <v>7100</v>
      </c>
      <c r="F20" s="38">
        <v>7191</v>
      </c>
      <c r="G20" s="38">
        <v>7248</v>
      </c>
      <c r="H20" s="38">
        <v>7350</v>
      </c>
      <c r="I20" s="38">
        <v>7439</v>
      </c>
      <c r="J20" s="38">
        <v>7505</v>
      </c>
      <c r="K20" s="38">
        <v>7584</v>
      </c>
      <c r="L20" s="38">
        <v>7684</v>
      </c>
      <c r="M20" s="38">
        <v>7687</v>
      </c>
    </row>
    <row r="21" spans="1:13" x14ac:dyDescent="0.25">
      <c r="B21" t="s">
        <v>130</v>
      </c>
      <c r="D21" s="38">
        <v>-33</v>
      </c>
      <c r="E21" s="38">
        <v>-51</v>
      </c>
      <c r="F21" s="38">
        <v>-72</v>
      </c>
      <c r="G21" s="38">
        <v>-80</v>
      </c>
      <c r="H21" s="38">
        <v>-86</v>
      </c>
      <c r="I21" s="38">
        <v>-91</v>
      </c>
      <c r="J21" s="38">
        <v>-94</v>
      </c>
      <c r="K21" s="38">
        <v>-98</v>
      </c>
      <c r="L21" s="38">
        <v>-104</v>
      </c>
      <c r="M21" s="38">
        <v>-112</v>
      </c>
    </row>
    <row r="22" spans="1:13" x14ac:dyDescent="0.25">
      <c r="B22" t="s">
        <v>100</v>
      </c>
      <c r="D22" s="38">
        <v>-195</v>
      </c>
      <c r="E22" s="38">
        <v>-195</v>
      </c>
      <c r="F22" s="38">
        <v>-195</v>
      </c>
      <c r="G22" s="38">
        <v>-195</v>
      </c>
      <c r="H22" s="38">
        <v>-195</v>
      </c>
      <c r="I22" s="38">
        <v>-195</v>
      </c>
      <c r="J22" s="38">
        <v>-195</v>
      </c>
      <c r="K22" s="38">
        <v>-195</v>
      </c>
      <c r="L22" s="38">
        <v>-195</v>
      </c>
      <c r="M22" s="38">
        <v>-195</v>
      </c>
    </row>
    <row r="23" spans="1:13" x14ac:dyDescent="0.25">
      <c r="B23" t="s">
        <v>113</v>
      </c>
      <c r="D23" s="38">
        <v>-62</v>
      </c>
      <c r="E23" s="38">
        <f>+D23</f>
        <v>-62</v>
      </c>
      <c r="F23" s="38">
        <f t="shared" ref="F23:M23" si="3">+E23</f>
        <v>-62</v>
      </c>
      <c r="G23" s="38">
        <f t="shared" si="3"/>
        <v>-62</v>
      </c>
      <c r="H23" s="38">
        <f t="shared" si="3"/>
        <v>-62</v>
      </c>
      <c r="I23" s="38">
        <f t="shared" si="3"/>
        <v>-62</v>
      </c>
      <c r="J23" s="38">
        <f t="shared" si="3"/>
        <v>-62</v>
      </c>
      <c r="K23" s="38">
        <f t="shared" si="3"/>
        <v>-62</v>
      </c>
      <c r="L23" s="38">
        <f t="shared" si="3"/>
        <v>-62</v>
      </c>
      <c r="M23" s="38">
        <f t="shared" si="3"/>
        <v>-62</v>
      </c>
    </row>
    <row r="24" spans="1:13" x14ac:dyDescent="0.25">
      <c r="C24" s="1" t="s">
        <v>10</v>
      </c>
      <c r="D24" s="50">
        <f>+D23+D22+D20+D21</f>
        <v>6721</v>
      </c>
      <c r="E24" s="50">
        <f t="shared" ref="E24:M24" si="4">+E23+E22+E20+E21</f>
        <v>6792</v>
      </c>
      <c r="F24" s="50">
        <f t="shared" si="4"/>
        <v>6862</v>
      </c>
      <c r="G24" s="50">
        <f t="shared" si="4"/>
        <v>6911</v>
      </c>
      <c r="H24" s="50">
        <f t="shared" si="4"/>
        <v>7007</v>
      </c>
      <c r="I24" s="50">
        <f t="shared" si="4"/>
        <v>7091</v>
      </c>
      <c r="J24" s="50">
        <f t="shared" si="4"/>
        <v>7154</v>
      </c>
      <c r="K24" s="50">
        <f t="shared" si="4"/>
        <v>7229</v>
      </c>
      <c r="L24" s="50">
        <f t="shared" si="4"/>
        <v>7323</v>
      </c>
      <c r="M24" s="50">
        <f t="shared" si="4"/>
        <v>7318</v>
      </c>
    </row>
    <row r="25" spans="1:13" x14ac:dyDescent="0.25"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x14ac:dyDescent="0.25">
      <c r="A26" t="s">
        <v>102</v>
      </c>
      <c r="D26" s="38">
        <v>899</v>
      </c>
      <c r="E26" s="38">
        <v>908</v>
      </c>
      <c r="F26" s="38">
        <v>917</v>
      </c>
      <c r="G26" s="38">
        <v>924</v>
      </c>
      <c r="H26" s="38">
        <v>936</v>
      </c>
      <c r="I26" s="38">
        <v>947</v>
      </c>
      <c r="J26" s="38">
        <v>955</v>
      </c>
      <c r="K26" s="38">
        <v>965</v>
      </c>
      <c r="L26" s="38">
        <v>977</v>
      </c>
      <c r="M26" s="38">
        <v>977</v>
      </c>
    </row>
    <row r="27" spans="1:13" x14ac:dyDescent="0.25"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x14ac:dyDescent="0.25">
      <c r="C28" s="1" t="s">
        <v>12</v>
      </c>
      <c r="D28" s="50">
        <f t="shared" ref="D28:M28" si="5">+D26+D24</f>
        <v>7620</v>
      </c>
      <c r="E28" s="50">
        <f t="shared" si="5"/>
        <v>7700</v>
      </c>
      <c r="F28" s="50">
        <f t="shared" si="5"/>
        <v>7779</v>
      </c>
      <c r="G28" s="50">
        <f t="shared" si="5"/>
        <v>7835</v>
      </c>
      <c r="H28" s="50">
        <f t="shared" si="5"/>
        <v>7943</v>
      </c>
      <c r="I28" s="50">
        <f t="shared" si="5"/>
        <v>8038</v>
      </c>
      <c r="J28" s="50">
        <f t="shared" si="5"/>
        <v>8109</v>
      </c>
      <c r="K28" s="50">
        <f t="shared" si="5"/>
        <v>8194</v>
      </c>
      <c r="L28" s="50">
        <f t="shared" si="5"/>
        <v>8300</v>
      </c>
      <c r="M28" s="50">
        <f t="shared" si="5"/>
        <v>8295</v>
      </c>
    </row>
    <row r="29" spans="1:13" x14ac:dyDescent="0.25">
      <c r="C29" s="1" t="s">
        <v>13</v>
      </c>
      <c r="D29" s="50">
        <f t="shared" ref="D29:M29" si="6">+D18-D28</f>
        <v>-299</v>
      </c>
      <c r="E29" s="50">
        <f t="shared" si="6"/>
        <v>-667</v>
      </c>
      <c r="F29" s="50">
        <f t="shared" si="6"/>
        <v>-689</v>
      </c>
      <c r="G29" s="50">
        <f t="shared" si="6"/>
        <v>-754</v>
      </c>
      <c r="H29" s="50">
        <f t="shared" si="6"/>
        <v>-422</v>
      </c>
      <c r="I29" s="50">
        <f t="shared" si="6"/>
        <v>-537</v>
      </c>
      <c r="J29" s="50">
        <f t="shared" si="6"/>
        <v>-613</v>
      </c>
      <c r="K29" s="50">
        <f t="shared" si="6"/>
        <v>-747</v>
      </c>
      <c r="L29" s="50">
        <f t="shared" si="6"/>
        <v>-1350</v>
      </c>
      <c r="M29" s="50">
        <f t="shared" si="6"/>
        <v>-1367</v>
      </c>
    </row>
    <row r="30" spans="1:13" x14ac:dyDescent="0.25">
      <c r="C30" s="1" t="s">
        <v>14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x14ac:dyDescent="0.25">
      <c r="A31" s="1" t="s">
        <v>126</v>
      </c>
      <c r="B31" s="1"/>
      <c r="C31" s="1"/>
      <c r="D31" s="68">
        <v>318</v>
      </c>
      <c r="E31" s="68">
        <v>318</v>
      </c>
      <c r="F31" s="68">
        <v>318</v>
      </c>
      <c r="G31" s="68">
        <v>318</v>
      </c>
      <c r="H31" s="68">
        <v>318</v>
      </c>
      <c r="I31" s="68">
        <v>318</v>
      </c>
      <c r="J31" s="68">
        <v>318</v>
      </c>
      <c r="K31" s="68">
        <v>318</v>
      </c>
      <c r="L31" s="68">
        <v>318</v>
      </c>
      <c r="M31" s="68">
        <v>318</v>
      </c>
    </row>
    <row r="33" spans="1:27" x14ac:dyDescent="0.25">
      <c r="A33" s="76" t="s">
        <v>32</v>
      </c>
      <c r="B33" s="76"/>
      <c r="C33" s="76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27" x14ac:dyDescent="0.25">
      <c r="A34" t="s">
        <v>1</v>
      </c>
      <c r="D34" s="38">
        <v>2247</v>
      </c>
      <c r="E34" s="38">
        <f>+D34</f>
        <v>2247</v>
      </c>
      <c r="F34" s="38">
        <f t="shared" ref="F34:M34" si="7">+E34</f>
        <v>2247</v>
      </c>
      <c r="G34" s="38">
        <f t="shared" si="7"/>
        <v>2247</v>
      </c>
      <c r="H34" s="38">
        <f t="shared" si="7"/>
        <v>2247</v>
      </c>
      <c r="I34" s="38">
        <f t="shared" si="7"/>
        <v>2247</v>
      </c>
      <c r="J34" s="38">
        <f t="shared" si="7"/>
        <v>2247</v>
      </c>
      <c r="K34" s="38">
        <f t="shared" si="7"/>
        <v>2247</v>
      </c>
      <c r="L34" s="38">
        <f t="shared" si="7"/>
        <v>2247</v>
      </c>
      <c r="M34" s="38">
        <f t="shared" si="7"/>
        <v>2247</v>
      </c>
    </row>
    <row r="35" spans="1:27" x14ac:dyDescent="0.25">
      <c r="A35" t="s">
        <v>98</v>
      </c>
      <c r="D35" s="38">
        <v>855</v>
      </c>
      <c r="E35" s="38">
        <v>859</v>
      </c>
      <c r="F35" s="38">
        <v>717</v>
      </c>
      <c r="G35" s="38">
        <v>806</v>
      </c>
      <c r="H35" s="38">
        <v>635</v>
      </c>
      <c r="I35" s="38">
        <v>549</v>
      </c>
      <c r="J35" s="38">
        <v>644</v>
      </c>
      <c r="K35" s="38">
        <v>648</v>
      </c>
      <c r="L35" s="38">
        <v>634</v>
      </c>
      <c r="M35" s="38">
        <v>651</v>
      </c>
    </row>
    <row r="36" spans="1:27" x14ac:dyDescent="0.25">
      <c r="A36" t="s">
        <v>4</v>
      </c>
      <c r="D36" s="38">
        <v>100</v>
      </c>
      <c r="E36" s="38">
        <v>100</v>
      </c>
      <c r="F36" s="38">
        <v>100</v>
      </c>
      <c r="G36" s="38">
        <v>100</v>
      </c>
      <c r="H36" s="38">
        <v>100</v>
      </c>
      <c r="I36" s="38">
        <v>67</v>
      </c>
      <c r="J36" s="38">
        <v>67</v>
      </c>
      <c r="K36" s="38">
        <v>62</v>
      </c>
      <c r="L36" s="38">
        <v>62</v>
      </c>
      <c r="M36" s="38">
        <v>61</v>
      </c>
    </row>
    <row r="37" spans="1:27" x14ac:dyDescent="0.25">
      <c r="A37" t="s">
        <v>5</v>
      </c>
      <c r="D37" s="38">
        <v>18</v>
      </c>
      <c r="E37" s="38">
        <v>18</v>
      </c>
      <c r="F37" s="38">
        <v>1</v>
      </c>
      <c r="G37" s="38">
        <v>1</v>
      </c>
      <c r="H37" s="38">
        <v>1</v>
      </c>
      <c r="I37" s="38">
        <v>1</v>
      </c>
      <c r="J37" s="38">
        <v>1</v>
      </c>
      <c r="K37" s="38">
        <v>1</v>
      </c>
      <c r="L37" s="38">
        <v>1</v>
      </c>
      <c r="M37" s="38">
        <v>1</v>
      </c>
    </row>
    <row r="38" spans="1:27" x14ac:dyDescent="0.25">
      <c r="A38" t="s">
        <v>97</v>
      </c>
      <c r="D38" s="38">
        <v>205</v>
      </c>
      <c r="E38" s="38">
        <v>211</v>
      </c>
      <c r="F38" s="38">
        <v>214</v>
      </c>
      <c r="G38" s="38">
        <v>219</v>
      </c>
      <c r="H38" s="38">
        <v>210</v>
      </c>
      <c r="I38" s="38">
        <v>207</v>
      </c>
      <c r="J38" s="38">
        <v>198</v>
      </c>
      <c r="K38" s="38">
        <v>197</v>
      </c>
      <c r="L38" s="38">
        <v>196</v>
      </c>
      <c r="M38" s="38">
        <v>194</v>
      </c>
    </row>
    <row r="39" spans="1:27" x14ac:dyDescent="0.25">
      <c r="A39" t="s">
        <v>114</v>
      </c>
      <c r="D39" s="38">
        <v>3</v>
      </c>
      <c r="E39" s="38">
        <v>3</v>
      </c>
      <c r="F39" s="38">
        <v>3</v>
      </c>
      <c r="G39" s="38">
        <v>3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27" x14ac:dyDescent="0.25">
      <c r="A40" t="s">
        <v>9</v>
      </c>
      <c r="D40" s="38">
        <v>-165</v>
      </c>
      <c r="E40" s="38">
        <v>-165</v>
      </c>
      <c r="F40" s="38">
        <v>-165</v>
      </c>
      <c r="G40" s="38">
        <v>-165</v>
      </c>
      <c r="H40" s="38">
        <v>-161</v>
      </c>
      <c r="I40" s="38">
        <v>-110</v>
      </c>
      <c r="J40" s="38">
        <v>-110</v>
      </c>
      <c r="K40" s="38">
        <v>-80</v>
      </c>
      <c r="L40" s="38">
        <v>-80</v>
      </c>
      <c r="M40" s="38">
        <v>-80</v>
      </c>
      <c r="R40">
        <f t="shared" ref="R40:AA40" si="8">+D7</f>
        <v>2017</v>
      </c>
      <c r="S40">
        <f t="shared" si="8"/>
        <v>2018</v>
      </c>
      <c r="T40">
        <f t="shared" si="8"/>
        <v>2019</v>
      </c>
      <c r="U40">
        <f t="shared" si="8"/>
        <v>2020</v>
      </c>
      <c r="V40">
        <f t="shared" si="8"/>
        <v>2021</v>
      </c>
      <c r="W40">
        <f t="shared" si="8"/>
        <v>2022</v>
      </c>
      <c r="X40">
        <f t="shared" si="8"/>
        <v>2023</v>
      </c>
      <c r="Y40">
        <f t="shared" si="8"/>
        <v>2024</v>
      </c>
      <c r="Z40">
        <f t="shared" si="8"/>
        <v>2025</v>
      </c>
      <c r="AA40">
        <f t="shared" si="8"/>
        <v>2026</v>
      </c>
    </row>
    <row r="41" spans="1:27" x14ac:dyDescent="0.25">
      <c r="A41" t="s">
        <v>99</v>
      </c>
      <c r="D41" s="38">
        <v>-2</v>
      </c>
      <c r="E41" s="38">
        <f>+D41</f>
        <v>-2</v>
      </c>
      <c r="F41" s="38">
        <f t="shared" ref="F41:M41" si="9">+E41</f>
        <v>-2</v>
      </c>
      <c r="G41" s="38">
        <f t="shared" si="9"/>
        <v>-2</v>
      </c>
      <c r="H41" s="38">
        <f t="shared" si="9"/>
        <v>-2</v>
      </c>
      <c r="I41" s="38">
        <f t="shared" si="9"/>
        <v>-2</v>
      </c>
      <c r="J41" s="38">
        <f t="shared" si="9"/>
        <v>-2</v>
      </c>
      <c r="K41" s="38">
        <f t="shared" si="9"/>
        <v>-2</v>
      </c>
      <c r="L41" s="38">
        <f t="shared" si="9"/>
        <v>-2</v>
      </c>
      <c r="M41" s="38">
        <f t="shared" si="9"/>
        <v>-2</v>
      </c>
    </row>
    <row r="42" spans="1:27" x14ac:dyDescent="0.25">
      <c r="A42" t="s">
        <v>40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O42" t="str">
        <f>+C28</f>
        <v>East Obligation + Reserves</v>
      </c>
      <c r="R42" s="6">
        <f>+D28</f>
        <v>7620</v>
      </c>
      <c r="S42" s="6">
        <f t="shared" ref="S42:AA42" si="10">+E28</f>
        <v>7700</v>
      </c>
      <c r="T42" s="6">
        <f t="shared" si="10"/>
        <v>7779</v>
      </c>
      <c r="U42" s="6">
        <f t="shared" si="10"/>
        <v>7835</v>
      </c>
      <c r="V42" s="6">
        <f t="shared" si="10"/>
        <v>7943</v>
      </c>
      <c r="W42" s="6">
        <f t="shared" si="10"/>
        <v>8038</v>
      </c>
      <c r="X42" s="6">
        <f t="shared" si="10"/>
        <v>8109</v>
      </c>
      <c r="Y42" s="6">
        <f t="shared" si="10"/>
        <v>8194</v>
      </c>
      <c r="Z42" s="6">
        <f t="shared" si="10"/>
        <v>8300</v>
      </c>
      <c r="AA42" s="6">
        <f t="shared" si="10"/>
        <v>8295</v>
      </c>
    </row>
    <row r="43" spans="1:27" x14ac:dyDescent="0.25">
      <c r="C43" s="1" t="s">
        <v>15</v>
      </c>
      <c r="D43" s="50">
        <f t="shared" ref="D43:M43" si="11">SUM(D34:D42)</f>
        <v>3261</v>
      </c>
      <c r="E43" s="50">
        <f t="shared" si="11"/>
        <v>3271</v>
      </c>
      <c r="F43" s="50">
        <f t="shared" si="11"/>
        <v>3115</v>
      </c>
      <c r="G43" s="50">
        <f t="shared" si="11"/>
        <v>3209</v>
      </c>
      <c r="H43" s="50">
        <f t="shared" si="11"/>
        <v>3030</v>
      </c>
      <c r="I43" s="50">
        <f t="shared" si="11"/>
        <v>2959</v>
      </c>
      <c r="J43" s="50">
        <f t="shared" si="11"/>
        <v>3045</v>
      </c>
      <c r="K43" s="50">
        <f t="shared" si="11"/>
        <v>3073</v>
      </c>
      <c r="L43" s="50">
        <f t="shared" si="11"/>
        <v>3058</v>
      </c>
      <c r="M43" s="50">
        <f t="shared" si="11"/>
        <v>3072</v>
      </c>
      <c r="S43" s="43">
        <f>(S42-R42)/R42</f>
        <v>1.0498687664041995E-2</v>
      </c>
      <c r="T43" s="43">
        <f t="shared" ref="T43:AA43" si="12">(T42-S42)/S42</f>
        <v>1.025974025974026E-2</v>
      </c>
      <c r="U43" s="43">
        <f t="shared" si="12"/>
        <v>7.1988687491965552E-3</v>
      </c>
      <c r="V43" s="43">
        <f t="shared" si="12"/>
        <v>1.3784301212507977E-2</v>
      </c>
      <c r="W43" s="29">
        <f t="shared" si="12"/>
        <v>1.1960216542867934E-2</v>
      </c>
      <c r="X43" s="29">
        <f t="shared" si="12"/>
        <v>8.8330430455337144E-3</v>
      </c>
      <c r="Y43" s="29">
        <f t="shared" si="12"/>
        <v>1.0482180293501049E-2</v>
      </c>
      <c r="Z43" s="29">
        <f t="shared" si="12"/>
        <v>1.2936294849890163E-2</v>
      </c>
      <c r="AA43" s="29">
        <f t="shared" si="12"/>
        <v>-6.0240963855421692E-4</v>
      </c>
    </row>
    <row r="44" spans="1:27" x14ac:dyDescent="0.25">
      <c r="D44" s="38"/>
      <c r="E44" s="38"/>
      <c r="F44" s="38"/>
      <c r="G44" s="38"/>
      <c r="H44" s="38"/>
      <c r="I44" s="38"/>
      <c r="J44" s="38"/>
      <c r="K44" s="38"/>
      <c r="L44" s="38"/>
      <c r="M44" s="38"/>
      <c r="S44" s="42"/>
      <c r="T44" s="42"/>
      <c r="U44" s="42"/>
      <c r="V44" s="42"/>
    </row>
    <row r="45" spans="1:27" x14ac:dyDescent="0.25">
      <c r="A45" t="s">
        <v>8</v>
      </c>
      <c r="D45" s="38">
        <v>3156</v>
      </c>
      <c r="E45" s="38">
        <v>3186</v>
      </c>
      <c r="F45" s="38">
        <v>3210</v>
      </c>
      <c r="G45" s="38">
        <v>3259</v>
      </c>
      <c r="H45" s="38">
        <v>3280</v>
      </c>
      <c r="I45" s="38">
        <v>3303</v>
      </c>
      <c r="J45" s="38">
        <v>3325</v>
      </c>
      <c r="K45" s="38">
        <v>3350</v>
      </c>
      <c r="L45" s="38">
        <v>3374</v>
      </c>
      <c r="M45" s="38">
        <v>3395</v>
      </c>
      <c r="O45" t="str">
        <f>+C53</f>
        <v>West Obligation + Reserves</v>
      </c>
      <c r="R45" s="6">
        <f t="shared" ref="R45:AA45" si="13">+D53</f>
        <v>3536</v>
      </c>
      <c r="S45" s="24">
        <f t="shared" si="13"/>
        <v>3569</v>
      </c>
      <c r="T45" s="24">
        <f t="shared" si="13"/>
        <v>3596</v>
      </c>
      <c r="U45" s="24">
        <f t="shared" si="13"/>
        <v>3650</v>
      </c>
      <c r="V45" s="24">
        <f t="shared" si="13"/>
        <v>3674</v>
      </c>
      <c r="W45" s="6">
        <f t="shared" si="13"/>
        <v>3700</v>
      </c>
      <c r="X45" s="6">
        <f t="shared" si="13"/>
        <v>3723</v>
      </c>
      <c r="Y45" s="6">
        <f t="shared" si="13"/>
        <v>3752</v>
      </c>
      <c r="Z45" s="6">
        <f t="shared" si="13"/>
        <v>3778</v>
      </c>
      <c r="AA45" s="6">
        <f t="shared" si="13"/>
        <v>3800</v>
      </c>
    </row>
    <row r="46" spans="1:27" x14ac:dyDescent="0.25">
      <c r="B46" t="s">
        <v>130</v>
      </c>
      <c r="D46" s="38">
        <v>-1</v>
      </c>
      <c r="E46" s="38">
        <v>-2</v>
      </c>
      <c r="F46" s="38">
        <v>-2</v>
      </c>
      <c r="G46" s="38">
        <v>-3</v>
      </c>
      <c r="H46" s="38">
        <v>-3</v>
      </c>
      <c r="I46" s="38">
        <v>-3</v>
      </c>
      <c r="J46" s="38">
        <v>-4</v>
      </c>
      <c r="K46" s="38">
        <v>-4</v>
      </c>
      <c r="L46" s="38">
        <v>-5</v>
      </c>
      <c r="M46" s="38">
        <v>-6</v>
      </c>
      <c r="R46" s="6"/>
      <c r="S46" s="24"/>
      <c r="T46" s="24"/>
      <c r="U46" s="24"/>
      <c r="V46" s="24"/>
      <c r="W46" s="6"/>
      <c r="X46" s="6"/>
      <c r="Y46" s="6"/>
      <c r="Z46" s="6"/>
      <c r="AA46" s="6"/>
    </row>
    <row r="47" spans="1:27" x14ac:dyDescent="0.25">
      <c r="B47" t="s">
        <v>100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S47" s="43">
        <f>(S45-R45)/R45</f>
        <v>9.3325791855203618E-3</v>
      </c>
      <c r="T47" s="43">
        <f t="shared" ref="T47:AA47" si="14">(T45-S45)/S45</f>
        <v>7.5651442981227238E-3</v>
      </c>
      <c r="U47" s="43">
        <f t="shared" si="14"/>
        <v>1.5016685205784204E-2</v>
      </c>
      <c r="V47" s="43">
        <f t="shared" si="14"/>
        <v>6.5753424657534251E-3</v>
      </c>
      <c r="W47" s="29">
        <f t="shared" si="14"/>
        <v>7.0767555797495918E-3</v>
      </c>
      <c r="X47" s="29">
        <f t="shared" si="14"/>
        <v>6.216216216216216E-3</v>
      </c>
      <c r="Y47" s="29">
        <f t="shared" si="14"/>
        <v>7.7894171367177004E-3</v>
      </c>
      <c r="Z47" s="29">
        <f t="shared" si="14"/>
        <v>6.9296375266524523E-3</v>
      </c>
      <c r="AA47" s="29">
        <f t="shared" si="14"/>
        <v>5.8231868713605082E-3</v>
      </c>
    </row>
    <row r="48" spans="1:27" x14ac:dyDescent="0.25">
      <c r="B48" t="s">
        <v>113</v>
      </c>
      <c r="D48" s="38">
        <v>-26</v>
      </c>
      <c r="E48" s="38">
        <f>+D48</f>
        <v>-26</v>
      </c>
      <c r="F48" s="38">
        <f t="shared" ref="F48:M48" si="15">+E48</f>
        <v>-26</v>
      </c>
      <c r="G48" s="38">
        <f t="shared" si="15"/>
        <v>-26</v>
      </c>
      <c r="H48" s="38">
        <f t="shared" si="15"/>
        <v>-26</v>
      </c>
      <c r="I48" s="38">
        <f t="shared" si="15"/>
        <v>-26</v>
      </c>
      <c r="J48" s="38">
        <f t="shared" si="15"/>
        <v>-26</v>
      </c>
      <c r="K48" s="38">
        <f t="shared" si="15"/>
        <v>-26</v>
      </c>
      <c r="L48" s="38">
        <f t="shared" si="15"/>
        <v>-26</v>
      </c>
      <c r="M48" s="38">
        <f t="shared" si="15"/>
        <v>-26</v>
      </c>
      <c r="S48" s="42"/>
      <c r="T48" s="42"/>
      <c r="U48" s="42"/>
      <c r="V48" s="42"/>
    </row>
    <row r="49" spans="1:27" x14ac:dyDescent="0.25">
      <c r="C49" s="1" t="s">
        <v>16</v>
      </c>
      <c r="D49" s="50">
        <f>+D48+D47+D45+D46</f>
        <v>3129</v>
      </c>
      <c r="E49" s="50">
        <f t="shared" ref="E49:M49" si="16">+E48+E47+E45+E46</f>
        <v>3158</v>
      </c>
      <c r="F49" s="50">
        <f t="shared" si="16"/>
        <v>3182</v>
      </c>
      <c r="G49" s="50">
        <f t="shared" si="16"/>
        <v>3230</v>
      </c>
      <c r="H49" s="50">
        <f t="shared" si="16"/>
        <v>3251</v>
      </c>
      <c r="I49" s="50">
        <f t="shared" si="16"/>
        <v>3274</v>
      </c>
      <c r="J49" s="50">
        <f t="shared" si="16"/>
        <v>3295</v>
      </c>
      <c r="K49" s="50">
        <f t="shared" si="16"/>
        <v>3320</v>
      </c>
      <c r="L49" s="50">
        <f t="shared" si="16"/>
        <v>3343</v>
      </c>
      <c r="M49" s="50">
        <f t="shared" si="16"/>
        <v>3363</v>
      </c>
      <c r="O49" t="str">
        <f>+C63</f>
        <v>Obligation + Reserves</v>
      </c>
      <c r="R49" s="6">
        <f>+D63</f>
        <v>11156</v>
      </c>
      <c r="S49" s="24">
        <f t="shared" ref="S49:AA49" si="17">+E63</f>
        <v>11269</v>
      </c>
      <c r="T49" s="24">
        <f t="shared" si="17"/>
        <v>11375</v>
      </c>
      <c r="U49" s="24">
        <f t="shared" si="17"/>
        <v>11485</v>
      </c>
      <c r="V49" s="24">
        <f t="shared" si="17"/>
        <v>11617</v>
      </c>
      <c r="W49" s="6">
        <f t="shared" si="17"/>
        <v>11738</v>
      </c>
      <c r="X49" s="6">
        <f t="shared" si="17"/>
        <v>11832</v>
      </c>
      <c r="Y49" s="6">
        <f t="shared" si="17"/>
        <v>11946</v>
      </c>
      <c r="Z49" s="6">
        <f t="shared" si="17"/>
        <v>12078</v>
      </c>
      <c r="AA49" s="6">
        <f t="shared" si="17"/>
        <v>12095</v>
      </c>
    </row>
    <row r="50" spans="1:27" x14ac:dyDescent="0.25">
      <c r="D50" s="38"/>
      <c r="E50" s="38"/>
      <c r="F50" s="38"/>
      <c r="G50" s="38"/>
      <c r="H50" s="38"/>
      <c r="I50" s="38"/>
      <c r="J50" s="38"/>
      <c r="K50" s="38"/>
      <c r="L50" s="38"/>
      <c r="M50" s="38"/>
      <c r="S50" s="43">
        <f>(S49-R49)/R49</f>
        <v>1.0129078522768018E-2</v>
      </c>
      <c r="T50" s="43">
        <f t="shared" ref="T50:AA50" si="18">(T49-S49)/S49</f>
        <v>9.4063359659242174E-3</v>
      </c>
      <c r="U50" s="43">
        <f t="shared" si="18"/>
        <v>9.6703296703296703E-3</v>
      </c>
      <c r="V50" s="43">
        <f t="shared" si="18"/>
        <v>1.1493252067914671E-2</v>
      </c>
      <c r="W50" s="29">
        <f t="shared" si="18"/>
        <v>1.0415769992252733E-2</v>
      </c>
      <c r="X50" s="29">
        <f t="shared" si="18"/>
        <v>8.0081785653433289E-3</v>
      </c>
      <c r="Y50" s="29">
        <f t="shared" si="18"/>
        <v>9.6348884381338741E-3</v>
      </c>
      <c r="Z50" s="29">
        <f t="shared" si="18"/>
        <v>1.1049723756906077E-2</v>
      </c>
      <c r="AA50" s="29">
        <f t="shared" si="18"/>
        <v>1.4075178009604239E-3</v>
      </c>
    </row>
    <row r="51" spans="1:27" x14ac:dyDescent="0.25">
      <c r="A51" t="s">
        <v>101</v>
      </c>
      <c r="D51" s="38">
        <v>407</v>
      </c>
      <c r="E51" s="38">
        <v>411</v>
      </c>
      <c r="F51" s="38">
        <v>414</v>
      </c>
      <c r="G51" s="38">
        <v>420</v>
      </c>
      <c r="H51" s="38">
        <v>423</v>
      </c>
      <c r="I51" s="38">
        <v>426</v>
      </c>
      <c r="J51" s="38">
        <v>428</v>
      </c>
      <c r="K51" s="38">
        <v>432</v>
      </c>
      <c r="L51" s="38">
        <v>435</v>
      </c>
      <c r="M51" s="38">
        <v>437</v>
      </c>
    </row>
    <row r="52" spans="1:27" x14ac:dyDescent="0.25"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27" x14ac:dyDescent="0.25">
      <c r="C53" s="1" t="s">
        <v>18</v>
      </c>
      <c r="D53" s="50">
        <f>+D51+D49</f>
        <v>3536</v>
      </c>
      <c r="E53" s="50">
        <f t="shared" ref="E53:M53" si="19">+E51+E49</f>
        <v>3569</v>
      </c>
      <c r="F53" s="50">
        <f t="shared" si="19"/>
        <v>3596</v>
      </c>
      <c r="G53" s="50">
        <f t="shared" si="19"/>
        <v>3650</v>
      </c>
      <c r="H53" s="50">
        <f t="shared" si="19"/>
        <v>3674</v>
      </c>
      <c r="I53" s="50">
        <f t="shared" si="19"/>
        <v>3700</v>
      </c>
      <c r="J53" s="50">
        <f t="shared" si="19"/>
        <v>3723</v>
      </c>
      <c r="K53" s="50">
        <f t="shared" si="19"/>
        <v>3752</v>
      </c>
      <c r="L53" s="50">
        <f t="shared" si="19"/>
        <v>3778</v>
      </c>
      <c r="M53" s="50">
        <f t="shared" si="19"/>
        <v>3800</v>
      </c>
    </row>
    <row r="54" spans="1:27" x14ac:dyDescent="0.25">
      <c r="C54" s="1" t="s">
        <v>19</v>
      </c>
      <c r="D54" s="50">
        <f>+D43-D53</f>
        <v>-275</v>
      </c>
      <c r="E54" s="50">
        <f t="shared" ref="E54:M54" si="20">+E43-E53</f>
        <v>-298</v>
      </c>
      <c r="F54" s="50">
        <f t="shared" si="20"/>
        <v>-481</v>
      </c>
      <c r="G54" s="50">
        <f t="shared" si="20"/>
        <v>-441</v>
      </c>
      <c r="H54" s="50">
        <f t="shared" si="20"/>
        <v>-644</v>
      </c>
      <c r="I54" s="50">
        <f t="shared" si="20"/>
        <v>-741</v>
      </c>
      <c r="J54" s="50">
        <f t="shared" si="20"/>
        <v>-678</v>
      </c>
      <c r="K54" s="50">
        <f t="shared" si="20"/>
        <v>-679</v>
      </c>
      <c r="L54" s="50">
        <f t="shared" si="20"/>
        <v>-720</v>
      </c>
      <c r="M54" s="50">
        <f t="shared" si="20"/>
        <v>-728</v>
      </c>
    </row>
    <row r="55" spans="1:27" x14ac:dyDescent="0.25">
      <c r="C55" s="1" t="s">
        <v>20</v>
      </c>
      <c r="D55" s="53">
        <f>(D54+D51)/D49</f>
        <v>4.218600191754554E-2</v>
      </c>
      <c r="E55" s="53">
        <f t="shared" ref="E55:M55" si="21">(E54+E51)/E49</f>
        <v>3.578214059531349E-2</v>
      </c>
      <c r="F55" s="53">
        <f t="shared" si="21"/>
        <v>-2.1055939660590824E-2</v>
      </c>
      <c r="G55" s="53">
        <f t="shared" si="21"/>
        <v>-6.501547987616099E-3</v>
      </c>
      <c r="H55" s="53">
        <f t="shared" si="21"/>
        <v>-6.7979083358966477E-2</v>
      </c>
      <c r="I55" s="53">
        <f t="shared" si="21"/>
        <v>-9.621258399511301E-2</v>
      </c>
      <c r="J55" s="53">
        <f t="shared" si="21"/>
        <v>-7.5872534142640363E-2</v>
      </c>
      <c r="K55" s="53">
        <f t="shared" si="21"/>
        <v>-7.439759036144579E-2</v>
      </c>
      <c r="L55" s="53">
        <f t="shared" si="21"/>
        <v>-8.5252766975770264E-2</v>
      </c>
      <c r="M55" s="53">
        <f t="shared" si="21"/>
        <v>-8.6529884032114188E-2</v>
      </c>
    </row>
    <row r="56" spans="1:27" x14ac:dyDescent="0.25">
      <c r="A56" s="1" t="s">
        <v>126</v>
      </c>
      <c r="C56" s="1"/>
      <c r="D56" s="68">
        <v>1352</v>
      </c>
      <c r="E56" s="68">
        <v>1352</v>
      </c>
      <c r="F56" s="68">
        <v>1352</v>
      </c>
      <c r="G56" s="68">
        <v>1352</v>
      </c>
      <c r="H56" s="68">
        <v>1352</v>
      </c>
      <c r="I56" s="68">
        <v>1352</v>
      </c>
      <c r="J56" s="68">
        <v>1352</v>
      </c>
      <c r="K56" s="68">
        <v>1352</v>
      </c>
      <c r="L56" s="68">
        <v>1352</v>
      </c>
      <c r="M56" s="68">
        <v>1352</v>
      </c>
    </row>
    <row r="57" spans="1:27" x14ac:dyDescent="0.25">
      <c r="C57" s="1"/>
    </row>
    <row r="58" spans="1:27" x14ac:dyDescent="0.25">
      <c r="A58" s="76" t="s">
        <v>34</v>
      </c>
      <c r="B58" s="76"/>
      <c r="C58" s="76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27" x14ac:dyDescent="0.25">
      <c r="C59" s="1" t="s">
        <v>21</v>
      </c>
      <c r="D59" s="51">
        <f>+D18+D43</f>
        <v>10582</v>
      </c>
      <c r="E59" s="51">
        <f t="shared" ref="E59:M59" si="22">+E18+E43</f>
        <v>10304</v>
      </c>
      <c r="F59" s="51">
        <f t="shared" si="22"/>
        <v>10205</v>
      </c>
      <c r="G59" s="51">
        <f t="shared" si="22"/>
        <v>10290</v>
      </c>
      <c r="H59" s="51">
        <f t="shared" si="22"/>
        <v>10551</v>
      </c>
      <c r="I59" s="51">
        <f t="shared" si="22"/>
        <v>10460</v>
      </c>
      <c r="J59" s="51">
        <f t="shared" si="22"/>
        <v>10541</v>
      </c>
      <c r="K59" s="51">
        <f t="shared" si="22"/>
        <v>10520</v>
      </c>
      <c r="L59" s="51">
        <f t="shared" si="22"/>
        <v>10008</v>
      </c>
      <c r="M59" s="51">
        <f t="shared" si="22"/>
        <v>10000</v>
      </c>
      <c r="N59" s="18">
        <f>RATE(9,,-D59,M59)</f>
        <v>-6.2657711693793541E-3</v>
      </c>
    </row>
    <row r="60" spans="1:27" x14ac:dyDescent="0.25">
      <c r="C60" s="1" t="s">
        <v>35</v>
      </c>
      <c r="D60" s="51">
        <f>+D42+D17</f>
        <v>0</v>
      </c>
      <c r="E60" s="51">
        <f t="shared" ref="E60:M60" si="23">+E42+E17</f>
        <v>0</v>
      </c>
      <c r="F60" s="51">
        <f t="shared" si="23"/>
        <v>0</v>
      </c>
      <c r="G60" s="51">
        <f t="shared" si="23"/>
        <v>0</v>
      </c>
      <c r="H60" s="51">
        <f t="shared" si="23"/>
        <v>0</v>
      </c>
      <c r="I60" s="51">
        <f t="shared" si="23"/>
        <v>0</v>
      </c>
      <c r="J60" s="51">
        <f t="shared" si="23"/>
        <v>0</v>
      </c>
      <c r="K60" s="51">
        <f t="shared" si="23"/>
        <v>0</v>
      </c>
      <c r="L60" s="51">
        <f t="shared" si="23"/>
        <v>0</v>
      </c>
      <c r="M60" s="51">
        <f t="shared" si="23"/>
        <v>0</v>
      </c>
    </row>
    <row r="61" spans="1:27" x14ac:dyDescent="0.25">
      <c r="C61" s="1" t="s">
        <v>36</v>
      </c>
      <c r="D61" s="51">
        <f>+D49+D24</f>
        <v>9850</v>
      </c>
      <c r="E61" s="51">
        <f t="shared" ref="E61:M61" si="24">+E49+E24</f>
        <v>9950</v>
      </c>
      <c r="F61" s="51">
        <f t="shared" si="24"/>
        <v>10044</v>
      </c>
      <c r="G61" s="51">
        <f t="shared" si="24"/>
        <v>10141</v>
      </c>
      <c r="H61" s="51">
        <f t="shared" si="24"/>
        <v>10258</v>
      </c>
      <c r="I61" s="51">
        <f t="shared" si="24"/>
        <v>10365</v>
      </c>
      <c r="J61" s="51">
        <f t="shared" si="24"/>
        <v>10449</v>
      </c>
      <c r="K61" s="51">
        <f t="shared" si="24"/>
        <v>10549</v>
      </c>
      <c r="L61" s="51">
        <f t="shared" si="24"/>
        <v>10666</v>
      </c>
      <c r="M61" s="51">
        <f t="shared" si="24"/>
        <v>10681</v>
      </c>
      <c r="N61" s="18">
        <f>RATE(9,,-D61,M61)</f>
        <v>9.0400619721391386E-3</v>
      </c>
    </row>
    <row r="62" spans="1:27" x14ac:dyDescent="0.25">
      <c r="C62" s="1" t="s">
        <v>22</v>
      </c>
      <c r="D62" s="51">
        <f>+D26+D51</f>
        <v>1306</v>
      </c>
      <c r="E62" s="51">
        <f t="shared" ref="E62:M62" si="25">+E26+E51</f>
        <v>1319</v>
      </c>
      <c r="F62" s="51">
        <f t="shared" si="25"/>
        <v>1331</v>
      </c>
      <c r="G62" s="51">
        <f t="shared" si="25"/>
        <v>1344</v>
      </c>
      <c r="H62" s="51">
        <f t="shared" si="25"/>
        <v>1359</v>
      </c>
      <c r="I62" s="51">
        <f t="shared" si="25"/>
        <v>1373</v>
      </c>
      <c r="J62" s="51">
        <f t="shared" si="25"/>
        <v>1383</v>
      </c>
      <c r="K62" s="51">
        <f t="shared" si="25"/>
        <v>1397</v>
      </c>
      <c r="L62" s="51">
        <f t="shared" si="25"/>
        <v>1412</v>
      </c>
      <c r="M62" s="51">
        <f t="shared" si="25"/>
        <v>1414</v>
      </c>
    </row>
    <row r="63" spans="1:27" x14ac:dyDescent="0.25">
      <c r="C63" s="1" t="s">
        <v>37</v>
      </c>
      <c r="D63" s="51">
        <f>+D62+D61</f>
        <v>11156</v>
      </c>
      <c r="E63" s="51">
        <f t="shared" ref="E63:M63" si="26">+E62+E61</f>
        <v>11269</v>
      </c>
      <c r="F63" s="51">
        <f t="shared" si="26"/>
        <v>11375</v>
      </c>
      <c r="G63" s="51">
        <f t="shared" si="26"/>
        <v>11485</v>
      </c>
      <c r="H63" s="51">
        <f t="shared" si="26"/>
        <v>11617</v>
      </c>
      <c r="I63" s="51">
        <f t="shared" si="26"/>
        <v>11738</v>
      </c>
      <c r="J63" s="51">
        <f t="shared" si="26"/>
        <v>11832</v>
      </c>
      <c r="K63" s="51">
        <f t="shared" si="26"/>
        <v>11946</v>
      </c>
      <c r="L63" s="51">
        <f t="shared" si="26"/>
        <v>12078</v>
      </c>
      <c r="M63" s="51">
        <f t="shared" si="26"/>
        <v>12095</v>
      </c>
    </row>
    <row r="64" spans="1:27" x14ac:dyDescent="0.25">
      <c r="C64" s="1" t="s">
        <v>38</v>
      </c>
      <c r="D64" s="51">
        <f>+D59+D60-D63</f>
        <v>-574</v>
      </c>
      <c r="E64" s="51">
        <f t="shared" ref="E64:M64" si="27">+E59+E60-E63</f>
        <v>-965</v>
      </c>
      <c r="F64" s="51">
        <f t="shared" si="27"/>
        <v>-1170</v>
      </c>
      <c r="G64" s="51">
        <f t="shared" si="27"/>
        <v>-1195</v>
      </c>
      <c r="H64" s="51">
        <f t="shared" si="27"/>
        <v>-1066</v>
      </c>
      <c r="I64" s="51">
        <f t="shared" si="27"/>
        <v>-1278</v>
      </c>
      <c r="J64" s="51">
        <f t="shared" si="27"/>
        <v>-1291</v>
      </c>
      <c r="K64" s="51">
        <f t="shared" si="27"/>
        <v>-1426</v>
      </c>
      <c r="L64" s="51">
        <f t="shared" si="27"/>
        <v>-2070</v>
      </c>
      <c r="M64" s="51">
        <f t="shared" si="27"/>
        <v>-2095</v>
      </c>
    </row>
    <row r="65" spans="1:26" x14ac:dyDescent="0.25">
      <c r="C65" s="1" t="s">
        <v>23</v>
      </c>
      <c r="D65" s="53">
        <f>(D64+D62)/D61</f>
        <v>7.4314720812182739E-2</v>
      </c>
      <c r="E65" s="53">
        <f t="shared" ref="E65:M65" si="28">(E64+E62)/E61</f>
        <v>3.557788944723618E-2</v>
      </c>
      <c r="F65" s="53">
        <f t="shared" si="28"/>
        <v>1.6029470330545598E-2</v>
      </c>
      <c r="G65" s="53">
        <f t="shared" si="28"/>
        <v>1.4692831081747362E-2</v>
      </c>
      <c r="H65" s="53">
        <f t="shared" si="28"/>
        <v>2.8563072723727823E-2</v>
      </c>
      <c r="I65" s="53">
        <f t="shared" si="28"/>
        <v>9.1654606849975884E-3</v>
      </c>
      <c r="J65" s="53">
        <f t="shared" si="28"/>
        <v>8.8046703033783143E-3</v>
      </c>
      <c r="K65" s="53">
        <f t="shared" si="28"/>
        <v>-2.7490757417764715E-3</v>
      </c>
      <c r="L65" s="53">
        <f t="shared" si="28"/>
        <v>-6.169135570973186E-2</v>
      </c>
      <c r="M65" s="53">
        <f t="shared" si="28"/>
        <v>-6.3758075086602375E-2</v>
      </c>
      <c r="N65" s="42"/>
      <c r="S65" s="31"/>
      <c r="T65" s="31"/>
      <c r="U65" s="31"/>
      <c r="V65" s="31"/>
    </row>
    <row r="66" spans="1:26" x14ac:dyDescent="0.25">
      <c r="A66" s="1" t="s">
        <v>126</v>
      </c>
      <c r="D66" s="69">
        <f>+D56+D31</f>
        <v>1670</v>
      </c>
      <c r="E66" s="69">
        <f t="shared" ref="E66:M66" si="29">+E56+E31</f>
        <v>1670</v>
      </c>
      <c r="F66" s="69">
        <f t="shared" si="29"/>
        <v>1670</v>
      </c>
      <c r="G66" s="69">
        <f t="shared" si="29"/>
        <v>1670</v>
      </c>
      <c r="H66" s="69">
        <f t="shared" si="29"/>
        <v>1670</v>
      </c>
      <c r="I66" s="69">
        <f t="shared" si="29"/>
        <v>1670</v>
      </c>
      <c r="J66" s="69">
        <f t="shared" si="29"/>
        <v>1670</v>
      </c>
      <c r="K66" s="69">
        <f t="shared" si="29"/>
        <v>1670</v>
      </c>
      <c r="L66" s="69">
        <f t="shared" si="29"/>
        <v>1670</v>
      </c>
      <c r="M66" s="69">
        <f t="shared" si="29"/>
        <v>1670</v>
      </c>
    </row>
    <row r="68" spans="1:26" x14ac:dyDescent="0.25">
      <c r="A68" t="s">
        <v>68</v>
      </c>
      <c r="E68" s="40">
        <f>+E88</f>
        <v>-2.627102627102627E-2</v>
      </c>
      <c r="F68" s="40">
        <f t="shared" ref="F68:M68" si="30">+F88</f>
        <v>-9.6079192546583859E-3</v>
      </c>
      <c r="G68" s="40">
        <f t="shared" si="30"/>
        <v>8.3292503674669283E-3</v>
      </c>
      <c r="H68" s="40">
        <f t="shared" si="30"/>
        <v>2.5364431486880466E-2</v>
      </c>
      <c r="I68" s="31">
        <f t="shared" si="30"/>
        <v>-8.6247749028528099E-3</v>
      </c>
      <c r="J68" s="31">
        <f t="shared" si="30"/>
        <v>7.7437858508604207E-3</v>
      </c>
      <c r="K68" s="31">
        <f t="shared" si="30"/>
        <v>-1.9922208519115832E-3</v>
      </c>
      <c r="L68" s="31">
        <f t="shared" si="30"/>
        <v>-4.8669201520912544E-2</v>
      </c>
      <c r="M68" s="31">
        <f t="shared" si="30"/>
        <v>-7.993605115907274E-4</v>
      </c>
    </row>
    <row r="69" spans="1:26" x14ac:dyDescent="0.25">
      <c r="D69" s="18"/>
      <c r="E69" s="41"/>
      <c r="F69" s="41"/>
      <c r="G69" s="41"/>
      <c r="H69" s="42"/>
    </row>
    <row r="70" spans="1:26" x14ac:dyDescent="0.25">
      <c r="A70" t="s">
        <v>69</v>
      </c>
      <c r="E70" s="40">
        <f>+E92</f>
        <v>1.0129078522768018E-2</v>
      </c>
      <c r="F70" s="40">
        <f t="shared" ref="F70:M70" si="31">+F92</f>
        <v>9.4063359659242174E-3</v>
      </c>
      <c r="G70" s="40">
        <f t="shared" si="31"/>
        <v>9.6703296703296703E-3</v>
      </c>
      <c r="H70" s="40">
        <f t="shared" si="31"/>
        <v>1.1493252067914671E-2</v>
      </c>
      <c r="I70" s="31">
        <f t="shared" si="31"/>
        <v>1.0415769992252733E-2</v>
      </c>
      <c r="J70" s="31">
        <f t="shared" si="31"/>
        <v>8.0081785653433289E-3</v>
      </c>
      <c r="K70" s="31">
        <f t="shared" si="31"/>
        <v>9.6348884381338741E-3</v>
      </c>
      <c r="L70" s="31">
        <f t="shared" si="31"/>
        <v>1.1049723756906077E-2</v>
      </c>
      <c r="M70" s="31">
        <f t="shared" si="31"/>
        <v>1.4075178009604239E-3</v>
      </c>
    </row>
    <row r="71" spans="1:26" x14ac:dyDescent="0.25">
      <c r="E71" s="42"/>
      <c r="F71" s="42"/>
      <c r="G71" s="42"/>
      <c r="H71" s="42"/>
    </row>
    <row r="72" spans="1:26" x14ac:dyDescent="0.25">
      <c r="O72" t="s">
        <v>73</v>
      </c>
      <c r="Q72" s="6">
        <f>+R49</f>
        <v>11156</v>
      </c>
      <c r="R72" s="17">
        <f>+Q72*(1+R73)</f>
        <v>11323.339999999998</v>
      </c>
      <c r="S72" s="17">
        <f>+R72*(1+S73)</f>
        <v>11493.190099999998</v>
      </c>
      <c r="T72" s="17">
        <f t="shared" ref="T72:Z72" si="32">+S72*(1+T73)</f>
        <v>11665.587951499996</v>
      </c>
      <c r="U72" s="17">
        <f t="shared" si="32"/>
        <v>11840.571770772494</v>
      </c>
      <c r="V72" s="17">
        <f t="shared" si="32"/>
        <v>12018.180347334081</v>
      </c>
      <c r="W72" s="17">
        <f t="shared" si="32"/>
        <v>12198.453052544091</v>
      </c>
      <c r="X72" s="17">
        <f t="shared" si="32"/>
        <v>12381.429848332251</v>
      </c>
      <c r="Y72" s="17">
        <f t="shared" si="32"/>
        <v>12567.151296057233</v>
      </c>
      <c r="Z72" s="17">
        <f t="shared" si="32"/>
        <v>12755.65856549809</v>
      </c>
    </row>
    <row r="73" spans="1:26" x14ac:dyDescent="0.25">
      <c r="R73" s="29">
        <v>1.4999999999999999E-2</v>
      </c>
      <c r="S73" s="29">
        <f>+R73</f>
        <v>1.4999999999999999E-2</v>
      </c>
      <c r="T73" s="29">
        <f t="shared" ref="T73:Z73" si="33">+S73</f>
        <v>1.4999999999999999E-2</v>
      </c>
      <c r="U73" s="29">
        <f t="shared" si="33"/>
        <v>1.4999999999999999E-2</v>
      </c>
      <c r="V73" s="29">
        <f t="shared" si="33"/>
        <v>1.4999999999999999E-2</v>
      </c>
      <c r="W73" s="29">
        <f t="shared" si="33"/>
        <v>1.4999999999999999E-2</v>
      </c>
      <c r="X73" s="29">
        <f t="shared" si="33"/>
        <v>1.4999999999999999E-2</v>
      </c>
      <c r="Y73" s="29">
        <f t="shared" si="33"/>
        <v>1.4999999999999999E-2</v>
      </c>
      <c r="Z73" s="29">
        <f t="shared" si="33"/>
        <v>1.4999999999999999E-2</v>
      </c>
    </row>
    <row r="74" spans="1:26" x14ac:dyDescent="0.25">
      <c r="D74" s="54">
        <f>+D7</f>
        <v>2017</v>
      </c>
      <c r="E74" s="54">
        <f t="shared" ref="E74:M74" si="34">+E7</f>
        <v>2018</v>
      </c>
      <c r="F74" s="54">
        <f t="shared" si="34"/>
        <v>2019</v>
      </c>
      <c r="G74" s="54">
        <f t="shared" si="34"/>
        <v>2020</v>
      </c>
      <c r="H74" s="54">
        <f t="shared" si="34"/>
        <v>2021</v>
      </c>
      <c r="I74" s="54">
        <f t="shared" si="34"/>
        <v>2022</v>
      </c>
      <c r="J74" s="54">
        <f t="shared" si="34"/>
        <v>2023</v>
      </c>
      <c r="K74" s="54">
        <f t="shared" si="34"/>
        <v>2024</v>
      </c>
      <c r="L74" s="54">
        <f t="shared" si="34"/>
        <v>2025</v>
      </c>
      <c r="M74" s="54">
        <f t="shared" si="34"/>
        <v>2026</v>
      </c>
    </row>
    <row r="75" spans="1:26" x14ac:dyDescent="0.25">
      <c r="A75" t="str">
        <f>+C18</f>
        <v>East Existing Resources</v>
      </c>
      <c r="D75" s="17">
        <f>+D18</f>
        <v>7321</v>
      </c>
      <c r="E75" s="17">
        <f>+E18</f>
        <v>7033</v>
      </c>
      <c r="F75" s="17">
        <f t="shared" ref="F75:M75" si="35">+F18</f>
        <v>7090</v>
      </c>
      <c r="G75" s="17">
        <f t="shared" si="35"/>
        <v>7081</v>
      </c>
      <c r="H75" s="17">
        <f t="shared" si="35"/>
        <v>7521</v>
      </c>
      <c r="I75" s="17">
        <f t="shared" si="35"/>
        <v>7501</v>
      </c>
      <c r="J75" s="17">
        <f t="shared" si="35"/>
        <v>7496</v>
      </c>
      <c r="K75" s="17">
        <f t="shared" si="35"/>
        <v>7447</v>
      </c>
      <c r="L75" s="17">
        <f t="shared" si="35"/>
        <v>6950</v>
      </c>
      <c r="M75" s="17">
        <f t="shared" si="35"/>
        <v>6928</v>
      </c>
    </row>
    <row r="76" spans="1:26" x14ac:dyDescent="0.25">
      <c r="D76" s="17"/>
      <c r="E76" s="29">
        <f>(E75-D75)/D75</f>
        <v>-3.933888813003688E-2</v>
      </c>
      <c r="F76" s="29">
        <f t="shared" ref="F76:M76" si="36">(F75-E75)/E75</f>
        <v>8.1046495094554243E-3</v>
      </c>
      <c r="G76" s="29">
        <f t="shared" si="36"/>
        <v>-1.2693935119887166E-3</v>
      </c>
      <c r="H76" s="29">
        <f t="shared" si="36"/>
        <v>6.2138116085298685E-2</v>
      </c>
      <c r="I76" s="29">
        <f t="shared" si="36"/>
        <v>-2.6592208482914504E-3</v>
      </c>
      <c r="J76" s="29">
        <f t="shared" si="36"/>
        <v>-6.6657778962804959E-4</v>
      </c>
      <c r="K76" s="29">
        <f t="shared" si="36"/>
        <v>-6.5368196371398081E-3</v>
      </c>
      <c r="L76" s="29">
        <f t="shared" si="36"/>
        <v>-6.6738283872700421E-2</v>
      </c>
      <c r="M76" s="29">
        <f t="shared" si="36"/>
        <v>-3.1654676258992807E-3</v>
      </c>
    </row>
    <row r="77" spans="1:26" x14ac:dyDescent="0.25"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26" x14ac:dyDescent="0.25">
      <c r="A78" t="str">
        <f>+C28</f>
        <v>East Obligation + Reserves</v>
      </c>
      <c r="D78" s="17">
        <f>+D28</f>
        <v>7620</v>
      </c>
      <c r="E78" s="17">
        <f t="shared" ref="E78:M78" si="37">+E28</f>
        <v>7700</v>
      </c>
      <c r="F78" s="17">
        <f t="shared" si="37"/>
        <v>7779</v>
      </c>
      <c r="G78" s="17">
        <f t="shared" si="37"/>
        <v>7835</v>
      </c>
      <c r="H78" s="17">
        <f t="shared" si="37"/>
        <v>7943</v>
      </c>
      <c r="I78" s="17">
        <f t="shared" si="37"/>
        <v>8038</v>
      </c>
      <c r="J78" s="17">
        <f t="shared" si="37"/>
        <v>8109</v>
      </c>
      <c r="K78" s="17">
        <f t="shared" si="37"/>
        <v>8194</v>
      </c>
      <c r="L78" s="17">
        <f t="shared" si="37"/>
        <v>8300</v>
      </c>
      <c r="M78" s="17">
        <f t="shared" si="37"/>
        <v>8295</v>
      </c>
    </row>
    <row r="79" spans="1:26" x14ac:dyDescent="0.25">
      <c r="D79" s="17"/>
      <c r="E79" s="29">
        <f>(E78-D78)/D78</f>
        <v>1.0498687664041995E-2</v>
      </c>
      <c r="F79" s="29">
        <f t="shared" ref="F79:M79" si="38">(F78-E78)/E78</f>
        <v>1.025974025974026E-2</v>
      </c>
      <c r="G79" s="29">
        <f t="shared" si="38"/>
        <v>7.1988687491965552E-3</v>
      </c>
      <c r="H79" s="29">
        <f t="shared" si="38"/>
        <v>1.3784301212507977E-2</v>
      </c>
      <c r="I79" s="29">
        <f t="shared" si="38"/>
        <v>1.1960216542867934E-2</v>
      </c>
      <c r="J79" s="29">
        <f t="shared" si="38"/>
        <v>8.8330430455337144E-3</v>
      </c>
      <c r="K79" s="29">
        <f t="shared" si="38"/>
        <v>1.0482180293501049E-2</v>
      </c>
      <c r="L79" s="29">
        <f t="shared" si="38"/>
        <v>1.2936294849890163E-2</v>
      </c>
      <c r="M79" s="29">
        <f t="shared" si="38"/>
        <v>-6.0240963855421692E-4</v>
      </c>
    </row>
    <row r="80" spans="1:26" x14ac:dyDescent="0.25"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x14ac:dyDescent="0.25">
      <c r="A81" t="str">
        <f>+C43</f>
        <v>West Existing Resources</v>
      </c>
      <c r="D81" s="17">
        <f t="shared" ref="D81:M81" si="39">+D43</f>
        <v>3261</v>
      </c>
      <c r="E81" s="17">
        <f t="shared" si="39"/>
        <v>3271</v>
      </c>
      <c r="F81" s="17">
        <f t="shared" si="39"/>
        <v>3115</v>
      </c>
      <c r="G81" s="17">
        <f t="shared" si="39"/>
        <v>3209</v>
      </c>
      <c r="H81" s="17">
        <f t="shared" si="39"/>
        <v>3030</v>
      </c>
      <c r="I81" s="17">
        <f t="shared" si="39"/>
        <v>2959</v>
      </c>
      <c r="J81" s="17">
        <f t="shared" si="39"/>
        <v>3045</v>
      </c>
      <c r="K81" s="17">
        <f t="shared" si="39"/>
        <v>3073</v>
      </c>
      <c r="L81" s="17">
        <f t="shared" si="39"/>
        <v>3058</v>
      </c>
      <c r="M81" s="17">
        <f t="shared" si="39"/>
        <v>3072</v>
      </c>
    </row>
    <row r="82" spans="1:13" x14ac:dyDescent="0.25">
      <c r="D82" s="17"/>
      <c r="E82" s="29">
        <f>(E81-D81)/D81</f>
        <v>3.0665440049064702E-3</v>
      </c>
      <c r="F82" s="29">
        <f t="shared" ref="F82:M82" si="40">(F81-E81)/E81</f>
        <v>-4.769183735860593E-2</v>
      </c>
      <c r="G82" s="29">
        <f t="shared" si="40"/>
        <v>3.0176565008025683E-2</v>
      </c>
      <c r="H82" s="29">
        <f t="shared" si="40"/>
        <v>-5.578061701464631E-2</v>
      </c>
      <c r="I82" s="29">
        <f t="shared" si="40"/>
        <v>-2.3432343234323433E-2</v>
      </c>
      <c r="J82" s="29">
        <f t="shared" si="40"/>
        <v>2.9063872930043935E-2</v>
      </c>
      <c r="K82" s="29">
        <f t="shared" si="40"/>
        <v>9.1954022988505746E-3</v>
      </c>
      <c r="L82" s="29">
        <f t="shared" si="40"/>
        <v>-4.8812235600390495E-3</v>
      </c>
      <c r="M82" s="29">
        <f t="shared" si="40"/>
        <v>4.5781556572923477E-3</v>
      </c>
    </row>
    <row r="83" spans="1:13" x14ac:dyDescent="0.25"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x14ac:dyDescent="0.25">
      <c r="A84" t="str">
        <f>+C53</f>
        <v>West Obligation + Reserves</v>
      </c>
      <c r="D84" s="17">
        <f>+D53</f>
        <v>3536</v>
      </c>
      <c r="E84" s="17">
        <f t="shared" ref="E84:M84" si="41">+E53</f>
        <v>3569</v>
      </c>
      <c r="F84" s="17">
        <f t="shared" si="41"/>
        <v>3596</v>
      </c>
      <c r="G84" s="17">
        <f t="shared" si="41"/>
        <v>3650</v>
      </c>
      <c r="H84" s="17">
        <f t="shared" si="41"/>
        <v>3674</v>
      </c>
      <c r="I84" s="17">
        <f t="shared" si="41"/>
        <v>3700</v>
      </c>
      <c r="J84" s="17">
        <f t="shared" si="41"/>
        <v>3723</v>
      </c>
      <c r="K84" s="17">
        <f t="shared" si="41"/>
        <v>3752</v>
      </c>
      <c r="L84" s="17">
        <f t="shared" si="41"/>
        <v>3778</v>
      </c>
      <c r="M84" s="17">
        <f t="shared" si="41"/>
        <v>3800</v>
      </c>
    </row>
    <row r="85" spans="1:13" x14ac:dyDescent="0.25">
      <c r="D85" s="17"/>
      <c r="E85" s="29">
        <f>(E84-D84)/D84</f>
        <v>9.3325791855203618E-3</v>
      </c>
      <c r="F85" s="29">
        <f t="shared" ref="F85:M85" si="42">(F84-E84)/E84</f>
        <v>7.5651442981227238E-3</v>
      </c>
      <c r="G85" s="29">
        <f t="shared" si="42"/>
        <v>1.5016685205784204E-2</v>
      </c>
      <c r="H85" s="29">
        <f t="shared" si="42"/>
        <v>6.5753424657534251E-3</v>
      </c>
      <c r="I85" s="29">
        <f t="shared" si="42"/>
        <v>7.0767555797495918E-3</v>
      </c>
      <c r="J85" s="29">
        <f t="shared" si="42"/>
        <v>6.216216216216216E-3</v>
      </c>
      <c r="K85" s="29">
        <f t="shared" si="42"/>
        <v>7.7894171367177004E-3</v>
      </c>
      <c r="L85" s="29">
        <f t="shared" si="42"/>
        <v>6.9296375266524523E-3</v>
      </c>
      <c r="M85" s="29">
        <f t="shared" si="42"/>
        <v>5.8231868713605082E-3</v>
      </c>
    </row>
    <row r="86" spans="1:13" x14ac:dyDescent="0.25"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x14ac:dyDescent="0.25">
      <c r="A87" t="str">
        <f>+C59</f>
        <v>Total Resources</v>
      </c>
      <c r="D87" s="17">
        <f>+D59</f>
        <v>10582</v>
      </c>
      <c r="E87" s="17">
        <f t="shared" ref="E87:M87" si="43">+E59</f>
        <v>10304</v>
      </c>
      <c r="F87" s="17">
        <f t="shared" si="43"/>
        <v>10205</v>
      </c>
      <c r="G87" s="17">
        <f t="shared" si="43"/>
        <v>10290</v>
      </c>
      <c r="H87" s="17">
        <f t="shared" si="43"/>
        <v>10551</v>
      </c>
      <c r="I87" s="17">
        <f t="shared" si="43"/>
        <v>10460</v>
      </c>
      <c r="J87" s="17">
        <f t="shared" si="43"/>
        <v>10541</v>
      </c>
      <c r="K87" s="17">
        <f t="shared" si="43"/>
        <v>10520</v>
      </c>
      <c r="L87" s="17">
        <f t="shared" si="43"/>
        <v>10008</v>
      </c>
      <c r="M87" s="17">
        <f t="shared" si="43"/>
        <v>10000</v>
      </c>
    </row>
    <row r="88" spans="1:13" x14ac:dyDescent="0.25">
      <c r="D88" s="17"/>
      <c r="E88" s="29">
        <f>(E87-D87)/D87</f>
        <v>-2.627102627102627E-2</v>
      </c>
      <c r="F88" s="29">
        <f t="shared" ref="F88:M88" si="44">(F87-E87)/E87</f>
        <v>-9.6079192546583859E-3</v>
      </c>
      <c r="G88" s="29">
        <f t="shared" si="44"/>
        <v>8.3292503674669283E-3</v>
      </c>
      <c r="H88" s="29">
        <f t="shared" si="44"/>
        <v>2.5364431486880466E-2</v>
      </c>
      <c r="I88" s="29">
        <f t="shared" si="44"/>
        <v>-8.6247749028528099E-3</v>
      </c>
      <c r="J88" s="29">
        <f t="shared" si="44"/>
        <v>7.7437858508604207E-3</v>
      </c>
      <c r="K88" s="29">
        <f t="shared" si="44"/>
        <v>-1.9922208519115832E-3</v>
      </c>
      <c r="L88" s="29">
        <f t="shared" si="44"/>
        <v>-4.8669201520912544E-2</v>
      </c>
      <c r="M88" s="29">
        <f t="shared" si="44"/>
        <v>-7.993605115907274E-4</v>
      </c>
    </row>
    <row r="89" spans="1:13" x14ac:dyDescent="0.25">
      <c r="D89" s="17"/>
      <c r="E89" s="17">
        <f>+E87-D87</f>
        <v>-278</v>
      </c>
      <c r="F89" s="17">
        <f t="shared" ref="F89:M89" si="45">+F87-E87</f>
        <v>-99</v>
      </c>
      <c r="G89" s="17">
        <f t="shared" si="45"/>
        <v>85</v>
      </c>
      <c r="H89" s="17">
        <f t="shared" si="45"/>
        <v>261</v>
      </c>
      <c r="I89" s="17">
        <f t="shared" si="45"/>
        <v>-91</v>
      </c>
      <c r="J89" s="17">
        <f t="shared" si="45"/>
        <v>81</v>
      </c>
      <c r="K89" s="17">
        <f t="shared" si="45"/>
        <v>-21</v>
      </c>
      <c r="L89" s="17">
        <f t="shared" si="45"/>
        <v>-512</v>
      </c>
      <c r="M89" s="17">
        <f t="shared" si="45"/>
        <v>-8</v>
      </c>
    </row>
    <row r="90" spans="1:13" x14ac:dyDescent="0.25"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x14ac:dyDescent="0.25">
      <c r="A91" t="str">
        <f>+C63</f>
        <v>Obligation + Reserves</v>
      </c>
      <c r="D91" s="17">
        <f>+D63</f>
        <v>11156</v>
      </c>
      <c r="E91" s="17">
        <f t="shared" ref="E91:M91" si="46">+E63</f>
        <v>11269</v>
      </c>
      <c r="F91" s="17">
        <f t="shared" si="46"/>
        <v>11375</v>
      </c>
      <c r="G91" s="17">
        <f t="shared" si="46"/>
        <v>11485</v>
      </c>
      <c r="H91" s="17">
        <f t="shared" si="46"/>
        <v>11617</v>
      </c>
      <c r="I91" s="17">
        <f t="shared" si="46"/>
        <v>11738</v>
      </c>
      <c r="J91" s="17">
        <f t="shared" si="46"/>
        <v>11832</v>
      </c>
      <c r="K91" s="17">
        <f t="shared" si="46"/>
        <v>11946</v>
      </c>
      <c r="L91" s="17">
        <f t="shared" si="46"/>
        <v>12078</v>
      </c>
      <c r="M91" s="17">
        <f t="shared" si="46"/>
        <v>12095</v>
      </c>
    </row>
    <row r="92" spans="1:13" x14ac:dyDescent="0.25">
      <c r="E92" s="29">
        <f>(E91-D91)/D91</f>
        <v>1.0129078522768018E-2</v>
      </c>
      <c r="F92" s="29">
        <f t="shared" ref="F92:M92" si="47">(F91-E91)/E91</f>
        <v>9.4063359659242174E-3</v>
      </c>
      <c r="G92" s="29">
        <f t="shared" si="47"/>
        <v>9.6703296703296703E-3</v>
      </c>
      <c r="H92" s="29">
        <f t="shared" si="47"/>
        <v>1.1493252067914671E-2</v>
      </c>
      <c r="I92" s="29">
        <f t="shared" si="47"/>
        <v>1.0415769992252733E-2</v>
      </c>
      <c r="J92" s="29">
        <f t="shared" si="47"/>
        <v>8.0081785653433289E-3</v>
      </c>
      <c r="K92" s="29">
        <f t="shared" si="47"/>
        <v>9.6348884381338741E-3</v>
      </c>
      <c r="L92" s="29">
        <f t="shared" si="47"/>
        <v>1.1049723756906077E-2</v>
      </c>
      <c r="M92" s="29">
        <f t="shared" si="47"/>
        <v>1.4075178009604239E-3</v>
      </c>
    </row>
    <row r="93" spans="1:13" x14ac:dyDescent="0.25">
      <c r="E93" s="17">
        <f t="shared" ref="E93:M93" si="48">+E91-D91</f>
        <v>113</v>
      </c>
      <c r="F93" s="17">
        <f t="shared" si="48"/>
        <v>106</v>
      </c>
      <c r="G93" s="17">
        <f t="shared" si="48"/>
        <v>110</v>
      </c>
      <c r="H93" s="17">
        <f t="shared" si="48"/>
        <v>132</v>
      </c>
      <c r="I93" s="17">
        <f t="shared" si="48"/>
        <v>121</v>
      </c>
      <c r="J93" s="17">
        <f t="shared" si="48"/>
        <v>94</v>
      </c>
      <c r="K93" s="17">
        <f t="shared" si="48"/>
        <v>114</v>
      </c>
      <c r="L93" s="17">
        <f t="shared" si="48"/>
        <v>132</v>
      </c>
      <c r="M93" s="17">
        <f t="shared" si="48"/>
        <v>17</v>
      </c>
    </row>
    <row r="95" spans="1:13" x14ac:dyDescent="0.25">
      <c r="E95" s="26">
        <f>+E93+E89</f>
        <v>-165</v>
      </c>
      <c r="F95" s="26">
        <f>+F93+F89</f>
        <v>7</v>
      </c>
      <c r="G95" s="26">
        <f t="shared" ref="G95:M95" si="49">+G93+G89</f>
        <v>195</v>
      </c>
      <c r="H95" s="26">
        <f t="shared" si="49"/>
        <v>393</v>
      </c>
      <c r="I95" s="26">
        <f t="shared" si="49"/>
        <v>30</v>
      </c>
      <c r="J95" s="26">
        <f t="shared" si="49"/>
        <v>175</v>
      </c>
      <c r="K95" s="26">
        <f t="shared" si="49"/>
        <v>93</v>
      </c>
      <c r="L95" s="26">
        <f t="shared" si="49"/>
        <v>-380</v>
      </c>
      <c r="M95" s="26">
        <f t="shared" si="49"/>
        <v>9</v>
      </c>
    </row>
    <row r="97" spans="1:15" x14ac:dyDescent="0.25">
      <c r="A97" t="s">
        <v>8</v>
      </c>
      <c r="D97" s="6">
        <f>+D20+D45</f>
        <v>10167</v>
      </c>
      <c r="E97" s="6">
        <f t="shared" ref="E97:M97" si="50">+E20+E45</f>
        <v>10286</v>
      </c>
      <c r="F97" s="6">
        <f t="shared" si="50"/>
        <v>10401</v>
      </c>
      <c r="G97" s="6">
        <f t="shared" si="50"/>
        <v>10507</v>
      </c>
      <c r="H97" s="6">
        <f t="shared" si="50"/>
        <v>10630</v>
      </c>
      <c r="I97" s="6">
        <f t="shared" si="50"/>
        <v>10742</v>
      </c>
      <c r="J97" s="6">
        <f t="shared" si="50"/>
        <v>10830</v>
      </c>
      <c r="K97" s="6">
        <f t="shared" si="50"/>
        <v>10934</v>
      </c>
      <c r="L97" s="6">
        <f t="shared" si="50"/>
        <v>11058</v>
      </c>
      <c r="M97" s="6">
        <f t="shared" si="50"/>
        <v>11082</v>
      </c>
      <c r="O97" s="18">
        <f>((M97-D97)/D97)/9</f>
        <v>9.9996721418969883E-3</v>
      </c>
    </row>
    <row r="98" spans="1:15" x14ac:dyDescent="0.25">
      <c r="E98" s="18">
        <f>(E97-D97)/D97</f>
        <v>1.170453427756467E-2</v>
      </c>
      <c r="F98" s="18">
        <f t="shared" ref="F98:M98" si="51">(F97-E97)/E97</f>
        <v>1.1180244993194633E-2</v>
      </c>
      <c r="G98" s="18">
        <f t="shared" si="51"/>
        <v>1.0191327756946448E-2</v>
      </c>
      <c r="H98" s="18">
        <f t="shared" si="51"/>
        <v>1.170648139335681E-2</v>
      </c>
      <c r="I98" s="18">
        <f t="shared" si="51"/>
        <v>1.0536218250235183E-2</v>
      </c>
      <c r="J98" s="18">
        <f t="shared" si="51"/>
        <v>8.192142990132191E-3</v>
      </c>
      <c r="K98" s="18">
        <f t="shared" si="51"/>
        <v>9.6029547553093259E-3</v>
      </c>
      <c r="L98" s="18">
        <f t="shared" si="51"/>
        <v>1.1340771904152187E-2</v>
      </c>
      <c r="M98" s="18">
        <f t="shared" si="51"/>
        <v>2.170374389582203E-3</v>
      </c>
      <c r="O98" s="25">
        <f>AVERAGE(E98:M98)</f>
        <v>9.6250056344970737E-3</v>
      </c>
    </row>
    <row r="100" spans="1:15" x14ac:dyDescent="0.25">
      <c r="E100" s="18">
        <v>2.87239071427755E-2</v>
      </c>
      <c r="F100" s="18">
        <v>3.5256368979479896E-2</v>
      </c>
      <c r="G100" s="18">
        <v>2.9428803325411892E-2</v>
      </c>
      <c r="H100" s="18">
        <v>2.7422864020473423E-2</v>
      </c>
      <c r="I100" s="18">
        <v>2.1862679822407041E-2</v>
      </c>
      <c r="J100" s="18">
        <v>2.1056254005471575E-2</v>
      </c>
      <c r="K100" s="18">
        <v>1.2310186417676238E-2</v>
      </c>
      <c r="L100" s="18">
        <v>1.5151671438056175E-2</v>
      </c>
      <c r="M100" s="18">
        <v>1.56894084756815E-2</v>
      </c>
    </row>
    <row r="102" spans="1:15" x14ac:dyDescent="0.25">
      <c r="E102" s="25">
        <f>+E98-E100</f>
        <v>-1.7019372865210831E-2</v>
      </c>
      <c r="F102" s="25">
        <f t="shared" ref="F102:M102" si="52">+F98-F100</f>
        <v>-2.4076123986285263E-2</v>
      </c>
      <c r="G102" s="25">
        <f t="shared" si="52"/>
        <v>-1.9237475568465445E-2</v>
      </c>
      <c r="H102" s="25">
        <f t="shared" si="52"/>
        <v>-1.5716382627116613E-2</v>
      </c>
      <c r="I102" s="25">
        <f t="shared" si="52"/>
        <v>-1.1326461572171858E-2</v>
      </c>
      <c r="J102" s="25">
        <f t="shared" si="52"/>
        <v>-1.2864111015339384E-2</v>
      </c>
      <c r="K102" s="25">
        <f t="shared" si="52"/>
        <v>-2.7072316623669122E-3</v>
      </c>
      <c r="L102" s="25">
        <f t="shared" si="52"/>
        <v>-3.8108995339039883E-3</v>
      </c>
      <c r="M102" s="25">
        <f t="shared" si="52"/>
        <v>-1.3519034086099297E-2</v>
      </c>
    </row>
    <row r="105" spans="1:15" x14ac:dyDescent="0.25">
      <c r="A105" s="36" t="s">
        <v>74</v>
      </c>
      <c r="B105" s="36"/>
      <c r="C105" s="36"/>
      <c r="D105" s="37">
        <f>+D62/D61</f>
        <v>0.13258883248730965</v>
      </c>
      <c r="E105" s="37">
        <f t="shared" ref="E105:M105" si="53">+E62/E61</f>
        <v>0.13256281407035175</v>
      </c>
      <c r="F105" s="37">
        <f t="shared" si="53"/>
        <v>0.13251692552767821</v>
      </c>
      <c r="G105" s="37">
        <f t="shared" si="53"/>
        <v>0.13253130854945272</v>
      </c>
      <c r="H105" s="37">
        <f t="shared" si="53"/>
        <v>0.13248196529537923</v>
      </c>
      <c r="I105" s="37">
        <f t="shared" si="53"/>
        <v>0.13246502653159672</v>
      </c>
      <c r="J105" s="37">
        <f t="shared" si="53"/>
        <v>0.13235716336491529</v>
      </c>
      <c r="K105" s="37">
        <f t="shared" si="53"/>
        <v>0.132429614181439</v>
      </c>
      <c r="L105" s="37">
        <f t="shared" si="53"/>
        <v>0.13238327395462215</v>
      </c>
      <c r="M105" s="37">
        <f t="shared" si="53"/>
        <v>0.13238460818275444</v>
      </c>
    </row>
    <row r="107" spans="1:15" x14ac:dyDescent="0.25">
      <c r="D107" s="6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5" x14ac:dyDescent="0.2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5" x14ac:dyDescent="0.25"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5" x14ac:dyDescent="0.25">
      <c r="D110" s="6"/>
      <c r="E110" s="6"/>
      <c r="F110" s="6"/>
      <c r="G110" s="6"/>
      <c r="H110" s="6"/>
      <c r="I110" s="6"/>
      <c r="J110" s="6"/>
      <c r="K110" s="6"/>
      <c r="L110" s="6"/>
    </row>
    <row r="111" spans="1:15" x14ac:dyDescent="0.25"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5" x14ac:dyDescent="0.25"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4:13" x14ac:dyDescent="0.25"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5" spans="4:13" x14ac:dyDescent="0.25"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4:13" x14ac:dyDescent="0.25">
      <c r="D116" s="6"/>
      <c r="E116" s="6"/>
      <c r="F116" s="6"/>
      <c r="G116" s="6"/>
      <c r="H116" s="6"/>
      <c r="I116" s="6"/>
      <c r="J116" s="6"/>
      <c r="K116" s="6"/>
      <c r="L116" s="6"/>
      <c r="M116" s="6"/>
    </row>
  </sheetData>
  <mergeCells count="6">
    <mergeCell ref="A58:C58"/>
    <mergeCell ref="A3:M3"/>
    <mergeCell ref="A4:M4"/>
    <mergeCell ref="A5:M5"/>
    <mergeCell ref="A8:C8"/>
    <mergeCell ref="A33:C3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05"/>
  <sheetViews>
    <sheetView tabSelected="1" topLeftCell="AD25" workbookViewId="0">
      <selection activeCell="AF73" sqref="AF73"/>
    </sheetView>
  </sheetViews>
  <sheetFormatPr defaultRowHeight="15" x14ac:dyDescent="0.25"/>
  <cols>
    <col min="1" max="1" width="24.85546875" customWidth="1"/>
    <col min="2" max="4" width="9.140625" customWidth="1"/>
    <col min="5" max="6" width="9.85546875" customWidth="1"/>
    <col min="7" max="7" width="9.140625" customWidth="1"/>
    <col min="22" max="32" width="10.7109375" customWidth="1"/>
  </cols>
  <sheetData>
    <row r="1" spans="1:23" ht="18.75" x14ac:dyDescent="0.3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57"/>
      <c r="Q1" s="57"/>
      <c r="R1" s="57"/>
      <c r="S1" s="57"/>
      <c r="T1" s="57"/>
      <c r="U1" s="57"/>
    </row>
    <row r="2" spans="1:23" ht="19.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3" ht="19.5" thickBot="1" x14ac:dyDescent="0.35">
      <c r="B3" s="46">
        <f>+C3-1</f>
        <v>2006</v>
      </c>
      <c r="C3" s="19">
        <f>+D3-1</f>
        <v>2007</v>
      </c>
      <c r="D3" s="19">
        <f>+E3-1</f>
        <v>2008</v>
      </c>
      <c r="E3" s="19">
        <f>+'2008 IRP - May 2009'!B5</f>
        <v>2009</v>
      </c>
      <c r="F3" s="19">
        <f>+'2008 IRP - May 2009'!C5</f>
        <v>2010</v>
      </c>
      <c r="G3" s="19">
        <f>+'2008 IRP - May 2009'!D5</f>
        <v>2011</v>
      </c>
      <c r="H3" s="19">
        <f>+'2008 IRP - May 2009'!E5</f>
        <v>2012</v>
      </c>
      <c r="I3" s="19">
        <f>+'2008 IRP - May 2009'!F5</f>
        <v>2013</v>
      </c>
      <c r="J3" s="19">
        <f>+'2008 IRP - May 2009'!G5</f>
        <v>2014</v>
      </c>
      <c r="K3" s="19">
        <f>+'2008 IRP - May 2009'!H5</f>
        <v>2015</v>
      </c>
      <c r="L3" s="19">
        <f>+'2008 IRP - May 2009'!I5</f>
        <v>2016</v>
      </c>
      <c r="M3" s="19">
        <f>+'2008 IRP - May 2009'!J5</f>
        <v>2017</v>
      </c>
      <c r="N3" s="19">
        <f>+'2008 IRP - May 2009'!K5</f>
        <v>2018</v>
      </c>
      <c r="O3" s="19">
        <v>2019</v>
      </c>
      <c r="P3" s="19">
        <v>2020</v>
      </c>
      <c r="Q3" s="19">
        <v>2021</v>
      </c>
      <c r="R3" s="11">
        <v>2022</v>
      </c>
      <c r="S3" s="11">
        <f>+R3+1</f>
        <v>2023</v>
      </c>
      <c r="T3" s="11">
        <f>+S3+1</f>
        <v>2024</v>
      </c>
      <c r="U3" s="11">
        <f>+T3+1</f>
        <v>2025</v>
      </c>
      <c r="V3" s="11">
        <f>+U3+1</f>
        <v>2026</v>
      </c>
    </row>
    <row r="4" spans="1:23" ht="15" customHeight="1" x14ac:dyDescent="0.3">
      <c r="A4" s="9" t="s">
        <v>58</v>
      </c>
      <c r="B4" s="1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1"/>
      <c r="S4" s="11"/>
      <c r="T4" s="11"/>
      <c r="U4" s="11"/>
      <c r="W4" t="s">
        <v>58</v>
      </c>
    </row>
    <row r="5" spans="1:23" ht="15" customHeight="1" x14ac:dyDescent="0.3">
      <c r="A5" s="16" t="s">
        <v>66</v>
      </c>
      <c r="B5" s="13">
        <f>+'2004 IRP UPDATE'!B18</f>
        <v>6121</v>
      </c>
      <c r="C5" s="13">
        <f>+'2004 IRP UPDATE'!C18</f>
        <v>6331</v>
      </c>
      <c r="D5" s="13">
        <f>+'2004 IRP UPDATE'!D18</f>
        <v>6602</v>
      </c>
      <c r="E5" s="13">
        <f>+'2004 IRP UPDATE'!E18</f>
        <v>6895</v>
      </c>
      <c r="F5" s="13">
        <f>+'2004 IRP UPDATE'!F18</f>
        <v>7107</v>
      </c>
      <c r="G5" s="13">
        <f>+'2004 IRP UPDATE'!G18</f>
        <v>7368</v>
      </c>
      <c r="H5" s="13">
        <f>+'2004 IRP UPDATE'!H18</f>
        <v>7567</v>
      </c>
      <c r="I5" s="13">
        <f>+'2004 IRP UPDATE'!I18</f>
        <v>7837</v>
      </c>
      <c r="J5" s="13">
        <f>+'2004 IRP UPDATE'!J18</f>
        <v>8091</v>
      </c>
      <c r="K5" s="13">
        <f>+'2004 IRP UPDATE'!K18</f>
        <v>8359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3" ht="15" customHeight="1" x14ac:dyDescent="0.3">
      <c r="A6" s="16" t="s">
        <v>67</v>
      </c>
      <c r="B6" s="13">
        <f>+'2004 IRP UPDATE'!B35</f>
        <v>3529</v>
      </c>
      <c r="C6" s="13">
        <f>+'2004 IRP UPDATE'!C35</f>
        <v>3649</v>
      </c>
      <c r="D6" s="13">
        <f>+'2004 IRP UPDATE'!D35</f>
        <v>3110</v>
      </c>
      <c r="E6" s="13">
        <f>+'2004 IRP UPDATE'!E35</f>
        <v>3162</v>
      </c>
      <c r="F6" s="13">
        <f>+'2004 IRP UPDATE'!F35</f>
        <v>3214</v>
      </c>
      <c r="G6" s="13">
        <f>+'2004 IRP UPDATE'!G35</f>
        <v>3253</v>
      </c>
      <c r="H6" s="13">
        <f>+'2004 IRP UPDATE'!H35</f>
        <v>3295</v>
      </c>
      <c r="I6" s="13">
        <f>+'2004 IRP UPDATE'!I35</f>
        <v>3360</v>
      </c>
      <c r="J6" s="13">
        <f>+'2004 IRP UPDATE'!J35</f>
        <v>3448</v>
      </c>
      <c r="K6" s="13">
        <f>+'2004 IRP UPDATE'!K35</f>
        <v>3516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3" ht="15" customHeight="1" x14ac:dyDescent="0.3">
      <c r="A7" s="12" t="str">
        <f>+'2004 IRP UPDATE'!A44</f>
        <v>Total Resources</v>
      </c>
      <c r="B7" s="13">
        <f>+B6+B5</f>
        <v>9650</v>
      </c>
      <c r="C7" s="13">
        <f t="shared" ref="C7:K7" si="0">+C6+C5</f>
        <v>9980</v>
      </c>
      <c r="D7" s="13">
        <f t="shared" si="0"/>
        <v>9712</v>
      </c>
      <c r="E7" s="13">
        <f t="shared" si="0"/>
        <v>10057</v>
      </c>
      <c r="F7" s="13">
        <f t="shared" si="0"/>
        <v>10321</v>
      </c>
      <c r="G7" s="13">
        <f t="shared" si="0"/>
        <v>10621</v>
      </c>
      <c r="H7" s="13">
        <f t="shared" si="0"/>
        <v>10862</v>
      </c>
      <c r="I7" s="13">
        <f t="shared" si="0"/>
        <v>11197</v>
      </c>
      <c r="J7" s="13">
        <f t="shared" si="0"/>
        <v>11539</v>
      </c>
      <c r="K7" s="13">
        <f t="shared" si="0"/>
        <v>11875</v>
      </c>
      <c r="L7" s="13"/>
      <c r="M7" s="13"/>
      <c r="N7" s="13"/>
      <c r="O7" s="11"/>
      <c r="P7" s="11"/>
      <c r="Q7" s="11"/>
      <c r="R7" s="11"/>
      <c r="S7" s="11"/>
      <c r="T7" s="11"/>
      <c r="U7" s="11"/>
    </row>
    <row r="8" spans="1:23" ht="15" customHeight="1" x14ac:dyDescent="0.3">
      <c r="A8" s="16" t="s">
        <v>132</v>
      </c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W8" t="s">
        <v>59</v>
      </c>
    </row>
    <row r="9" spans="1:23" ht="15" customHeight="1" x14ac:dyDescent="0.3">
      <c r="A9" s="16" t="s">
        <v>43</v>
      </c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3" ht="15" customHeight="1" x14ac:dyDescent="0.3">
      <c r="A10" s="16" t="s">
        <v>116</v>
      </c>
      <c r="B10" s="7"/>
      <c r="C10" s="21">
        <f>+'2007 IRP'!B17</f>
        <v>6321</v>
      </c>
      <c r="D10" s="21">
        <f>+'2007 IRP'!C17</f>
        <v>6515</v>
      </c>
      <c r="E10" s="21">
        <f>+'2007 IRP'!D17</f>
        <v>6657</v>
      </c>
      <c r="F10" s="21">
        <f>+'2007 IRP'!E17</f>
        <v>7137</v>
      </c>
      <c r="G10" s="21">
        <f>+'2007 IRP'!F17</f>
        <v>7289</v>
      </c>
      <c r="H10" s="21">
        <f>+'2007 IRP'!G17</f>
        <v>7595</v>
      </c>
      <c r="I10" s="21">
        <f>+'2007 IRP'!H17</f>
        <v>7738</v>
      </c>
      <c r="J10" s="21">
        <f>+'2007 IRP'!I17</f>
        <v>7895</v>
      </c>
      <c r="K10" s="21">
        <f>+'2007 IRP'!J17</f>
        <v>8026</v>
      </c>
      <c r="L10" s="21">
        <f>+'2007 IRP'!K17</f>
        <v>8366</v>
      </c>
      <c r="M10" s="11"/>
      <c r="N10" s="11"/>
      <c r="O10" s="11"/>
      <c r="P10" s="11"/>
      <c r="Q10" s="11"/>
      <c r="R10" s="11"/>
      <c r="S10" s="11"/>
      <c r="T10" s="11"/>
      <c r="U10" s="11"/>
    </row>
    <row r="11" spans="1:23" ht="15" customHeight="1" x14ac:dyDescent="0.3">
      <c r="A11" s="16" t="s">
        <v>117</v>
      </c>
      <c r="B11" s="7"/>
      <c r="C11" s="21">
        <f>+'2007 IRP'!B38</f>
        <v>2922</v>
      </c>
      <c r="D11" s="21">
        <f>+'2007 IRP'!C38</f>
        <v>2924</v>
      </c>
      <c r="E11" s="21">
        <f>+'2007 IRP'!D38</f>
        <v>3095</v>
      </c>
      <c r="F11" s="21">
        <f>+'2007 IRP'!E38</f>
        <v>3124</v>
      </c>
      <c r="G11" s="21">
        <f>+'2007 IRP'!F38</f>
        <v>3199</v>
      </c>
      <c r="H11" s="21">
        <f>+'2007 IRP'!G38</f>
        <v>3240</v>
      </c>
      <c r="I11" s="21">
        <f>+'2007 IRP'!H38</f>
        <v>3251</v>
      </c>
      <c r="J11" s="21">
        <f>+'2007 IRP'!I38</f>
        <v>3262</v>
      </c>
      <c r="K11" s="21">
        <f>+'2007 IRP'!J38</f>
        <v>3271</v>
      </c>
      <c r="L11" s="21">
        <f>+'2007 IRP'!K38</f>
        <v>3252</v>
      </c>
      <c r="M11" s="11"/>
      <c r="N11" s="11"/>
      <c r="O11" s="11"/>
      <c r="P11" s="11"/>
      <c r="Q11" s="11"/>
      <c r="R11" s="11"/>
      <c r="S11" s="11"/>
      <c r="T11" s="11"/>
      <c r="U11" s="11"/>
    </row>
    <row r="12" spans="1:23" ht="15" customHeight="1" x14ac:dyDescent="0.3">
      <c r="A12" s="16" t="s">
        <v>118</v>
      </c>
      <c r="B12" s="7"/>
      <c r="C12" s="20">
        <f>+C11+C10</f>
        <v>9243</v>
      </c>
      <c r="D12" s="20">
        <f t="shared" ref="D12:L12" si="1">+D11+D10</f>
        <v>9439</v>
      </c>
      <c r="E12" s="20">
        <f t="shared" si="1"/>
        <v>9752</v>
      </c>
      <c r="F12" s="20">
        <f t="shared" si="1"/>
        <v>10261</v>
      </c>
      <c r="G12" s="20">
        <f t="shared" si="1"/>
        <v>10488</v>
      </c>
      <c r="H12" s="20">
        <f t="shared" si="1"/>
        <v>10835</v>
      </c>
      <c r="I12" s="20">
        <f t="shared" si="1"/>
        <v>10989</v>
      </c>
      <c r="J12" s="20">
        <f t="shared" si="1"/>
        <v>11157</v>
      </c>
      <c r="K12" s="20">
        <f t="shared" si="1"/>
        <v>11297</v>
      </c>
      <c r="L12" s="20">
        <f t="shared" si="1"/>
        <v>11618</v>
      </c>
      <c r="M12" s="20"/>
      <c r="N12" s="20"/>
      <c r="O12" s="11"/>
      <c r="P12" s="11"/>
      <c r="Q12" s="11"/>
      <c r="R12" s="11"/>
      <c r="S12" s="11"/>
      <c r="T12" s="11"/>
      <c r="U12" s="11"/>
      <c r="W12" t="s">
        <v>60</v>
      </c>
    </row>
    <row r="13" spans="1:23" ht="15" customHeight="1" x14ac:dyDescent="0.3">
      <c r="A13" s="16" t="s">
        <v>134</v>
      </c>
      <c r="B13" s="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3" ht="15" customHeight="1" x14ac:dyDescent="0.25">
      <c r="A14" s="16" t="s">
        <v>56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W14" t="s">
        <v>61</v>
      </c>
    </row>
    <row r="15" spans="1:23" ht="15" customHeight="1" x14ac:dyDescent="0.25">
      <c r="A15" s="16" t="s">
        <v>116</v>
      </c>
      <c r="B15" s="7"/>
      <c r="C15" s="7"/>
      <c r="D15" s="13">
        <f>+'2007 IRP UPDATE JUNE 08'!B17</f>
        <v>6547</v>
      </c>
      <c r="E15" s="13">
        <f>+'2007 IRP UPDATE JUNE 08'!C17</f>
        <v>6725</v>
      </c>
      <c r="F15" s="13">
        <f>+'2007 IRP UPDATE JUNE 08'!D17</f>
        <v>6975</v>
      </c>
      <c r="G15" s="13">
        <f>+'2007 IRP UPDATE JUNE 08'!E17</f>
        <v>7130</v>
      </c>
      <c r="H15" s="13">
        <f>+'2007 IRP UPDATE JUNE 08'!F17</f>
        <v>7404</v>
      </c>
      <c r="I15" s="13">
        <f>+'2007 IRP UPDATE JUNE 08'!G17</f>
        <v>7612</v>
      </c>
      <c r="J15" s="13">
        <f>+'2007 IRP UPDATE JUNE 08'!H17</f>
        <v>7782</v>
      </c>
      <c r="K15" s="13">
        <f>+'2007 IRP UPDATE JUNE 08'!I17</f>
        <v>7827</v>
      </c>
      <c r="L15" s="13">
        <f>+'2007 IRP UPDATE JUNE 08'!J17</f>
        <v>8147</v>
      </c>
      <c r="M15" s="13">
        <f>+'2007 IRP UPDATE JUNE 08'!K17</f>
        <v>8208</v>
      </c>
      <c r="N15" s="7"/>
      <c r="O15" s="7"/>
      <c r="P15" s="7"/>
      <c r="Q15" s="7"/>
      <c r="R15" s="7"/>
      <c r="S15" s="7"/>
      <c r="T15" s="7"/>
      <c r="U15" s="7"/>
    </row>
    <row r="16" spans="1:23" ht="15" customHeight="1" x14ac:dyDescent="0.25">
      <c r="A16" s="16" t="s">
        <v>117</v>
      </c>
      <c r="B16" s="7"/>
      <c r="C16" s="7"/>
      <c r="D16" s="13">
        <f>+'2007 IRP UPDATE JUNE 08'!B38</f>
        <v>3228</v>
      </c>
      <c r="E16" s="13">
        <f>+'2007 IRP UPDATE JUNE 08'!C38</f>
        <v>3343</v>
      </c>
      <c r="F16" s="13">
        <f>+'2007 IRP UPDATE JUNE 08'!D38</f>
        <v>3302</v>
      </c>
      <c r="G16" s="13">
        <f>+'2007 IRP UPDATE JUNE 08'!E38</f>
        <v>3316</v>
      </c>
      <c r="H16" s="13">
        <f>+'2007 IRP UPDATE JUNE 08'!F38</f>
        <v>3341</v>
      </c>
      <c r="I16" s="13">
        <f>+'2007 IRP UPDATE JUNE 08'!G38</f>
        <v>3409</v>
      </c>
      <c r="J16" s="13">
        <f>+'2007 IRP UPDATE JUNE 08'!H38</f>
        <v>3457</v>
      </c>
      <c r="K16" s="13">
        <f>+'2007 IRP UPDATE JUNE 08'!I38</f>
        <v>3531</v>
      </c>
      <c r="L16" s="13">
        <f>+'2007 IRP UPDATE JUNE 08'!J38</f>
        <v>3444</v>
      </c>
      <c r="M16" s="13">
        <f>+'2007 IRP UPDATE JUNE 08'!K38</f>
        <v>3550</v>
      </c>
      <c r="N16" s="7"/>
      <c r="O16" s="7"/>
      <c r="P16" s="7"/>
      <c r="Q16" s="7"/>
      <c r="R16" s="7"/>
      <c r="S16" s="7"/>
      <c r="T16" s="7"/>
      <c r="U16" s="7"/>
    </row>
    <row r="17" spans="1:23" ht="15" customHeight="1" x14ac:dyDescent="0.25">
      <c r="A17" s="16" t="s">
        <v>118</v>
      </c>
      <c r="B17" s="7"/>
      <c r="C17" s="7"/>
      <c r="D17" s="20">
        <f>+D16+D15</f>
        <v>9775</v>
      </c>
      <c r="E17" s="20">
        <f t="shared" ref="E17:M17" si="2">+E16+E15</f>
        <v>10068</v>
      </c>
      <c r="F17" s="20">
        <f t="shared" si="2"/>
        <v>10277</v>
      </c>
      <c r="G17" s="20">
        <f t="shared" si="2"/>
        <v>10446</v>
      </c>
      <c r="H17" s="20">
        <f t="shared" si="2"/>
        <v>10745</v>
      </c>
      <c r="I17" s="20">
        <f t="shared" si="2"/>
        <v>11021</v>
      </c>
      <c r="J17" s="20">
        <f t="shared" si="2"/>
        <v>11239</v>
      </c>
      <c r="K17" s="20">
        <f t="shared" si="2"/>
        <v>11358</v>
      </c>
      <c r="L17" s="20">
        <f t="shared" si="2"/>
        <v>11591</v>
      </c>
      <c r="M17" s="20">
        <f t="shared" si="2"/>
        <v>11758</v>
      </c>
      <c r="N17" s="20"/>
      <c r="O17" s="20"/>
      <c r="P17" s="20"/>
      <c r="Q17" s="20"/>
      <c r="R17" s="20"/>
      <c r="S17" s="20"/>
      <c r="T17" s="20"/>
      <c r="U17" s="20"/>
    </row>
    <row r="18" spans="1:23" ht="15" customHeight="1" x14ac:dyDescent="0.25">
      <c r="A18" s="16"/>
      <c r="B18" s="7"/>
      <c r="C18" s="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W18" t="s">
        <v>63</v>
      </c>
    </row>
    <row r="19" spans="1:23" ht="15" customHeight="1" x14ac:dyDescent="0.25">
      <c r="A19" s="49" t="s">
        <v>41</v>
      </c>
      <c r="B19" s="7"/>
      <c r="C19" s="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3" ht="15" customHeight="1" x14ac:dyDescent="0.25">
      <c r="A20" s="16" t="s">
        <v>116</v>
      </c>
      <c r="B20" s="7"/>
      <c r="C20" s="7"/>
      <c r="D20" s="20"/>
      <c r="E20" s="20">
        <f>+'2008 IRP - May 2009'!B17</f>
        <v>6757</v>
      </c>
      <c r="F20" s="20">
        <f>+'2008 IRP - May 2009'!C17</f>
        <v>6949</v>
      </c>
      <c r="G20" s="20">
        <f>+'2008 IRP - May 2009'!D17</f>
        <v>7150</v>
      </c>
      <c r="H20" s="20">
        <f>+'2008 IRP - May 2009'!E17</f>
        <v>7404</v>
      </c>
      <c r="I20" s="20">
        <f>+'2008 IRP - May 2009'!F17</f>
        <v>7643</v>
      </c>
      <c r="J20" s="20">
        <f>+'2008 IRP - May 2009'!G17</f>
        <v>7779</v>
      </c>
      <c r="K20" s="20">
        <f>+'2008 IRP - May 2009'!H17</f>
        <v>8029</v>
      </c>
      <c r="L20" s="20">
        <f>+'2008 IRP - May 2009'!I17</f>
        <v>8303</v>
      </c>
      <c r="M20" s="20">
        <f>+'2008 IRP - May 2009'!J17</f>
        <v>8491</v>
      </c>
      <c r="N20" s="20">
        <f>+'2008 IRP - May 2009'!K17</f>
        <v>8696</v>
      </c>
      <c r="O20" s="20"/>
      <c r="P20" s="20"/>
      <c r="Q20" s="20"/>
      <c r="R20" s="20"/>
      <c r="S20" s="20"/>
      <c r="T20" s="20"/>
      <c r="U20" s="20"/>
    </row>
    <row r="21" spans="1:23" ht="15" customHeight="1" x14ac:dyDescent="0.25">
      <c r="A21" s="16" t="s">
        <v>117</v>
      </c>
      <c r="B21" s="7"/>
      <c r="C21" s="7"/>
      <c r="D21" s="20"/>
      <c r="E21" s="20">
        <f>+'2008 IRP - May 2009'!B39</f>
        <v>3393</v>
      </c>
      <c r="F21" s="20">
        <f>+'2008 IRP - May 2009'!C39</f>
        <v>3422</v>
      </c>
      <c r="G21" s="20">
        <f>+'2008 IRP - May 2009'!D39</f>
        <v>3490</v>
      </c>
      <c r="H21" s="20">
        <f>+'2008 IRP - May 2009'!E39</f>
        <v>3587</v>
      </c>
      <c r="I21" s="20">
        <f>+'2008 IRP - May 2009'!F39</f>
        <v>3638</v>
      </c>
      <c r="J21" s="20">
        <f>+'2008 IRP - May 2009'!G39</f>
        <v>3722</v>
      </c>
      <c r="K21" s="20">
        <f>+'2008 IRP - May 2009'!H39</f>
        <v>3769</v>
      </c>
      <c r="L21" s="20">
        <f>+'2008 IRP - May 2009'!I39</f>
        <v>3824</v>
      </c>
      <c r="M21" s="20">
        <f>+'2008 IRP - May 2009'!J39</f>
        <v>3893</v>
      </c>
      <c r="N21" s="20">
        <f>+'2008 IRP - May 2009'!K39</f>
        <v>3978</v>
      </c>
      <c r="O21" s="20"/>
      <c r="P21" s="20"/>
      <c r="Q21" s="20"/>
      <c r="R21" s="20"/>
      <c r="S21" s="20"/>
      <c r="T21" s="20"/>
      <c r="U21" s="20"/>
    </row>
    <row r="22" spans="1:23" ht="15" customHeight="1" x14ac:dyDescent="0.25">
      <c r="A22" s="16" t="s">
        <v>118</v>
      </c>
      <c r="B22" s="7"/>
      <c r="C22" s="7"/>
      <c r="D22" s="20"/>
      <c r="E22" s="20">
        <f>+E21+E20</f>
        <v>10150</v>
      </c>
      <c r="F22" s="20">
        <f t="shared" ref="F22:N22" si="3">+F21+F20</f>
        <v>10371</v>
      </c>
      <c r="G22" s="20">
        <f t="shared" si="3"/>
        <v>10640</v>
      </c>
      <c r="H22" s="20">
        <f t="shared" si="3"/>
        <v>10991</v>
      </c>
      <c r="I22" s="20">
        <f t="shared" si="3"/>
        <v>11281</v>
      </c>
      <c r="J22" s="20">
        <f t="shared" si="3"/>
        <v>11501</v>
      </c>
      <c r="K22" s="20">
        <f t="shared" si="3"/>
        <v>11798</v>
      </c>
      <c r="L22" s="20">
        <f t="shared" si="3"/>
        <v>12127</v>
      </c>
      <c r="M22" s="20">
        <f t="shared" si="3"/>
        <v>12384</v>
      </c>
      <c r="N22" s="20">
        <f t="shared" si="3"/>
        <v>12674</v>
      </c>
      <c r="O22" s="20"/>
      <c r="P22" s="20"/>
      <c r="Q22" s="20"/>
      <c r="R22" s="20"/>
      <c r="S22" s="20"/>
      <c r="T22" s="20"/>
      <c r="U22" s="20"/>
      <c r="W22" t="s">
        <v>65</v>
      </c>
    </row>
    <row r="23" spans="1:23" ht="15" customHeight="1" x14ac:dyDescent="0.25">
      <c r="A23" s="16"/>
      <c r="B23" s="7"/>
      <c r="C23" s="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3" ht="15" customHeight="1" x14ac:dyDescent="0.25">
      <c r="A24" s="49" t="s">
        <v>131</v>
      </c>
      <c r="B24" s="7"/>
      <c r="C24" s="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5" customHeight="1" x14ac:dyDescent="0.25">
      <c r="A25" s="16" t="s">
        <v>116</v>
      </c>
      <c r="B25" s="7"/>
      <c r="C25" s="7"/>
      <c r="D25" s="20"/>
      <c r="E25" s="20"/>
      <c r="F25" s="20">
        <f>+'2008 IRP Update - Mar 2010'!B19</f>
        <v>6753</v>
      </c>
      <c r="G25" s="20">
        <f>+'2008 IRP Update - Mar 2010'!C19</f>
        <v>7036</v>
      </c>
      <c r="H25" s="20">
        <f>+'2008 IRP Update - Mar 2010'!D19</f>
        <v>7292</v>
      </c>
      <c r="I25" s="20">
        <f>+'2008 IRP Update - Mar 2010'!E19</f>
        <v>7577</v>
      </c>
      <c r="J25" s="20">
        <f>+'2008 IRP Update - Mar 2010'!F19</f>
        <v>7846</v>
      </c>
      <c r="K25" s="20">
        <f>+'2008 IRP Update - Mar 2010'!G19</f>
        <v>8070</v>
      </c>
      <c r="L25" s="20">
        <f>+'2008 IRP Update - Mar 2010'!H19</f>
        <v>8295</v>
      </c>
      <c r="M25" s="20">
        <f>+'2008 IRP Update - Mar 2010'!I19</f>
        <v>8461</v>
      </c>
      <c r="N25" s="20">
        <f>+'2008 IRP Update - Mar 2010'!J19</f>
        <v>8628</v>
      </c>
      <c r="O25" s="20">
        <f>+'2008 IRP Update - Mar 2010'!K19</f>
        <v>8804</v>
      </c>
      <c r="P25" s="20"/>
      <c r="Q25" s="20"/>
      <c r="R25" s="20"/>
      <c r="S25" s="20"/>
      <c r="T25" s="20"/>
      <c r="U25" s="20"/>
    </row>
    <row r="26" spans="1:23" ht="15" customHeight="1" x14ac:dyDescent="0.25">
      <c r="A26" s="16" t="s">
        <v>117</v>
      </c>
      <c r="B26" s="7"/>
      <c r="C26" s="7"/>
      <c r="D26" s="20"/>
      <c r="E26" s="20"/>
      <c r="F26" s="20">
        <f>+'2008 IRP Update - Mar 2010'!B41</f>
        <v>3166</v>
      </c>
      <c r="G26" s="20">
        <f>+'2008 IRP Update - Mar 2010'!C41</f>
        <v>3236</v>
      </c>
      <c r="H26" s="20">
        <f>+'2008 IRP Update - Mar 2010'!D41</f>
        <v>3355</v>
      </c>
      <c r="I26" s="20">
        <f>+'2008 IRP Update - Mar 2010'!E41</f>
        <v>3400</v>
      </c>
      <c r="J26" s="20">
        <f>+'2008 IRP Update - Mar 2010'!F41</f>
        <v>3459</v>
      </c>
      <c r="K26" s="20">
        <f>+'2008 IRP Update - Mar 2010'!G41</f>
        <v>3504</v>
      </c>
      <c r="L26" s="20">
        <f>+'2008 IRP Update - Mar 2010'!H41</f>
        <v>3546</v>
      </c>
      <c r="M26" s="20">
        <f>+'2008 IRP Update - Mar 2010'!I41</f>
        <v>3588</v>
      </c>
      <c r="N26" s="20">
        <f>+'2008 IRP Update - Mar 2010'!J41</f>
        <v>3653</v>
      </c>
      <c r="O26" s="20">
        <f>+'2008 IRP Update - Mar 2010'!K41</f>
        <v>3674</v>
      </c>
      <c r="P26" s="20"/>
      <c r="Q26" s="20"/>
      <c r="R26" s="20"/>
      <c r="S26" s="20"/>
      <c r="T26" s="20"/>
      <c r="U26" s="20"/>
    </row>
    <row r="27" spans="1:23" ht="14.25" customHeight="1" x14ac:dyDescent="0.25">
      <c r="A27" s="16" t="s">
        <v>118</v>
      </c>
      <c r="B27" s="7"/>
      <c r="C27" s="7"/>
      <c r="D27" s="20"/>
      <c r="E27" s="20"/>
      <c r="F27" s="20">
        <f>+F26+F25</f>
        <v>9919</v>
      </c>
      <c r="G27" s="20">
        <f t="shared" ref="G27:O27" si="4">+G26+G25</f>
        <v>10272</v>
      </c>
      <c r="H27" s="20">
        <f t="shared" si="4"/>
        <v>10647</v>
      </c>
      <c r="I27" s="20">
        <f t="shared" si="4"/>
        <v>10977</v>
      </c>
      <c r="J27" s="20">
        <f t="shared" si="4"/>
        <v>11305</v>
      </c>
      <c r="K27" s="20">
        <f t="shared" si="4"/>
        <v>11574</v>
      </c>
      <c r="L27" s="20">
        <f t="shared" si="4"/>
        <v>11841</v>
      </c>
      <c r="M27" s="20">
        <f t="shared" si="4"/>
        <v>12049</v>
      </c>
      <c r="N27" s="20">
        <f t="shared" si="4"/>
        <v>12281</v>
      </c>
      <c r="O27" s="20">
        <f t="shared" si="4"/>
        <v>12478</v>
      </c>
      <c r="P27" s="20"/>
      <c r="Q27" s="20"/>
      <c r="R27" s="20"/>
      <c r="S27" s="20"/>
      <c r="T27" s="20"/>
      <c r="U27" s="20"/>
    </row>
    <row r="28" spans="1:23" ht="14.25" customHeight="1" x14ac:dyDescent="0.25">
      <c r="A28" s="16"/>
      <c r="B28" s="7"/>
      <c r="C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4.25" customHeight="1" x14ac:dyDescent="0.25">
      <c r="A29" s="59" t="s">
        <v>76</v>
      </c>
      <c r="B29" s="7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4.25" customHeight="1" x14ac:dyDescent="0.25">
      <c r="A30" s="16" t="s">
        <v>116</v>
      </c>
      <c r="B30" s="7"/>
      <c r="C30" s="7"/>
      <c r="D30" s="20"/>
      <c r="E30" s="20"/>
      <c r="F30" s="20"/>
      <c r="G30" s="20">
        <f>+'2011 IRP - Mar 2011'!B19</f>
        <v>7184</v>
      </c>
      <c r="H30" s="20">
        <f>+'2011 IRP - Mar 2011'!C19</f>
        <v>7344</v>
      </c>
      <c r="I30" s="20">
        <f>+'2011 IRP - Mar 2011'!D19</f>
        <v>7566</v>
      </c>
      <c r="J30" s="20">
        <f>+'2011 IRP - Mar 2011'!E19</f>
        <v>7805</v>
      </c>
      <c r="K30" s="20">
        <f>+'2011 IRP - Mar 2011'!F19</f>
        <v>8009</v>
      </c>
      <c r="L30" s="20">
        <f>+'2011 IRP - Mar 2011'!G19</f>
        <v>8201</v>
      </c>
      <c r="M30" s="20">
        <f>+'2011 IRP - Mar 2011'!H19</f>
        <v>8377</v>
      </c>
      <c r="N30" s="20">
        <f>+'2011 IRP - Mar 2011'!I19</f>
        <v>8544</v>
      </c>
      <c r="O30" s="20">
        <f>+'2011 IRP - Mar 2011'!J19</f>
        <v>8712</v>
      </c>
      <c r="P30" s="20">
        <f>+'2011 IRP - Mar 2011'!K19</f>
        <v>8896</v>
      </c>
      <c r="Q30" s="20"/>
      <c r="R30" s="20"/>
      <c r="S30" s="20"/>
      <c r="T30" s="20"/>
      <c r="U30" s="20"/>
    </row>
    <row r="31" spans="1:23" ht="14.25" customHeight="1" x14ac:dyDescent="0.25">
      <c r="A31" s="16" t="s">
        <v>117</v>
      </c>
      <c r="B31" s="7"/>
      <c r="C31" s="7"/>
      <c r="D31" s="20"/>
      <c r="E31" s="20"/>
      <c r="F31" s="20"/>
      <c r="G31" s="20">
        <f>+'2011 IRP - Mar 2011'!B41</f>
        <v>3266</v>
      </c>
      <c r="H31" s="20">
        <f>+'2011 IRP - Mar 2011'!C41</f>
        <v>3374</v>
      </c>
      <c r="I31" s="20">
        <f>+'2011 IRP - Mar 2011'!D41</f>
        <v>3395</v>
      </c>
      <c r="J31" s="20">
        <f>+'2011 IRP - Mar 2011'!E41</f>
        <v>3448</v>
      </c>
      <c r="K31" s="20">
        <f>+'2011 IRP - Mar 2011'!F41</f>
        <v>3491</v>
      </c>
      <c r="L31" s="20">
        <f>+'2011 IRP - Mar 2011'!G41</f>
        <v>3541</v>
      </c>
      <c r="M31" s="20">
        <f>+'2011 IRP - Mar 2011'!H41</f>
        <v>3583</v>
      </c>
      <c r="N31" s="20">
        <f>+'2011 IRP - Mar 2011'!I41</f>
        <v>3650</v>
      </c>
      <c r="O31" s="20">
        <f>+'2011 IRP - Mar 2011'!J41</f>
        <v>3666</v>
      </c>
      <c r="P31" s="20">
        <f>+'2011 IRP - Mar 2011'!K41</f>
        <v>3712</v>
      </c>
      <c r="Q31" s="20"/>
      <c r="R31" s="20"/>
      <c r="S31" s="20"/>
      <c r="T31" s="20"/>
      <c r="U31" s="20"/>
    </row>
    <row r="32" spans="1:23" ht="14.25" customHeight="1" x14ac:dyDescent="0.25">
      <c r="A32" s="16" t="s">
        <v>118</v>
      </c>
      <c r="B32" s="7"/>
      <c r="C32" s="7"/>
      <c r="D32" s="20"/>
      <c r="E32" s="20"/>
      <c r="F32" s="20"/>
      <c r="G32" s="20">
        <f>+G31+G30</f>
        <v>10450</v>
      </c>
      <c r="H32" s="20">
        <f t="shared" ref="H32:P32" si="5">+H31+H30</f>
        <v>10718</v>
      </c>
      <c r="I32" s="20">
        <f t="shared" si="5"/>
        <v>10961</v>
      </c>
      <c r="J32" s="20">
        <f t="shared" si="5"/>
        <v>11253</v>
      </c>
      <c r="K32" s="20">
        <f t="shared" si="5"/>
        <v>11500</v>
      </c>
      <c r="L32" s="20">
        <f t="shared" si="5"/>
        <v>11742</v>
      </c>
      <c r="M32" s="20">
        <f t="shared" si="5"/>
        <v>11960</v>
      </c>
      <c r="N32" s="20">
        <f t="shared" si="5"/>
        <v>12194</v>
      </c>
      <c r="O32" s="20">
        <f t="shared" si="5"/>
        <v>12378</v>
      </c>
      <c r="P32" s="20">
        <f t="shared" si="5"/>
        <v>12608</v>
      </c>
      <c r="Q32" s="20"/>
      <c r="R32" s="20"/>
      <c r="S32" s="20"/>
      <c r="T32" s="20"/>
      <c r="U32" s="20"/>
    </row>
    <row r="33" spans="1:21" x14ac:dyDescent="0.25">
      <c r="A33" s="16"/>
      <c r="B33" s="7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6"/>
      <c r="R33" s="20"/>
      <c r="S33" s="20"/>
      <c r="T33" s="20"/>
      <c r="U33" s="20"/>
    </row>
    <row r="34" spans="1:21" x14ac:dyDescent="0.25">
      <c r="A34" s="59" t="s">
        <v>83</v>
      </c>
      <c r="B34" s="7"/>
      <c r="C34" s="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6"/>
      <c r="R34" s="20"/>
      <c r="S34" s="20"/>
      <c r="T34" s="20"/>
      <c r="U34" s="20"/>
    </row>
    <row r="35" spans="1:21" x14ac:dyDescent="0.25">
      <c r="A35" s="16" t="s">
        <v>116</v>
      </c>
      <c r="B35" s="7"/>
      <c r="C35" s="7"/>
      <c r="D35" s="20"/>
      <c r="E35" s="20"/>
      <c r="F35" s="20"/>
      <c r="G35" s="20"/>
      <c r="H35" s="20">
        <f>+'2011 IRP Update'!B19</f>
        <v>6993</v>
      </c>
      <c r="I35" s="20">
        <f>+'2011 IRP Update'!C19</f>
        <v>7151</v>
      </c>
      <c r="J35" s="20">
        <f>+'2011 IRP Update'!D19</f>
        <v>7403</v>
      </c>
      <c r="K35" s="20">
        <f>+'2011 IRP Update'!E19</f>
        <v>7611</v>
      </c>
      <c r="L35" s="20">
        <f>+'2011 IRP Update'!F19</f>
        <v>7468</v>
      </c>
      <c r="M35" s="20">
        <f>+'2011 IRP Update'!G19</f>
        <v>7727</v>
      </c>
      <c r="N35" s="20">
        <f>+'2011 IRP Update'!H19</f>
        <v>7882</v>
      </c>
      <c r="O35" s="20">
        <f>+'2011 IRP Update'!I19</f>
        <v>8034</v>
      </c>
      <c r="P35" s="20">
        <f>+'2011 IRP Update'!J19</f>
        <v>8195</v>
      </c>
      <c r="Q35" s="20">
        <f>+'2011 IRP Update'!K19</f>
        <v>8360</v>
      </c>
      <c r="R35" s="20"/>
      <c r="S35" s="20"/>
      <c r="T35" s="20"/>
      <c r="U35" s="20"/>
    </row>
    <row r="36" spans="1:21" x14ac:dyDescent="0.25">
      <c r="A36" s="16" t="s">
        <v>117</v>
      </c>
      <c r="B36" s="7"/>
      <c r="C36" s="7"/>
      <c r="D36" s="20"/>
      <c r="E36" s="20"/>
      <c r="F36" s="20"/>
      <c r="G36" s="20"/>
      <c r="H36" s="20">
        <f>+'2011 IRP Update'!B41</f>
        <v>3183</v>
      </c>
      <c r="I36" s="20">
        <f>+'2011 IRP Update'!C41</f>
        <v>3267</v>
      </c>
      <c r="J36" s="20">
        <f>+'2011 IRP Update'!D41</f>
        <v>3332</v>
      </c>
      <c r="K36" s="20">
        <f>+'2011 IRP Update'!E41</f>
        <v>3374</v>
      </c>
      <c r="L36" s="20">
        <f>+'2011 IRP Update'!F41</f>
        <v>3414</v>
      </c>
      <c r="M36" s="20">
        <f>+'2011 IRP Update'!G41</f>
        <v>3474</v>
      </c>
      <c r="N36" s="20">
        <f>+'2011 IRP Update'!H41</f>
        <v>3512</v>
      </c>
      <c r="O36" s="20">
        <f>+'2011 IRP Update'!I41</f>
        <v>3544</v>
      </c>
      <c r="P36" s="20">
        <f>+'2011 IRP Update'!J41</f>
        <v>3582</v>
      </c>
      <c r="Q36" s="20">
        <f>+'2011 IRP Update'!K41</f>
        <v>3616</v>
      </c>
      <c r="R36" s="20"/>
      <c r="S36" s="20"/>
      <c r="T36" s="20"/>
      <c r="U36" s="20"/>
    </row>
    <row r="37" spans="1:21" x14ac:dyDescent="0.25">
      <c r="A37" s="16" t="s">
        <v>118</v>
      </c>
      <c r="B37" s="7"/>
      <c r="C37" s="7"/>
      <c r="D37" s="20"/>
      <c r="E37" s="20"/>
      <c r="F37" s="20"/>
      <c r="G37" s="20"/>
      <c r="H37" s="20">
        <f>+H36+H35</f>
        <v>10176</v>
      </c>
      <c r="I37" s="20">
        <f t="shared" ref="I37:Q37" si="6">+I36+I35</f>
        <v>10418</v>
      </c>
      <c r="J37" s="20">
        <f t="shared" si="6"/>
        <v>10735</v>
      </c>
      <c r="K37" s="20">
        <f t="shared" si="6"/>
        <v>10985</v>
      </c>
      <c r="L37" s="20">
        <f t="shared" si="6"/>
        <v>10882</v>
      </c>
      <c r="M37" s="20">
        <f t="shared" si="6"/>
        <v>11201</v>
      </c>
      <c r="N37" s="20">
        <f t="shared" si="6"/>
        <v>11394</v>
      </c>
      <c r="O37" s="20">
        <f t="shared" si="6"/>
        <v>11578</v>
      </c>
      <c r="P37" s="20">
        <f t="shared" si="6"/>
        <v>11777</v>
      </c>
      <c r="Q37" s="20">
        <f t="shared" si="6"/>
        <v>11976</v>
      </c>
      <c r="R37" s="20"/>
      <c r="S37" s="20"/>
      <c r="T37" s="20"/>
      <c r="U37" s="20"/>
    </row>
    <row r="38" spans="1:21" x14ac:dyDescent="0.25">
      <c r="A38" s="16"/>
      <c r="B38" s="7"/>
      <c r="C38" s="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x14ac:dyDescent="0.25">
      <c r="A39" s="49" t="s">
        <v>103</v>
      </c>
      <c r="B39" s="7"/>
      <c r="C39" s="7"/>
      <c r="D39" s="20"/>
      <c r="E39" s="20"/>
      <c r="F39" s="20"/>
      <c r="G39" s="20"/>
    </row>
    <row r="40" spans="1:21" x14ac:dyDescent="0.25">
      <c r="A40" s="16" t="s">
        <v>116</v>
      </c>
      <c r="B40" s="7"/>
      <c r="C40" s="7"/>
      <c r="D40" s="20"/>
      <c r="E40" s="20"/>
      <c r="F40" s="20"/>
      <c r="G40" s="20"/>
      <c r="H40" s="20"/>
      <c r="I40" s="6">
        <f>+'2013 IRP'!B19</f>
        <v>6920</v>
      </c>
      <c r="J40" s="6">
        <f>+'2013 IRP'!C19</f>
        <v>7061</v>
      </c>
      <c r="K40" s="6">
        <f>+'2013 IRP'!D19</f>
        <v>7188</v>
      </c>
      <c r="L40" s="6">
        <f>+'2013 IRP'!E19</f>
        <v>6994</v>
      </c>
      <c r="M40" s="6">
        <f>+'2013 IRP'!F19</f>
        <v>7105</v>
      </c>
      <c r="N40" s="6">
        <f>+'2013 IRP'!G19</f>
        <v>7217</v>
      </c>
      <c r="O40" s="6">
        <f>+'2013 IRP'!H19</f>
        <v>7337</v>
      </c>
      <c r="P40" s="6">
        <f>+'2013 IRP'!I19</f>
        <v>7455</v>
      </c>
      <c r="Q40" s="6">
        <f>+'2013 IRP'!J19</f>
        <v>7584</v>
      </c>
      <c r="R40" s="6">
        <f>+'2013 IRP'!K19</f>
        <v>7697</v>
      </c>
      <c r="S40" s="6"/>
      <c r="T40" s="6"/>
      <c r="U40" s="6"/>
    </row>
    <row r="41" spans="1:21" x14ac:dyDescent="0.25">
      <c r="A41" s="16" t="s">
        <v>117</v>
      </c>
      <c r="B41" s="7"/>
      <c r="C41" s="7"/>
      <c r="D41" s="20"/>
      <c r="E41" s="20"/>
      <c r="F41" s="20"/>
      <c r="G41" s="20"/>
      <c r="H41" s="20"/>
      <c r="I41" s="6">
        <f>+'2013 IRP'!B41</f>
        <v>3216</v>
      </c>
      <c r="J41" s="6">
        <f>+'2013 IRP'!C41</f>
        <v>3269</v>
      </c>
      <c r="K41" s="6">
        <f>+'2013 IRP'!D41</f>
        <v>3307</v>
      </c>
      <c r="L41" s="6">
        <f>+'2013 IRP'!E41</f>
        <v>3365</v>
      </c>
      <c r="M41" s="6">
        <f>+'2013 IRP'!F41</f>
        <v>3407</v>
      </c>
      <c r="N41" s="6">
        <f>+'2013 IRP'!G41</f>
        <v>3470</v>
      </c>
      <c r="O41" s="6">
        <f>+'2013 IRP'!H41</f>
        <v>3479</v>
      </c>
      <c r="P41" s="6">
        <f>+'2013 IRP'!I41</f>
        <v>3516</v>
      </c>
      <c r="Q41" s="6">
        <f>+'2013 IRP'!J41</f>
        <v>3549</v>
      </c>
      <c r="R41" s="6">
        <f>+'2013 IRP'!K41</f>
        <v>3583</v>
      </c>
      <c r="S41" s="6"/>
      <c r="T41" s="6"/>
      <c r="U41" s="6"/>
    </row>
    <row r="42" spans="1:21" x14ac:dyDescent="0.25">
      <c r="A42" s="16" t="s">
        <v>118</v>
      </c>
      <c r="B42" s="7"/>
      <c r="C42" s="7"/>
      <c r="D42" s="20"/>
      <c r="E42" s="20"/>
      <c r="F42" s="20"/>
      <c r="G42" s="20"/>
      <c r="H42" s="20"/>
      <c r="I42" s="6">
        <f>+I41+I40</f>
        <v>10136</v>
      </c>
      <c r="J42" s="6">
        <f t="shared" ref="J42:R42" si="7">+J41+J40</f>
        <v>10330</v>
      </c>
      <c r="K42" s="6">
        <f t="shared" si="7"/>
        <v>10495</v>
      </c>
      <c r="L42" s="6">
        <f t="shared" si="7"/>
        <v>10359</v>
      </c>
      <c r="M42" s="6">
        <f t="shared" si="7"/>
        <v>10512</v>
      </c>
      <c r="N42" s="6">
        <f t="shared" si="7"/>
        <v>10687</v>
      </c>
      <c r="O42" s="6">
        <f t="shared" si="7"/>
        <v>10816</v>
      </c>
      <c r="P42" s="6">
        <f t="shared" si="7"/>
        <v>10971</v>
      </c>
      <c r="Q42" s="6">
        <f t="shared" si="7"/>
        <v>11133</v>
      </c>
      <c r="R42" s="6">
        <f t="shared" si="7"/>
        <v>11280</v>
      </c>
      <c r="S42" s="6"/>
      <c r="T42" s="6"/>
      <c r="U42" s="6"/>
    </row>
    <row r="43" spans="1:21" x14ac:dyDescent="0.25">
      <c r="A43" s="49" t="s">
        <v>86</v>
      </c>
      <c r="B43" s="7"/>
      <c r="C43" s="7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25">
      <c r="A44" s="49" t="s">
        <v>105</v>
      </c>
      <c r="B44" s="7"/>
      <c r="C44" s="7"/>
      <c r="D44" s="20"/>
      <c r="E44" s="20"/>
      <c r="F44" s="20"/>
      <c r="G44" s="20"/>
      <c r="S44" s="20"/>
      <c r="T44" s="20"/>
      <c r="U44" s="20"/>
    </row>
    <row r="45" spans="1:21" x14ac:dyDescent="0.25">
      <c r="A45" s="16" t="s">
        <v>116</v>
      </c>
      <c r="B45" s="7"/>
      <c r="C45" s="7"/>
      <c r="D45" s="20"/>
      <c r="E45" s="20"/>
      <c r="F45" s="20"/>
      <c r="G45" s="20"/>
      <c r="H45" s="20"/>
      <c r="I45" s="6">
        <f>+'2013 IRP Apr 2013'!D19</f>
        <v>6920</v>
      </c>
      <c r="J45" s="6">
        <f>+'2013 IRP Apr 2013'!E19</f>
        <v>7061</v>
      </c>
      <c r="K45" s="6">
        <f>+'2013 IRP Apr 2013'!F19</f>
        <v>7188</v>
      </c>
      <c r="L45" s="6">
        <f>+'2013 IRP Apr 2013'!G19</f>
        <v>6994</v>
      </c>
      <c r="M45" s="6">
        <f>+'2013 IRP Apr 2013'!H19</f>
        <v>7105</v>
      </c>
      <c r="N45" s="6">
        <f>+'2013 IRP Apr 2013'!I19</f>
        <v>7217</v>
      </c>
      <c r="O45" s="6">
        <f>+'2013 IRP Apr 2013'!J19</f>
        <v>7337</v>
      </c>
      <c r="P45" s="6">
        <f>+'2013 IRP Apr 2013'!K19</f>
        <v>7455</v>
      </c>
      <c r="Q45" s="6">
        <f>+'2013 IRP Apr 2013'!L19</f>
        <v>7584</v>
      </c>
      <c r="R45" s="6">
        <f>+'2013 IRP Apr 2013'!M19</f>
        <v>7697</v>
      </c>
      <c r="S45" s="20"/>
      <c r="T45" s="20"/>
      <c r="U45" s="20"/>
    </row>
    <row r="46" spans="1:21" x14ac:dyDescent="0.25">
      <c r="A46" s="16" t="s">
        <v>117</v>
      </c>
      <c r="B46" s="7"/>
      <c r="C46" s="7"/>
      <c r="D46" s="20"/>
      <c r="E46" s="20"/>
      <c r="F46" s="20"/>
      <c r="G46" s="20"/>
      <c r="H46" s="20"/>
      <c r="I46" s="6">
        <f>+'2013 IRP Apr 2013'!D41</f>
        <v>3216</v>
      </c>
      <c r="J46" s="6">
        <f>+'2013 IRP Apr 2013'!E41</f>
        <v>3269</v>
      </c>
      <c r="K46" s="6">
        <f>+'2013 IRP Apr 2013'!F41</f>
        <v>3307</v>
      </c>
      <c r="L46" s="6">
        <f>+'2013 IRP Apr 2013'!G41</f>
        <v>3365</v>
      </c>
      <c r="M46" s="6">
        <f>+'2013 IRP Apr 2013'!H41</f>
        <v>3407</v>
      </c>
      <c r="N46" s="6">
        <f>+'2013 IRP Apr 2013'!I41</f>
        <v>3470</v>
      </c>
      <c r="O46" s="6">
        <f>+'2013 IRP Apr 2013'!J41</f>
        <v>3479</v>
      </c>
      <c r="P46" s="6">
        <f>+'2013 IRP Apr 2013'!K41</f>
        <v>3516</v>
      </c>
      <c r="Q46" s="6">
        <f>+'2013 IRP Apr 2013'!L41</f>
        <v>3549</v>
      </c>
      <c r="R46" s="6">
        <f>+'2013 IRP Apr 2013'!M41</f>
        <v>3583</v>
      </c>
      <c r="S46" s="20"/>
      <c r="T46" s="20"/>
      <c r="U46" s="20"/>
    </row>
    <row r="47" spans="1:21" x14ac:dyDescent="0.25">
      <c r="A47" s="16" t="s">
        <v>118</v>
      </c>
      <c r="B47" s="7"/>
      <c r="C47" s="7"/>
      <c r="D47" s="20"/>
      <c r="E47" s="20"/>
      <c r="F47" s="20"/>
      <c r="G47" s="20"/>
      <c r="H47" s="20"/>
      <c r="I47" s="6">
        <f>+I46+I45</f>
        <v>10136</v>
      </c>
      <c r="J47" s="6">
        <f t="shared" ref="J47:R47" si="8">+J46+J45</f>
        <v>10330</v>
      </c>
      <c r="K47" s="6">
        <f t="shared" si="8"/>
        <v>10495</v>
      </c>
      <c r="L47" s="6">
        <f t="shared" si="8"/>
        <v>10359</v>
      </c>
      <c r="M47" s="6">
        <f t="shared" si="8"/>
        <v>10512</v>
      </c>
      <c r="N47" s="6">
        <f t="shared" si="8"/>
        <v>10687</v>
      </c>
      <c r="O47" s="6">
        <f t="shared" si="8"/>
        <v>10816</v>
      </c>
      <c r="P47" s="6">
        <f t="shared" si="8"/>
        <v>10971</v>
      </c>
      <c r="Q47" s="6">
        <f t="shared" si="8"/>
        <v>11133</v>
      </c>
      <c r="R47" s="6">
        <f t="shared" si="8"/>
        <v>11280</v>
      </c>
      <c r="S47" s="20"/>
      <c r="T47" s="20"/>
      <c r="U47" s="20"/>
    </row>
    <row r="48" spans="1:21" hidden="1" x14ac:dyDescent="0.25">
      <c r="A48" s="16" t="s">
        <v>104</v>
      </c>
      <c r="B48" s="7"/>
      <c r="C48" s="7"/>
      <c r="D48" s="20"/>
      <c r="E48" s="20"/>
      <c r="F48" s="20"/>
      <c r="G48" s="20"/>
      <c r="H48" s="20"/>
      <c r="I48" s="20">
        <v>11962</v>
      </c>
      <c r="J48" s="20">
        <v>11719</v>
      </c>
      <c r="K48" s="20">
        <v>11595</v>
      </c>
      <c r="L48" s="20">
        <v>11145</v>
      </c>
      <c r="M48" s="20">
        <v>11013</v>
      </c>
      <c r="N48" s="20">
        <v>11010</v>
      </c>
      <c r="O48" s="20">
        <v>10944</v>
      </c>
      <c r="P48" s="20">
        <v>10946</v>
      </c>
      <c r="Q48" s="20">
        <v>10840</v>
      </c>
      <c r="R48" s="20">
        <v>10773</v>
      </c>
      <c r="S48" s="20"/>
      <c r="T48" s="20"/>
      <c r="U48" s="20"/>
    </row>
    <row r="49" spans="1:21" x14ac:dyDescent="0.25">
      <c r="A49" s="16"/>
      <c r="B49" s="7"/>
      <c r="C49" s="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25">
      <c r="A50" s="49" t="s">
        <v>108</v>
      </c>
      <c r="B50" s="7"/>
      <c r="C50" s="7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5">
      <c r="A51" s="16" t="s">
        <v>116</v>
      </c>
      <c r="B51" s="7"/>
      <c r="C51" s="7"/>
      <c r="D51" s="20"/>
      <c r="E51" s="20"/>
      <c r="F51" s="20"/>
      <c r="G51" s="20"/>
      <c r="H51" s="20"/>
      <c r="I51" s="20"/>
      <c r="J51" s="20">
        <f>+'2013 IRP Update'!D19</f>
        <v>6810</v>
      </c>
      <c r="K51" s="20">
        <f>+'2013 IRP Update'!E19</f>
        <v>6930</v>
      </c>
      <c r="L51" s="20">
        <f>+'2013 IRP Update'!F19</f>
        <v>6792</v>
      </c>
      <c r="M51" s="20">
        <f>+'2013 IRP Update'!G19</f>
        <v>6916</v>
      </c>
      <c r="N51" s="20">
        <f>+'2013 IRP Update'!H19</f>
        <v>7028</v>
      </c>
      <c r="O51" s="20">
        <f>+'2013 IRP Update'!I19</f>
        <v>7133</v>
      </c>
      <c r="P51" s="20">
        <f>+'2013 IRP Update'!J19</f>
        <v>7395</v>
      </c>
      <c r="Q51" s="20">
        <f>+'2013 IRP Update'!K19</f>
        <v>7517</v>
      </c>
      <c r="R51" s="20">
        <f>+'2013 IRP Update'!L19</f>
        <v>7635</v>
      </c>
      <c r="S51" s="20">
        <f>+'2013 IRP Update'!M19</f>
        <v>7757</v>
      </c>
      <c r="T51" s="20"/>
      <c r="U51" s="20"/>
    </row>
    <row r="52" spans="1:21" x14ac:dyDescent="0.25">
      <c r="A52" s="16" t="s">
        <v>117</v>
      </c>
      <c r="B52" s="7"/>
      <c r="C52" s="7"/>
      <c r="D52" s="20"/>
      <c r="E52" s="20"/>
      <c r="F52" s="20"/>
      <c r="G52" s="20"/>
      <c r="H52" s="20"/>
      <c r="I52" s="20"/>
      <c r="J52" s="20">
        <f>+'2013 IRP Update'!D41</f>
        <v>3174</v>
      </c>
      <c r="K52" s="20">
        <f>+'2013 IRP Update'!E41</f>
        <v>3221</v>
      </c>
      <c r="L52" s="20">
        <f>+'2013 IRP Update'!F41</f>
        <v>3251</v>
      </c>
      <c r="M52" s="20">
        <f>+'2013 IRP Update'!G41</f>
        <v>3294</v>
      </c>
      <c r="N52" s="20">
        <f>+'2013 IRP Update'!H41</f>
        <v>3325</v>
      </c>
      <c r="O52" s="20">
        <f>+'2013 IRP Update'!I41</f>
        <v>3349</v>
      </c>
      <c r="P52" s="20">
        <f>+'2013 IRP Update'!J41</f>
        <v>3382</v>
      </c>
      <c r="Q52" s="20">
        <f>+'2013 IRP Update'!K41</f>
        <v>3412</v>
      </c>
      <c r="R52" s="20">
        <f>+'2013 IRP Update'!L41</f>
        <v>3442</v>
      </c>
      <c r="S52" s="20">
        <f>+'2013 IRP Update'!M41</f>
        <v>3475</v>
      </c>
      <c r="T52" s="20"/>
      <c r="U52" s="20"/>
    </row>
    <row r="53" spans="1:21" x14ac:dyDescent="0.25">
      <c r="A53" s="16" t="s">
        <v>118</v>
      </c>
      <c r="B53" s="7"/>
      <c r="C53" s="7"/>
      <c r="D53" s="20"/>
      <c r="E53" s="20"/>
      <c r="F53" s="20"/>
      <c r="G53" s="20"/>
      <c r="H53" s="20"/>
      <c r="I53" s="20"/>
      <c r="J53" s="20">
        <f>+J52+J51</f>
        <v>9984</v>
      </c>
      <c r="K53" s="20">
        <f t="shared" ref="K53:S53" si="9">+K52+K51</f>
        <v>10151</v>
      </c>
      <c r="L53" s="20">
        <f t="shared" si="9"/>
        <v>10043</v>
      </c>
      <c r="M53" s="20">
        <f t="shared" si="9"/>
        <v>10210</v>
      </c>
      <c r="N53" s="20">
        <f t="shared" si="9"/>
        <v>10353</v>
      </c>
      <c r="O53" s="20">
        <f t="shared" si="9"/>
        <v>10482</v>
      </c>
      <c r="P53" s="20">
        <f t="shared" si="9"/>
        <v>10777</v>
      </c>
      <c r="Q53" s="20">
        <f t="shared" si="9"/>
        <v>10929</v>
      </c>
      <c r="R53" s="20">
        <f t="shared" si="9"/>
        <v>11077</v>
      </c>
      <c r="S53" s="20">
        <f t="shared" si="9"/>
        <v>11232</v>
      </c>
      <c r="T53" s="20"/>
      <c r="U53" s="20"/>
    </row>
    <row r="54" spans="1:21" x14ac:dyDescent="0.25">
      <c r="A54" s="16"/>
      <c r="B54" s="7"/>
      <c r="C54" s="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x14ac:dyDescent="0.25">
      <c r="A55" s="49" t="s">
        <v>110</v>
      </c>
      <c r="B55" s="7"/>
      <c r="C55" s="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x14ac:dyDescent="0.25">
      <c r="A56" s="16" t="s">
        <v>116</v>
      </c>
      <c r="B56" s="7"/>
      <c r="C56" s="7"/>
      <c r="D56" s="20"/>
      <c r="E56" s="20"/>
      <c r="F56" s="20"/>
      <c r="G56" s="20"/>
      <c r="H56" s="20"/>
      <c r="I56" s="20"/>
      <c r="K56" s="20">
        <f>+'2015 IRP'!D20</f>
        <v>7157</v>
      </c>
      <c r="L56" s="20">
        <f>+'2015 IRP'!E20</f>
        <v>6977</v>
      </c>
      <c r="M56" s="20">
        <f>+'2015 IRP'!F20</f>
        <v>7102</v>
      </c>
      <c r="N56" s="20">
        <f>+'2015 IRP'!G20</f>
        <v>7208</v>
      </c>
      <c r="O56" s="20">
        <f>+'2015 IRP'!H20</f>
        <v>7295</v>
      </c>
      <c r="P56" s="20">
        <f>+'2015 IRP'!I20</f>
        <v>7382</v>
      </c>
      <c r="Q56" s="20">
        <f>+'2015 IRP'!J20</f>
        <v>7448</v>
      </c>
      <c r="R56" s="20">
        <f>+'2015 IRP'!K20</f>
        <v>7529</v>
      </c>
      <c r="S56" s="20">
        <f>+'2015 IRP'!L20</f>
        <v>7617</v>
      </c>
      <c r="T56" s="20">
        <f>+'2015 IRP'!M20</f>
        <v>7640</v>
      </c>
      <c r="U56" s="20"/>
    </row>
    <row r="57" spans="1:21" x14ac:dyDescent="0.25">
      <c r="A57" s="16" t="s">
        <v>117</v>
      </c>
      <c r="B57" s="7"/>
      <c r="C57" s="7"/>
      <c r="D57" s="20"/>
      <c r="E57" s="20"/>
      <c r="F57" s="20"/>
      <c r="G57" s="20"/>
      <c r="H57" s="20"/>
      <c r="I57" s="20"/>
      <c r="K57" s="20">
        <f>+'2015 IRP'!D43</f>
        <v>3206</v>
      </c>
      <c r="L57" s="20">
        <f>+'2015 IRP'!E43</f>
        <v>3237</v>
      </c>
      <c r="M57" s="20">
        <f>+'2015 IRP'!F43</f>
        <v>3271</v>
      </c>
      <c r="N57" s="20">
        <f>+'2015 IRP'!G43</f>
        <v>3301</v>
      </c>
      <c r="O57" s="20">
        <f>+'2015 IRP'!H43</f>
        <v>3323</v>
      </c>
      <c r="P57" s="20">
        <f>+'2015 IRP'!I43</f>
        <v>3354</v>
      </c>
      <c r="Q57" s="20">
        <f>+'2015 IRP'!J43</f>
        <v>3406</v>
      </c>
      <c r="R57" s="20">
        <f>+'2015 IRP'!K43</f>
        <v>3429</v>
      </c>
      <c r="S57" s="20">
        <f>+'2015 IRP'!L43</f>
        <v>3455</v>
      </c>
      <c r="T57" s="20">
        <f>+'2015 IRP'!M43</f>
        <v>3476</v>
      </c>
      <c r="U57" s="20"/>
    </row>
    <row r="58" spans="1:21" x14ac:dyDescent="0.25">
      <c r="A58" s="16" t="s">
        <v>118</v>
      </c>
      <c r="B58" s="7"/>
      <c r="C58" s="7"/>
      <c r="D58" s="20"/>
      <c r="E58" s="20"/>
      <c r="F58" s="20"/>
      <c r="G58" s="20"/>
      <c r="H58" s="20"/>
      <c r="I58" s="20"/>
      <c r="K58" s="20">
        <f>+K57+K56</f>
        <v>10363</v>
      </c>
      <c r="L58" s="20">
        <f t="shared" ref="L58:T58" si="10">+L57+L56</f>
        <v>10214</v>
      </c>
      <c r="M58" s="20">
        <f t="shared" si="10"/>
        <v>10373</v>
      </c>
      <c r="N58" s="20">
        <f t="shared" si="10"/>
        <v>10509</v>
      </c>
      <c r="O58" s="20">
        <f t="shared" si="10"/>
        <v>10618</v>
      </c>
      <c r="P58" s="20">
        <f t="shared" si="10"/>
        <v>10736</v>
      </c>
      <c r="Q58" s="20">
        <f t="shared" si="10"/>
        <v>10854</v>
      </c>
      <c r="R58" s="20">
        <f t="shared" si="10"/>
        <v>10958</v>
      </c>
      <c r="S58" s="20">
        <f t="shared" si="10"/>
        <v>11072</v>
      </c>
      <c r="T58" s="20">
        <f t="shared" si="10"/>
        <v>11116</v>
      </c>
      <c r="U58" s="20"/>
    </row>
    <row r="59" spans="1:21" x14ac:dyDescent="0.25">
      <c r="A59" s="16"/>
      <c r="B59" s="7"/>
      <c r="C59" s="7"/>
      <c r="D59" s="20"/>
      <c r="E59" s="20"/>
      <c r="F59" s="20"/>
      <c r="G59" s="20"/>
      <c r="H59" s="20"/>
      <c r="I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25">
      <c r="A60" s="49" t="s">
        <v>125</v>
      </c>
      <c r="B60" s="7"/>
      <c r="C60" s="7"/>
      <c r="D60" s="20"/>
      <c r="E60" s="20"/>
      <c r="F60" s="20"/>
      <c r="G60" s="20"/>
      <c r="H60" s="20"/>
      <c r="I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x14ac:dyDescent="0.25">
      <c r="A61" s="16" t="str">
        <f>+A56</f>
        <v>EAST  LOAD</v>
      </c>
      <c r="B61" s="7"/>
      <c r="C61" s="7"/>
      <c r="D61" s="20"/>
      <c r="E61" s="20"/>
      <c r="F61" s="20"/>
      <c r="G61" s="20"/>
      <c r="H61" s="20"/>
      <c r="I61" s="20"/>
      <c r="K61" s="20"/>
      <c r="L61" s="20">
        <f>+'2015 IRP Update'!D20</f>
        <v>6963</v>
      </c>
      <c r="M61" s="20">
        <f>+'2015 IRP Update'!E20</f>
        <v>7084</v>
      </c>
      <c r="N61" s="20">
        <f>+'2015 IRP Update'!F20</f>
        <v>7235</v>
      </c>
      <c r="O61" s="20">
        <f>+'2015 IRP Update'!G20</f>
        <v>7359</v>
      </c>
      <c r="P61" s="20">
        <f>+'2015 IRP Update'!H20</f>
        <v>7447</v>
      </c>
      <c r="Q61" s="20">
        <f>+'2015 IRP Update'!I20</f>
        <v>7548</v>
      </c>
      <c r="R61" s="20">
        <f>+'2015 IRP Update'!J20</f>
        <v>7637</v>
      </c>
      <c r="S61" s="20">
        <f>+'2015 IRP Update'!K20</f>
        <v>7717</v>
      </c>
      <c r="T61" s="20">
        <f>+'2015 IRP Update'!L20</f>
        <v>7809</v>
      </c>
      <c r="U61" s="20">
        <f>+'2015 IRP Update'!M20</f>
        <v>7880</v>
      </c>
    </row>
    <row r="62" spans="1:21" x14ac:dyDescent="0.25">
      <c r="A62" s="16" t="str">
        <f>+A57</f>
        <v>WEST LOAD</v>
      </c>
      <c r="B62" s="7"/>
      <c r="C62" s="7"/>
      <c r="D62" s="20"/>
      <c r="E62" s="20"/>
      <c r="F62" s="20"/>
      <c r="G62" s="20"/>
      <c r="H62" s="20"/>
      <c r="I62" s="20"/>
      <c r="K62" s="20"/>
      <c r="L62" s="20">
        <f>+'2015 IRP Update'!D44</f>
        <v>3206</v>
      </c>
      <c r="M62" s="20">
        <f>+'2015 IRP Update'!E44</f>
        <v>3199</v>
      </c>
      <c r="N62" s="20">
        <f>+'2015 IRP Update'!F44</f>
        <v>3235</v>
      </c>
      <c r="O62" s="20">
        <f>+'2015 IRP Update'!G44</f>
        <v>3256</v>
      </c>
      <c r="P62" s="20">
        <f>+'2015 IRP Update'!H44</f>
        <v>3276</v>
      </c>
      <c r="Q62" s="20">
        <f>+'2015 IRP Update'!I44</f>
        <v>3294</v>
      </c>
      <c r="R62" s="20">
        <f>+'2015 IRP Update'!J44</f>
        <v>3313</v>
      </c>
      <c r="S62" s="20">
        <f>+'2015 IRP Update'!K44</f>
        <v>3332</v>
      </c>
      <c r="T62" s="20">
        <f>+'2015 IRP Update'!L44</f>
        <v>3346</v>
      </c>
      <c r="U62" s="20">
        <f>+'2015 IRP Update'!M44</f>
        <v>3373</v>
      </c>
    </row>
    <row r="63" spans="1:21" x14ac:dyDescent="0.25">
      <c r="A63" s="16" t="str">
        <f>+A58</f>
        <v>TOTAL LOAD</v>
      </c>
      <c r="B63" s="7"/>
      <c r="C63" s="7"/>
      <c r="D63" s="20"/>
      <c r="E63" s="20"/>
      <c r="F63" s="20"/>
      <c r="G63" s="20"/>
      <c r="H63" s="20"/>
      <c r="I63" s="20"/>
      <c r="K63" s="20"/>
      <c r="L63" s="20">
        <f>+L62+L61</f>
        <v>10169</v>
      </c>
      <c r="M63" s="20">
        <f t="shared" ref="M63:U63" si="11">+M62+M61</f>
        <v>10283</v>
      </c>
      <c r="N63" s="20">
        <f t="shared" si="11"/>
        <v>10470</v>
      </c>
      <c r="O63" s="20">
        <f t="shared" si="11"/>
        <v>10615</v>
      </c>
      <c r="P63" s="20">
        <f t="shared" si="11"/>
        <v>10723</v>
      </c>
      <c r="Q63" s="20">
        <f t="shared" si="11"/>
        <v>10842</v>
      </c>
      <c r="R63" s="20">
        <f t="shared" si="11"/>
        <v>10950</v>
      </c>
      <c r="S63" s="20">
        <f t="shared" si="11"/>
        <v>11049</v>
      </c>
      <c r="T63" s="20">
        <f t="shared" si="11"/>
        <v>11155</v>
      </c>
      <c r="U63" s="20">
        <f t="shared" si="11"/>
        <v>11253</v>
      </c>
    </row>
    <row r="64" spans="1:21" x14ac:dyDescent="0.25">
      <c r="A64" s="16"/>
      <c r="B64" s="7"/>
      <c r="C64" s="7"/>
      <c r="D64" s="20"/>
      <c r="E64" s="20"/>
      <c r="F64" s="20"/>
      <c r="G64" s="20"/>
      <c r="H64" s="20"/>
      <c r="I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2" x14ac:dyDescent="0.25">
      <c r="A65" s="49" t="s">
        <v>135</v>
      </c>
      <c r="B65" s="7"/>
      <c r="C65" s="7"/>
      <c r="D65" s="20"/>
      <c r="E65" s="20"/>
      <c r="F65" s="20"/>
      <c r="G65" s="20"/>
      <c r="H65" s="20"/>
      <c r="I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2" x14ac:dyDescent="0.25">
      <c r="A66" s="16" t="str">
        <f>+A61</f>
        <v>EAST  LOAD</v>
      </c>
      <c r="B66" s="7"/>
      <c r="C66" s="7"/>
      <c r="D66" s="20"/>
      <c r="E66" s="20"/>
      <c r="F66" s="20"/>
      <c r="G66" s="20"/>
      <c r="H66" s="20"/>
      <c r="I66" s="20"/>
      <c r="K66" s="20"/>
      <c r="L66" s="20"/>
      <c r="M66" s="20">
        <f>+'2017 IRP'!D20</f>
        <v>7011</v>
      </c>
      <c r="N66" s="20">
        <f>+'2017 IRP'!E20</f>
        <v>7100</v>
      </c>
      <c r="O66" s="20">
        <f>+'2017 IRP'!F20</f>
        <v>7191</v>
      </c>
      <c r="P66" s="20">
        <f>+'2017 IRP'!G20</f>
        <v>7248</v>
      </c>
      <c r="Q66" s="20">
        <f>+'2017 IRP'!H20</f>
        <v>7350</v>
      </c>
      <c r="R66" s="20">
        <f>+'2017 IRP'!I20</f>
        <v>7439</v>
      </c>
      <c r="S66" s="20">
        <f>+'2017 IRP'!J20</f>
        <v>7505</v>
      </c>
      <c r="T66" s="20">
        <f>+'2017 IRP'!K20</f>
        <v>7584</v>
      </c>
      <c r="U66" s="20">
        <f>+'2017 IRP'!L20</f>
        <v>7684</v>
      </c>
      <c r="V66" s="20">
        <f>+'2017 IRP'!M20</f>
        <v>7687</v>
      </c>
    </row>
    <row r="67" spans="1:22" x14ac:dyDescent="0.25">
      <c r="A67" s="16" t="str">
        <f>+A62</f>
        <v>WEST LOAD</v>
      </c>
      <c r="B67" s="7"/>
      <c r="C67" s="7"/>
      <c r="D67" s="20"/>
      <c r="E67" s="20"/>
      <c r="F67" s="20"/>
      <c r="G67" s="20"/>
      <c r="H67" s="20"/>
      <c r="I67" s="20"/>
      <c r="K67" s="20"/>
      <c r="L67" s="20"/>
      <c r="M67" s="20">
        <f>+'2017 IRP'!D45</f>
        <v>3156</v>
      </c>
      <c r="N67" s="20">
        <f>+'2017 IRP'!E45</f>
        <v>3186</v>
      </c>
      <c r="O67" s="20">
        <f>+'2017 IRP'!F45</f>
        <v>3210</v>
      </c>
      <c r="P67" s="20">
        <f>+'2017 IRP'!G45</f>
        <v>3259</v>
      </c>
      <c r="Q67" s="20">
        <f>+'2017 IRP'!H45</f>
        <v>3280</v>
      </c>
      <c r="R67" s="20">
        <f>+'2017 IRP'!I45</f>
        <v>3303</v>
      </c>
      <c r="S67" s="20">
        <f>+'2017 IRP'!J45</f>
        <v>3325</v>
      </c>
      <c r="T67" s="20">
        <f>+'2017 IRP'!K45</f>
        <v>3350</v>
      </c>
      <c r="U67" s="20">
        <f>+'2017 IRP'!L45</f>
        <v>3374</v>
      </c>
      <c r="V67" s="20">
        <f>+'2017 IRP'!M45</f>
        <v>3395</v>
      </c>
    </row>
    <row r="68" spans="1:22" x14ac:dyDescent="0.25">
      <c r="A68" s="16" t="str">
        <f>+A63</f>
        <v>TOTAL LOAD</v>
      </c>
      <c r="B68" s="7"/>
      <c r="C68" s="7"/>
      <c r="D68" s="20"/>
      <c r="E68" s="20"/>
      <c r="F68" s="20"/>
      <c r="G68" s="20"/>
      <c r="H68" s="20"/>
      <c r="I68" s="20"/>
      <c r="K68" s="20"/>
      <c r="L68" s="20"/>
      <c r="M68" s="20">
        <f>+M67+M66</f>
        <v>10167</v>
      </c>
      <c r="N68" s="20">
        <f t="shared" ref="N68:V68" si="12">+N67+N66</f>
        <v>10286</v>
      </c>
      <c r="O68" s="20">
        <f t="shared" si="12"/>
        <v>10401</v>
      </c>
      <c r="P68" s="20">
        <f t="shared" si="12"/>
        <v>10507</v>
      </c>
      <c r="Q68" s="20">
        <f t="shared" si="12"/>
        <v>10630</v>
      </c>
      <c r="R68" s="20">
        <f t="shared" si="12"/>
        <v>10742</v>
      </c>
      <c r="S68" s="20">
        <f t="shared" si="12"/>
        <v>10830</v>
      </c>
      <c r="T68" s="20">
        <f t="shared" si="12"/>
        <v>10934</v>
      </c>
      <c r="U68" s="20">
        <f t="shared" si="12"/>
        <v>11058</v>
      </c>
      <c r="V68" s="20">
        <f t="shared" si="12"/>
        <v>11082</v>
      </c>
    </row>
    <row r="69" spans="1:22" x14ac:dyDescent="0.25">
      <c r="A69" s="16"/>
      <c r="B69" s="7"/>
      <c r="C69" s="7"/>
      <c r="D69" s="20"/>
      <c r="E69" s="20"/>
      <c r="F69" s="20"/>
      <c r="G69" s="20"/>
      <c r="H69" s="20"/>
      <c r="I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2" x14ac:dyDescent="0.25">
      <c r="A70" s="16"/>
      <c r="B70" s="7"/>
      <c r="C70" s="7"/>
      <c r="D70" s="20"/>
      <c r="E70" s="20"/>
      <c r="F70" s="20"/>
      <c r="G70" s="20"/>
      <c r="H70" s="20"/>
      <c r="I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2" x14ac:dyDescent="0.25">
      <c r="A71" s="16"/>
      <c r="B71" s="7"/>
      <c r="C71" s="7"/>
      <c r="D71" s="20"/>
      <c r="E71" s="20"/>
      <c r="F71" s="20"/>
      <c r="G71" s="20"/>
      <c r="H71" s="20"/>
      <c r="I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2" x14ac:dyDescent="0.25">
      <c r="A72" s="16"/>
      <c r="B72" s="7"/>
      <c r="C72" s="7"/>
      <c r="D72" s="20"/>
      <c r="E72" s="20"/>
      <c r="F72" s="20"/>
      <c r="G72" s="20"/>
      <c r="H72" s="20"/>
      <c r="I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2" ht="15.75" thickBot="1" x14ac:dyDescent="0.3">
      <c r="A73" s="16"/>
      <c r="B73" s="7"/>
      <c r="C73" s="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2" ht="16.5" thickBot="1" x14ac:dyDescent="0.3">
      <c r="A74" s="79" t="s">
        <v>57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1"/>
      <c r="S74" s="58"/>
      <c r="T74" s="58"/>
      <c r="U74" s="58"/>
    </row>
    <row r="75" spans="1:22" ht="18.75" hidden="1" x14ac:dyDescent="0.3">
      <c r="A75" s="16" t="str">
        <f>+A4</f>
        <v>2004 IRP UPDATE</v>
      </c>
      <c r="B75" s="11"/>
      <c r="C75" s="11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7"/>
      <c r="T75" s="7"/>
      <c r="U75" s="7"/>
    </row>
    <row r="76" spans="1:22" hidden="1" x14ac:dyDescent="0.25">
      <c r="A76" s="16" t="str">
        <f>+A7</f>
        <v>Total Resources</v>
      </c>
      <c r="B76" s="21"/>
      <c r="C76" s="22">
        <f>(+C7-B7)/B7</f>
        <v>3.4196891191709843E-2</v>
      </c>
      <c r="D76" s="22">
        <f t="shared" ref="D76:J76" si="13">(+D7-C7)/C7</f>
        <v>-2.6853707414829658E-2</v>
      </c>
      <c r="E76" s="22">
        <f t="shared" si="13"/>
        <v>3.5523064250411865E-2</v>
      </c>
      <c r="F76" s="22">
        <f t="shared" si="13"/>
        <v>2.6250372874614698E-2</v>
      </c>
      <c r="G76" s="22">
        <f t="shared" si="13"/>
        <v>2.9066950876853018E-2</v>
      </c>
      <c r="H76" s="30">
        <f>(+H7-G7)/G7</f>
        <v>2.2690895395913756E-2</v>
      </c>
      <c r="I76" s="22">
        <f t="shared" si="13"/>
        <v>3.0841465660099428E-2</v>
      </c>
      <c r="J76" s="22">
        <f t="shared" si="13"/>
        <v>3.0543895686344556E-2</v>
      </c>
      <c r="K76" s="22">
        <f>(+K7-J7)/J7</f>
        <v>2.9118641130080596E-2</v>
      </c>
      <c r="L76" s="22"/>
      <c r="M76" s="7"/>
      <c r="N76" s="7"/>
      <c r="O76" s="7"/>
      <c r="P76" s="7"/>
      <c r="Q76" s="7"/>
      <c r="R76" s="15"/>
      <c r="S76" s="7"/>
      <c r="T76" s="7"/>
      <c r="U76" s="7"/>
    </row>
    <row r="77" spans="1:22" ht="18.75" hidden="1" x14ac:dyDescent="0.3">
      <c r="A77" s="16"/>
      <c r="B77" s="11"/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7"/>
      <c r="T77" s="7"/>
      <c r="U77" s="7"/>
    </row>
    <row r="78" spans="1:22" ht="18.75" hidden="1" x14ac:dyDescent="0.3">
      <c r="A78" s="16" t="str">
        <f>+A9</f>
        <v>2007 IRP - SYSTEM TOTAL</v>
      </c>
      <c r="B78" s="7"/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7"/>
      <c r="T78" s="7"/>
      <c r="U78" s="7"/>
    </row>
    <row r="79" spans="1:22" hidden="1" x14ac:dyDescent="0.25">
      <c r="A79" s="16" t="str">
        <f>+A12</f>
        <v>TOTAL LOAD</v>
      </c>
      <c r="B79" s="7"/>
      <c r="C79" s="22"/>
      <c r="D79" s="22">
        <f t="shared" ref="D79:L79" si="14">(+D12-C12)/C12</f>
        <v>2.1205236395109812E-2</v>
      </c>
      <c r="E79" s="22">
        <f t="shared" si="14"/>
        <v>3.3160292403856338E-2</v>
      </c>
      <c r="F79" s="22">
        <f t="shared" si="14"/>
        <v>5.219442165709598E-2</v>
      </c>
      <c r="G79" s="22">
        <f t="shared" si="14"/>
        <v>2.2122600136438943E-2</v>
      </c>
      <c r="H79" s="30">
        <f t="shared" si="14"/>
        <v>3.3085430968726161E-2</v>
      </c>
      <c r="I79" s="22">
        <f t="shared" si="14"/>
        <v>1.4213197969543147E-2</v>
      </c>
      <c r="J79" s="22">
        <f t="shared" si="14"/>
        <v>1.5288015288015287E-2</v>
      </c>
      <c r="K79" s="22">
        <f t="shared" si="14"/>
        <v>1.2548176032983777E-2</v>
      </c>
      <c r="L79" s="22">
        <f t="shared" si="14"/>
        <v>2.8414623351332213E-2</v>
      </c>
      <c r="M79" s="7"/>
      <c r="N79" s="7"/>
      <c r="O79" s="7"/>
      <c r="P79" s="7"/>
      <c r="Q79" s="7"/>
      <c r="R79" s="15"/>
      <c r="S79" s="7"/>
      <c r="T79" s="7"/>
      <c r="U79" s="7"/>
    </row>
    <row r="80" spans="1:22" ht="18.75" hidden="1" x14ac:dyDescent="0.3">
      <c r="A80" s="16"/>
      <c r="B80" s="7"/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7"/>
      <c r="T80" s="7"/>
      <c r="U80" s="7"/>
    </row>
    <row r="81" spans="1:21" hidden="1" x14ac:dyDescent="0.25">
      <c r="A81" s="16" t="str">
        <f>+A14</f>
        <v>2007 IRP UPDATE - June 11, 2008 - SYSTEM TOTAL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7"/>
      <c r="T81" s="7"/>
      <c r="U81" s="7"/>
    </row>
    <row r="82" spans="1:21" hidden="1" x14ac:dyDescent="0.25">
      <c r="A82" s="16" t="str">
        <f>+A17</f>
        <v>TOTAL LOAD</v>
      </c>
      <c r="B82" s="7"/>
      <c r="C82" s="22"/>
      <c r="D82" s="22"/>
      <c r="E82" s="22">
        <f t="shared" ref="E82:M82" si="15">(+E17-D17)/D17</f>
        <v>2.9974424552429667E-2</v>
      </c>
      <c r="F82" s="22">
        <f t="shared" si="15"/>
        <v>2.0758839888756455E-2</v>
      </c>
      <c r="G82" s="22">
        <f t="shared" si="15"/>
        <v>1.6444487690960397E-2</v>
      </c>
      <c r="H82" s="30">
        <f t="shared" si="15"/>
        <v>2.8623396515412597E-2</v>
      </c>
      <c r="I82" s="22">
        <f t="shared" si="15"/>
        <v>2.5686365751512331E-2</v>
      </c>
      <c r="J82" s="22">
        <f t="shared" si="15"/>
        <v>1.9780419199709645E-2</v>
      </c>
      <c r="K82" s="22">
        <f t="shared" si="15"/>
        <v>1.05881306166029E-2</v>
      </c>
      <c r="L82" s="22">
        <f t="shared" si="15"/>
        <v>2.0514175030815283E-2</v>
      </c>
      <c r="M82" s="22">
        <f t="shared" si="15"/>
        <v>1.4407730135449917E-2</v>
      </c>
      <c r="N82" s="22"/>
      <c r="O82" s="7"/>
      <c r="P82" s="7"/>
      <c r="Q82" s="7"/>
      <c r="R82" s="15"/>
      <c r="S82" s="7"/>
      <c r="T82" s="7"/>
      <c r="U82" s="7"/>
    </row>
    <row r="83" spans="1:21" hidden="1" x14ac:dyDescent="0.25">
      <c r="A83" s="1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7"/>
      <c r="T83" s="7"/>
      <c r="U83" s="7"/>
    </row>
    <row r="84" spans="1:21" x14ac:dyDescent="0.25">
      <c r="A84" s="16" t="str">
        <f>+A19</f>
        <v>2008 IRP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7"/>
      <c r="T84" s="7"/>
      <c r="U84" s="7"/>
    </row>
    <row r="85" spans="1:21" x14ac:dyDescent="0.25">
      <c r="A85" s="16" t="str">
        <f>+A22</f>
        <v>TOTAL LOAD</v>
      </c>
      <c r="B85" s="7"/>
      <c r="C85" s="22"/>
      <c r="D85" s="22"/>
      <c r="E85" s="22"/>
      <c r="F85" s="22">
        <f t="shared" ref="F85:N85" si="16">(+F22-E22)/E22</f>
        <v>2.1773399014778327E-2</v>
      </c>
      <c r="G85" s="22">
        <f t="shared" si="16"/>
        <v>2.5937710924693859E-2</v>
      </c>
      <c r="H85" s="44">
        <f t="shared" si="16"/>
        <v>3.2988721804511276E-2</v>
      </c>
      <c r="I85" s="44">
        <f t="shared" si="16"/>
        <v>2.6385224274406333E-2</v>
      </c>
      <c r="J85" s="44">
        <f t="shared" si="16"/>
        <v>1.9501817214785923E-2</v>
      </c>
      <c r="K85" s="44">
        <f t="shared" si="16"/>
        <v>2.5823841405095208E-2</v>
      </c>
      <c r="L85" s="44">
        <f t="shared" si="16"/>
        <v>2.7886082386845229E-2</v>
      </c>
      <c r="M85" s="44">
        <f t="shared" si="16"/>
        <v>2.1192380638245238E-2</v>
      </c>
      <c r="N85" s="22">
        <f t="shared" si="16"/>
        <v>2.3417312661498709E-2</v>
      </c>
      <c r="O85" s="22"/>
      <c r="P85" s="22"/>
      <c r="Q85" s="22"/>
      <c r="R85" s="23"/>
      <c r="S85" s="22"/>
      <c r="T85" s="22"/>
      <c r="U85" s="22"/>
    </row>
    <row r="86" spans="1:21" x14ac:dyDescent="0.25">
      <c r="A86" s="16"/>
      <c r="B86" s="7"/>
      <c r="C86" s="7"/>
      <c r="D86" s="7"/>
      <c r="E86" s="7"/>
      <c r="F86" s="7"/>
      <c r="G86" s="7"/>
      <c r="H86" s="48"/>
      <c r="I86" s="48"/>
      <c r="J86" s="48"/>
      <c r="K86" s="48"/>
      <c r="L86" s="48"/>
      <c r="M86" s="48"/>
      <c r="N86" s="7"/>
      <c r="O86" s="7"/>
      <c r="P86" s="7"/>
      <c r="Q86" s="7"/>
      <c r="R86" s="15"/>
      <c r="S86" s="7"/>
      <c r="T86" s="7"/>
      <c r="U86" s="7"/>
    </row>
    <row r="87" spans="1:21" x14ac:dyDescent="0.25">
      <c r="A87" s="16" t="str">
        <f>+A24</f>
        <v xml:space="preserve">2008 IRP UPDATE </v>
      </c>
      <c r="B87" s="7"/>
      <c r="C87" s="7"/>
      <c r="D87" s="7"/>
      <c r="E87" s="7"/>
      <c r="F87" s="7"/>
      <c r="G87" s="7"/>
      <c r="H87" s="48"/>
      <c r="I87" s="48"/>
      <c r="J87" s="48"/>
      <c r="K87" s="48"/>
      <c r="L87" s="48"/>
      <c r="M87" s="48"/>
      <c r="N87" s="7"/>
      <c r="O87" s="7"/>
      <c r="P87" s="7"/>
      <c r="Q87" s="7"/>
      <c r="R87" s="15"/>
      <c r="S87" s="7"/>
      <c r="T87" s="7"/>
      <c r="U87" s="7"/>
    </row>
    <row r="88" spans="1:21" x14ac:dyDescent="0.25">
      <c r="A88" s="16" t="str">
        <f>+A27</f>
        <v>TOTAL LOAD</v>
      </c>
      <c r="B88" s="7"/>
      <c r="C88" s="22"/>
      <c r="D88" s="22"/>
      <c r="E88" s="22"/>
      <c r="F88" s="22"/>
      <c r="G88" s="22">
        <f t="shared" ref="G88:O88" si="17">(+G27-F27)/F27</f>
        <v>3.5588264946063111E-2</v>
      </c>
      <c r="H88" s="44">
        <f>(+H27-G27)/G27</f>
        <v>3.6507009345794393E-2</v>
      </c>
      <c r="I88" s="44">
        <f t="shared" si="17"/>
        <v>3.0994646379261765E-2</v>
      </c>
      <c r="J88" s="44">
        <f t="shared" si="17"/>
        <v>2.9880659560900063E-2</v>
      </c>
      <c r="K88" s="44">
        <f t="shared" si="17"/>
        <v>2.3794781070322867E-2</v>
      </c>
      <c r="L88" s="44">
        <f t="shared" si="17"/>
        <v>2.3068947641264905E-2</v>
      </c>
      <c r="M88" s="44">
        <f t="shared" si="17"/>
        <v>1.7566083945612702E-2</v>
      </c>
      <c r="N88" s="22">
        <f t="shared" si="17"/>
        <v>1.9254709934434393E-2</v>
      </c>
      <c r="O88" s="22">
        <f t="shared" si="17"/>
        <v>1.6041039003338489E-2</v>
      </c>
      <c r="P88" s="22"/>
      <c r="Q88" s="22"/>
      <c r="R88" s="23"/>
      <c r="S88" s="22"/>
      <c r="T88" s="22"/>
      <c r="U88" s="22"/>
    </row>
    <row r="89" spans="1:21" x14ac:dyDescent="0.25">
      <c r="A89" s="16"/>
      <c r="B89" s="7"/>
      <c r="C89" s="22"/>
      <c r="D89" s="22"/>
      <c r="E89" s="22"/>
      <c r="F89" s="22"/>
      <c r="G89" s="22"/>
      <c r="H89" s="44"/>
      <c r="I89" s="44"/>
      <c r="J89" s="44"/>
      <c r="K89" s="44"/>
      <c r="L89" s="44"/>
      <c r="M89" s="44"/>
      <c r="N89" s="22"/>
      <c r="O89" s="22"/>
      <c r="P89" s="22"/>
      <c r="Q89" s="22"/>
      <c r="R89" s="23"/>
      <c r="S89" s="22"/>
      <c r="T89" s="22"/>
      <c r="U89" s="22"/>
    </row>
    <row r="90" spans="1:21" x14ac:dyDescent="0.25">
      <c r="A90" s="16" t="s">
        <v>75</v>
      </c>
      <c r="B90" s="7"/>
      <c r="C90" s="22"/>
      <c r="D90" s="22"/>
      <c r="E90" s="22"/>
      <c r="F90" s="22"/>
      <c r="G90" s="22"/>
      <c r="H90" s="44"/>
      <c r="I90" s="44"/>
      <c r="J90" s="44"/>
      <c r="K90" s="44"/>
      <c r="L90" s="44"/>
      <c r="M90" s="44"/>
      <c r="N90" s="22"/>
      <c r="O90" s="22"/>
      <c r="P90" s="22"/>
      <c r="Q90" s="22"/>
      <c r="R90" s="23"/>
      <c r="S90" s="22"/>
      <c r="T90" s="22"/>
      <c r="U90" s="22"/>
    </row>
    <row r="91" spans="1:21" x14ac:dyDescent="0.25">
      <c r="A91" s="16" t="s">
        <v>42</v>
      </c>
      <c r="B91" s="7"/>
      <c r="C91" s="22"/>
      <c r="D91" s="22"/>
      <c r="E91" s="22"/>
      <c r="F91" s="22"/>
      <c r="G91" s="22"/>
      <c r="H91" s="44">
        <f>(+H32-G32)/G32</f>
        <v>2.5645933014354066E-2</v>
      </c>
      <c r="I91" s="44">
        <f>(+I32-H32)/H32</f>
        <v>2.267214032468744E-2</v>
      </c>
      <c r="J91" s="44">
        <f t="shared" ref="J91:P91" si="18">(+J32-I32)/I32</f>
        <v>2.6639905118146155E-2</v>
      </c>
      <c r="K91" s="44">
        <f t="shared" si="18"/>
        <v>2.1949702301608458E-2</v>
      </c>
      <c r="L91" s="44">
        <f t="shared" si="18"/>
        <v>2.1043478260869566E-2</v>
      </c>
      <c r="M91" s="44">
        <f t="shared" si="18"/>
        <v>1.8565832055867825E-2</v>
      </c>
      <c r="N91" s="44">
        <f t="shared" si="18"/>
        <v>1.9565217391304349E-2</v>
      </c>
      <c r="O91" s="44">
        <f t="shared" si="18"/>
        <v>1.5089388223716582E-2</v>
      </c>
      <c r="P91" s="44">
        <f t="shared" si="18"/>
        <v>1.8581354015188237E-2</v>
      </c>
      <c r="Q91" s="44"/>
      <c r="R91" s="47"/>
      <c r="S91" s="44"/>
      <c r="T91" s="44"/>
      <c r="U91" s="44"/>
    </row>
    <row r="92" spans="1:21" x14ac:dyDescent="0.25">
      <c r="A92" s="16"/>
      <c r="B92" s="7"/>
      <c r="C92" s="22"/>
      <c r="D92" s="22"/>
      <c r="E92" s="22"/>
      <c r="F92" s="22"/>
      <c r="G92" s="22"/>
      <c r="H92" s="44"/>
      <c r="I92" s="44"/>
      <c r="J92" s="44"/>
      <c r="K92" s="44"/>
      <c r="L92" s="44"/>
      <c r="M92" s="44"/>
      <c r="N92" s="22"/>
      <c r="O92" s="22"/>
      <c r="P92" s="22"/>
      <c r="Q92" s="22"/>
      <c r="R92" s="23"/>
      <c r="S92" s="22"/>
      <c r="T92" s="22"/>
      <c r="U92" s="22"/>
    </row>
    <row r="93" spans="1:21" x14ac:dyDescent="0.25">
      <c r="A93" s="16" t="str">
        <f>+A34</f>
        <v>2011 IRP UPDATE</v>
      </c>
      <c r="B93" s="7"/>
      <c r="C93" s="22"/>
      <c r="D93" s="22"/>
      <c r="E93" s="22"/>
      <c r="F93" s="22"/>
      <c r="G93" s="22"/>
      <c r="H93" s="44"/>
      <c r="I93" s="44"/>
      <c r="J93" s="44"/>
      <c r="K93" s="44"/>
      <c r="L93" s="44"/>
      <c r="M93" s="44"/>
      <c r="N93" s="22"/>
      <c r="O93" s="22"/>
      <c r="P93" s="22"/>
      <c r="Q93" s="22"/>
      <c r="R93" s="23"/>
      <c r="S93" s="22"/>
      <c r="T93" s="22"/>
      <c r="U93" s="22"/>
    </row>
    <row r="94" spans="1:21" x14ac:dyDescent="0.25">
      <c r="A94" s="16" t="str">
        <f>+A37</f>
        <v>TOTAL LOAD</v>
      </c>
      <c r="B94" s="7"/>
      <c r="C94" s="22"/>
      <c r="D94" s="22"/>
      <c r="E94" s="22"/>
      <c r="F94" s="22"/>
      <c r="G94" s="22"/>
      <c r="H94" s="44"/>
      <c r="I94" s="44">
        <f>(+I37-H37)/H37</f>
        <v>2.3781446540880505E-2</v>
      </c>
      <c r="J94" s="44">
        <f>(+J37-I37)/I37</f>
        <v>3.0428105202534077E-2</v>
      </c>
      <c r="K94" s="44">
        <f t="shared" ref="K94:Q94" si="19">(+K37-J37)/J37</f>
        <v>2.3288309268747091E-2</v>
      </c>
      <c r="L94" s="44">
        <f t="shared" si="19"/>
        <v>-9.3764223941738729E-3</v>
      </c>
      <c r="M94" s="44">
        <f t="shared" si="19"/>
        <v>2.931446425289469E-2</v>
      </c>
      <c r="N94" s="44">
        <f t="shared" si="19"/>
        <v>1.7230604410320507E-2</v>
      </c>
      <c r="O94" s="44">
        <f t="shared" si="19"/>
        <v>1.614885027207302E-2</v>
      </c>
      <c r="P94" s="44">
        <f t="shared" si="19"/>
        <v>1.7187769908447056E-2</v>
      </c>
      <c r="Q94" s="44">
        <f t="shared" si="19"/>
        <v>1.6897342277320201E-2</v>
      </c>
      <c r="R94" s="47"/>
      <c r="S94" s="44"/>
      <c r="T94" s="44"/>
      <c r="U94" s="44"/>
    </row>
    <row r="95" spans="1:21" x14ac:dyDescent="0.25">
      <c r="A95" s="16"/>
      <c r="B95" s="7"/>
      <c r="C95" s="22"/>
      <c r="D95" s="22"/>
      <c r="E95" s="22"/>
      <c r="F95" s="22"/>
      <c r="G95" s="22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7"/>
      <c r="S95" s="44"/>
      <c r="T95" s="44"/>
      <c r="U95" s="44"/>
    </row>
    <row r="96" spans="1:21" x14ac:dyDescent="0.25">
      <c r="A96" s="16" t="str">
        <f>+A39</f>
        <v>2013 IRP (PRELIMINARY)</v>
      </c>
      <c r="B96" s="7"/>
      <c r="C96" s="22"/>
      <c r="D96" s="22"/>
      <c r="E96" s="22"/>
      <c r="F96" s="22"/>
      <c r="G96" s="2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7"/>
      <c r="S96" s="44"/>
      <c r="T96" s="44"/>
      <c r="U96" s="44"/>
    </row>
    <row r="97" spans="1:21" x14ac:dyDescent="0.25">
      <c r="A97" s="16" t="str">
        <f>+A94</f>
        <v>TOTAL LOAD</v>
      </c>
      <c r="B97" s="7"/>
      <c r="C97" s="22"/>
      <c r="D97" s="22"/>
      <c r="E97" s="22"/>
      <c r="F97" s="22"/>
      <c r="G97" s="22"/>
      <c r="H97" s="44"/>
      <c r="I97" s="44"/>
      <c r="J97" s="44">
        <f t="shared" ref="J97:R97" si="20">(+J45-I45)/I45</f>
        <v>2.0375722543352601E-2</v>
      </c>
      <c r="K97" s="44">
        <f t="shared" si="20"/>
        <v>1.7986120946041639E-2</v>
      </c>
      <c r="L97" s="44">
        <f t="shared" si="20"/>
        <v>-2.6989426822481913E-2</v>
      </c>
      <c r="M97" s="44">
        <f t="shared" si="20"/>
        <v>1.587074635401773E-2</v>
      </c>
      <c r="N97" s="44">
        <f t="shared" si="20"/>
        <v>1.5763546798029555E-2</v>
      </c>
      <c r="O97" s="44">
        <f t="shared" si="20"/>
        <v>1.6627407510045725E-2</v>
      </c>
      <c r="P97" s="44">
        <f t="shared" si="20"/>
        <v>1.608286765708055E-2</v>
      </c>
      <c r="Q97" s="44">
        <f t="shared" si="20"/>
        <v>1.7303822937625755E-2</v>
      </c>
      <c r="R97" s="44">
        <f t="shared" si="20"/>
        <v>1.4899789029535865E-2</v>
      </c>
      <c r="S97" s="44"/>
      <c r="T97" s="44"/>
      <c r="U97" s="44"/>
    </row>
    <row r="98" spans="1:21" x14ac:dyDescent="0.25">
      <c r="A98" s="16"/>
      <c r="B98" s="7"/>
      <c r="C98" s="22"/>
      <c r="D98" s="22"/>
      <c r="E98" s="22"/>
      <c r="F98" s="22"/>
      <c r="G98" s="2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7"/>
      <c r="S98" s="44"/>
      <c r="T98" s="44"/>
      <c r="U98" s="44"/>
    </row>
    <row r="99" spans="1:21" x14ac:dyDescent="0.25">
      <c r="A99" s="16"/>
      <c r="B99" s="7"/>
      <c r="C99" s="22"/>
      <c r="D99" s="22"/>
      <c r="E99" s="22"/>
      <c r="F99" s="22"/>
      <c r="G99" s="2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7"/>
      <c r="S99" s="44"/>
      <c r="T99" s="44"/>
      <c r="U99" s="44"/>
    </row>
    <row r="100" spans="1:21" x14ac:dyDescent="0.25">
      <c r="A100" s="16"/>
      <c r="B100" s="7"/>
      <c r="C100" s="22"/>
      <c r="D100" s="22"/>
      <c r="E100" s="22"/>
      <c r="F100" s="22"/>
      <c r="G100" s="22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7"/>
      <c r="S100" s="44"/>
      <c r="T100" s="44"/>
      <c r="U100" s="44"/>
    </row>
    <row r="101" spans="1:21" x14ac:dyDescent="0.25">
      <c r="A101" s="16"/>
      <c r="B101" s="7"/>
      <c r="C101" s="22"/>
      <c r="D101" s="22"/>
      <c r="E101" s="22"/>
      <c r="F101" s="22"/>
      <c r="G101" s="2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7"/>
      <c r="S101" s="44"/>
      <c r="T101" s="44"/>
      <c r="U101" s="44"/>
    </row>
    <row r="102" spans="1:21" x14ac:dyDescent="0.25">
      <c r="A102" s="16"/>
      <c r="B102" s="7"/>
      <c r="C102" s="22"/>
      <c r="D102" s="22"/>
      <c r="E102" s="22"/>
      <c r="F102" s="22"/>
      <c r="G102" s="2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7"/>
      <c r="S102" s="44"/>
      <c r="T102" s="44"/>
      <c r="U102" s="44"/>
    </row>
    <row r="103" spans="1:21" x14ac:dyDescent="0.25">
      <c r="A103" s="16"/>
      <c r="B103" s="7"/>
      <c r="C103" s="22"/>
      <c r="D103" s="22"/>
      <c r="E103" s="22"/>
      <c r="F103" s="22"/>
      <c r="G103" s="2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7"/>
      <c r="S103" s="44"/>
      <c r="T103" s="44"/>
      <c r="U103" s="44"/>
    </row>
    <row r="104" spans="1:21" x14ac:dyDescent="0.25">
      <c r="A104" s="16"/>
      <c r="B104" s="7"/>
      <c r="C104" s="22"/>
      <c r="D104" s="22"/>
      <c r="E104" s="22"/>
      <c r="F104" s="22"/>
      <c r="G104" s="2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7"/>
      <c r="S104" s="44"/>
      <c r="T104" s="44"/>
      <c r="U104" s="44"/>
    </row>
    <row r="105" spans="1:21" x14ac:dyDescent="0.25">
      <c r="A105" s="16"/>
      <c r="B105" s="7"/>
      <c r="C105" s="22"/>
      <c r="D105" s="22"/>
      <c r="E105" s="22"/>
      <c r="F105" s="22"/>
      <c r="G105" s="22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7"/>
      <c r="S105" s="44"/>
      <c r="T105" s="44"/>
      <c r="U105" s="44"/>
    </row>
  </sheetData>
  <mergeCells count="2">
    <mergeCell ref="A1:O1"/>
    <mergeCell ref="A74:R7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C51" sqref="C51:K51"/>
    </sheetView>
  </sheetViews>
  <sheetFormatPr defaultRowHeight="15" x14ac:dyDescent="0.25"/>
  <cols>
    <col min="1" max="1" width="22" customWidth="1"/>
  </cols>
  <sheetData>
    <row r="1" spans="1:13" x14ac:dyDescent="0.25">
      <c r="A1" t="s">
        <v>52</v>
      </c>
    </row>
    <row r="3" spans="1:13" ht="18.75" x14ac:dyDescent="0.3">
      <c r="A3" s="72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>
        <v>0.12</v>
      </c>
    </row>
    <row r="4" spans="1:13" x14ac:dyDescent="0.25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6" spans="1:13" x14ac:dyDescent="0.25">
      <c r="A6" t="s">
        <v>0</v>
      </c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</row>
    <row r="7" spans="1:13" x14ac:dyDescent="0.25">
      <c r="A7" s="8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x14ac:dyDescent="0.25">
      <c r="A8" t="s">
        <v>1</v>
      </c>
      <c r="B8" s="3">
        <v>6134</v>
      </c>
      <c r="C8" s="3">
        <v>5941</v>
      </c>
      <c r="D8" s="3">
        <v>5941</v>
      </c>
      <c r="E8" s="3">
        <v>5941</v>
      </c>
      <c r="F8" s="3">
        <v>5941</v>
      </c>
      <c r="G8" s="3">
        <v>5941</v>
      </c>
      <c r="H8" s="3">
        <v>5941</v>
      </c>
      <c r="I8" s="3">
        <v>5941</v>
      </c>
      <c r="J8" s="3">
        <v>5941</v>
      </c>
      <c r="K8" s="3">
        <v>5941</v>
      </c>
    </row>
    <row r="9" spans="1:13" x14ac:dyDescent="0.25">
      <c r="A9" t="s">
        <v>2</v>
      </c>
      <c r="B9" s="3">
        <v>135</v>
      </c>
      <c r="C9" s="3">
        <v>135</v>
      </c>
      <c r="D9" s="3">
        <v>135</v>
      </c>
      <c r="E9" s="3">
        <v>135</v>
      </c>
      <c r="F9" s="3">
        <v>135</v>
      </c>
      <c r="G9" s="3">
        <v>135</v>
      </c>
      <c r="H9" s="3">
        <v>135</v>
      </c>
      <c r="I9" s="3">
        <v>135</v>
      </c>
      <c r="J9" s="3">
        <v>135</v>
      </c>
      <c r="K9" s="3">
        <v>135</v>
      </c>
    </row>
    <row r="10" spans="1:13" x14ac:dyDescent="0.25">
      <c r="A10" t="s">
        <v>3</v>
      </c>
      <c r="B10" s="3">
        <v>153.19999999999999</v>
      </c>
      <c r="C10" s="3">
        <v>163.19999999999999</v>
      </c>
      <c r="D10" s="3">
        <v>163.19999999999999</v>
      </c>
      <c r="E10" s="3">
        <v>163.19999999999999</v>
      </c>
      <c r="F10" s="3">
        <v>163.19999999999999</v>
      </c>
      <c r="G10" s="3">
        <v>163.19999999999999</v>
      </c>
      <c r="H10" s="3">
        <v>163.19999999999999</v>
      </c>
      <c r="I10" s="3">
        <v>163.19999999999999</v>
      </c>
      <c r="J10" s="3">
        <v>163.19999999999999</v>
      </c>
      <c r="K10" s="3">
        <v>163.19999999999999</v>
      </c>
    </row>
    <row r="11" spans="1:13" x14ac:dyDescent="0.25">
      <c r="A11" t="s">
        <v>4</v>
      </c>
      <c r="B11" s="3">
        <v>64.703999999999994</v>
      </c>
      <c r="C11" s="3">
        <v>108.70399999999999</v>
      </c>
      <c r="D11" s="3">
        <v>108.70399999999999</v>
      </c>
      <c r="E11" s="3">
        <v>108.70399999999999</v>
      </c>
      <c r="F11" s="3">
        <v>108.70399999999999</v>
      </c>
      <c r="G11" s="3">
        <v>108.70399999999999</v>
      </c>
      <c r="H11" s="3">
        <v>108.70399999999999</v>
      </c>
      <c r="I11" s="3">
        <v>108.70399999999999</v>
      </c>
      <c r="J11" s="3">
        <v>104.70479999999999</v>
      </c>
      <c r="K11" s="3">
        <v>104.70479999999999</v>
      </c>
    </row>
    <row r="12" spans="1:13" x14ac:dyDescent="0.25">
      <c r="A12" t="s">
        <v>5</v>
      </c>
      <c r="B12" s="3">
        <v>904</v>
      </c>
      <c r="C12" s="3">
        <v>679</v>
      </c>
      <c r="D12" s="3">
        <v>778</v>
      </c>
      <c r="E12" s="3">
        <v>548</v>
      </c>
      <c r="F12" s="3">
        <v>543</v>
      </c>
      <c r="G12" s="3">
        <v>343</v>
      </c>
      <c r="H12" s="3">
        <v>343</v>
      </c>
      <c r="I12" s="3">
        <v>343</v>
      </c>
      <c r="J12" s="3">
        <v>343</v>
      </c>
      <c r="K12" s="3">
        <v>322</v>
      </c>
    </row>
    <row r="13" spans="1:13" x14ac:dyDescent="0.25">
      <c r="A13" t="s">
        <v>6</v>
      </c>
      <c r="B13" s="3">
        <v>106.1</v>
      </c>
      <c r="C13" s="3">
        <v>106.1</v>
      </c>
      <c r="D13" s="3">
        <v>106.1</v>
      </c>
      <c r="E13" s="3">
        <v>106.1</v>
      </c>
      <c r="F13" s="3">
        <v>106.1</v>
      </c>
      <c r="G13" s="3">
        <v>106.1</v>
      </c>
      <c r="H13" s="3">
        <v>106.1</v>
      </c>
      <c r="I13" s="3">
        <v>106.1</v>
      </c>
      <c r="J13" s="3">
        <v>106.1</v>
      </c>
      <c r="K13" s="3">
        <v>106.1</v>
      </c>
    </row>
    <row r="14" spans="1:13" x14ac:dyDescent="0.25">
      <c r="A14" t="s">
        <v>29</v>
      </c>
      <c r="B14" s="3">
        <v>233</v>
      </c>
      <c r="C14" s="3">
        <v>233</v>
      </c>
      <c r="D14" s="3">
        <v>308</v>
      </c>
      <c r="E14" s="3">
        <v>308</v>
      </c>
      <c r="F14" s="3">
        <v>308</v>
      </c>
      <c r="G14" s="3">
        <v>308</v>
      </c>
      <c r="H14" s="3">
        <v>308</v>
      </c>
      <c r="I14" s="3">
        <v>308</v>
      </c>
      <c r="J14" s="3">
        <v>308</v>
      </c>
      <c r="K14" s="3">
        <v>308</v>
      </c>
    </row>
    <row r="15" spans="1:13" x14ac:dyDescent="0.25">
      <c r="A15" t="s">
        <v>7</v>
      </c>
      <c r="B15" s="3">
        <f t="shared" ref="B15:K15" si="0">SUM(B8:B14)</f>
        <v>7730.0039999999999</v>
      </c>
      <c r="C15" s="3">
        <f t="shared" si="0"/>
        <v>7366.0039999999999</v>
      </c>
      <c r="D15" s="3">
        <f t="shared" si="0"/>
        <v>7540.0039999999999</v>
      </c>
      <c r="E15" s="3">
        <f t="shared" si="0"/>
        <v>7310.0039999999999</v>
      </c>
      <c r="F15" s="3">
        <f t="shared" si="0"/>
        <v>7305.0039999999999</v>
      </c>
      <c r="G15" s="3">
        <f t="shared" si="0"/>
        <v>7105.0039999999999</v>
      </c>
      <c r="H15" s="3">
        <f t="shared" si="0"/>
        <v>7105.0039999999999</v>
      </c>
      <c r="I15" s="3">
        <f t="shared" si="0"/>
        <v>7105.0039999999999</v>
      </c>
      <c r="J15" s="3">
        <f t="shared" si="0"/>
        <v>7101.0048000000006</v>
      </c>
      <c r="K15" s="3">
        <f t="shared" si="0"/>
        <v>7080.0048000000006</v>
      </c>
    </row>
    <row r="16" spans="1:13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t="s">
        <v>8</v>
      </c>
      <c r="B17" s="3">
        <v>6321</v>
      </c>
      <c r="C17" s="3">
        <v>6515</v>
      </c>
      <c r="D17" s="3">
        <v>6657</v>
      </c>
      <c r="E17" s="3">
        <v>7137</v>
      </c>
      <c r="F17" s="3">
        <v>7289</v>
      </c>
      <c r="G17" s="3">
        <v>7595</v>
      </c>
      <c r="H17" s="3">
        <v>7738</v>
      </c>
      <c r="I17" s="3">
        <v>7895</v>
      </c>
      <c r="J17" s="3">
        <v>8026</v>
      </c>
      <c r="K17" s="3">
        <v>8366</v>
      </c>
    </row>
    <row r="18" spans="1:11" x14ac:dyDescent="0.25">
      <c r="A18" t="s">
        <v>9</v>
      </c>
      <c r="B18" s="3">
        <v>849.08179999999993</v>
      </c>
      <c r="C18" s="3">
        <v>811</v>
      </c>
      <c r="D18" s="3">
        <v>702</v>
      </c>
      <c r="E18" s="3">
        <v>666</v>
      </c>
      <c r="F18" s="3">
        <v>631</v>
      </c>
      <c r="G18" s="3">
        <v>595</v>
      </c>
      <c r="H18" s="3">
        <v>595</v>
      </c>
      <c r="I18" s="3">
        <v>595</v>
      </c>
      <c r="J18" s="3">
        <v>595</v>
      </c>
      <c r="K18" s="3">
        <v>595</v>
      </c>
    </row>
    <row r="19" spans="1:11" x14ac:dyDescent="0.25">
      <c r="A19" t="s">
        <v>10</v>
      </c>
      <c r="B19" s="3">
        <f>+B18+B17</f>
        <v>7170.0817999999999</v>
      </c>
      <c r="C19" s="3">
        <f t="shared" ref="C19:K19" si="1">+C18+C17</f>
        <v>7326</v>
      </c>
      <c r="D19" s="3">
        <f t="shared" si="1"/>
        <v>7359</v>
      </c>
      <c r="E19" s="3">
        <f t="shared" si="1"/>
        <v>7803</v>
      </c>
      <c r="F19" s="3">
        <f t="shared" si="1"/>
        <v>7920</v>
      </c>
      <c r="G19" s="3">
        <f t="shared" si="1"/>
        <v>8190</v>
      </c>
      <c r="H19" s="3">
        <f t="shared" si="1"/>
        <v>8333</v>
      </c>
      <c r="I19" s="3">
        <f t="shared" si="1"/>
        <v>8490</v>
      </c>
      <c r="J19" s="3">
        <f t="shared" si="1"/>
        <v>8621</v>
      </c>
      <c r="K19" s="3">
        <f t="shared" si="1"/>
        <v>8961</v>
      </c>
    </row>
    <row r="20" spans="1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t="s">
        <v>30</v>
      </c>
      <c r="B21" s="3">
        <v>706</v>
      </c>
      <c r="C21" s="3">
        <v>750</v>
      </c>
      <c r="D21" s="3">
        <v>733</v>
      </c>
      <c r="E21" s="3">
        <v>814</v>
      </c>
      <c r="F21" s="3">
        <v>828</v>
      </c>
      <c r="G21" s="3">
        <v>885</v>
      </c>
      <c r="H21" s="3">
        <v>902</v>
      </c>
      <c r="I21" s="3">
        <v>921</v>
      </c>
      <c r="J21" s="3">
        <v>937</v>
      </c>
      <c r="K21" s="3">
        <v>980</v>
      </c>
    </row>
    <row r="22" spans="1:11" x14ac:dyDescent="0.25">
      <c r="A22" t="s">
        <v>31</v>
      </c>
      <c r="B22" s="3">
        <v>70.599999999999994</v>
      </c>
      <c r="C22" s="3">
        <v>70.599999999999994</v>
      </c>
      <c r="D22" s="3">
        <v>70.599999999999994</v>
      </c>
      <c r="E22" s="3">
        <v>70.599999999999994</v>
      </c>
      <c r="F22" s="3">
        <v>70.599999999999994</v>
      </c>
      <c r="G22" s="3">
        <v>70.599999999999994</v>
      </c>
      <c r="H22" s="3">
        <v>70.599999999999994</v>
      </c>
      <c r="I22" s="3">
        <v>70.599999999999994</v>
      </c>
      <c r="J22" s="3">
        <v>70.599999999999994</v>
      </c>
      <c r="K22" s="3">
        <v>70.599999999999994</v>
      </c>
    </row>
    <row r="23" spans="1:11" x14ac:dyDescent="0.25">
      <c r="A23" t="s">
        <v>11</v>
      </c>
      <c r="B23" s="3">
        <f>+B22+B21</f>
        <v>776.6</v>
      </c>
      <c r="C23" s="3">
        <f t="shared" ref="C23:K23" si="2">+C22+C21</f>
        <v>820.6</v>
      </c>
      <c r="D23" s="3">
        <f t="shared" si="2"/>
        <v>803.6</v>
      </c>
      <c r="E23" s="3">
        <f t="shared" si="2"/>
        <v>884.6</v>
      </c>
      <c r="F23" s="3">
        <f t="shared" si="2"/>
        <v>898.6</v>
      </c>
      <c r="G23" s="3">
        <f t="shared" si="2"/>
        <v>955.6</v>
      </c>
      <c r="H23" s="3">
        <f t="shared" si="2"/>
        <v>972.6</v>
      </c>
      <c r="I23" s="3">
        <f t="shared" si="2"/>
        <v>991.6</v>
      </c>
      <c r="J23" s="3">
        <f t="shared" si="2"/>
        <v>1007.6</v>
      </c>
      <c r="K23" s="3">
        <f t="shared" si="2"/>
        <v>1050.5999999999999</v>
      </c>
    </row>
    <row r="24" spans="1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t="s">
        <v>12</v>
      </c>
      <c r="B25" s="3">
        <f>+B23+B19</f>
        <v>7946.6818000000003</v>
      </c>
      <c r="C25" s="3">
        <f t="shared" ref="C25:K25" si="3">+C23+C19</f>
        <v>8146.6</v>
      </c>
      <c r="D25" s="3">
        <f t="shared" si="3"/>
        <v>8162.6</v>
      </c>
      <c r="E25" s="3">
        <f t="shared" si="3"/>
        <v>8687.6</v>
      </c>
      <c r="F25" s="3">
        <f t="shared" si="3"/>
        <v>8818.6</v>
      </c>
      <c r="G25" s="3">
        <f t="shared" si="3"/>
        <v>9145.6</v>
      </c>
      <c r="H25" s="3">
        <f t="shared" si="3"/>
        <v>9305.6</v>
      </c>
      <c r="I25" s="3">
        <f t="shared" si="3"/>
        <v>9481.6</v>
      </c>
      <c r="J25" s="3">
        <f t="shared" si="3"/>
        <v>9628.6</v>
      </c>
      <c r="K25" s="3">
        <f t="shared" si="3"/>
        <v>10011.6</v>
      </c>
    </row>
    <row r="26" spans="1:11" x14ac:dyDescent="0.25">
      <c r="A26" t="s">
        <v>13</v>
      </c>
      <c r="B26" s="3">
        <f>+B15-B25</f>
        <v>-216.67780000000039</v>
      </c>
      <c r="C26" s="3">
        <f t="shared" ref="C26:K26" si="4">+C15-C25</f>
        <v>-780.59600000000046</v>
      </c>
      <c r="D26" s="3">
        <f t="shared" si="4"/>
        <v>-622.59600000000046</v>
      </c>
      <c r="E26" s="3">
        <f t="shared" si="4"/>
        <v>-1377.5960000000005</v>
      </c>
      <c r="F26" s="3">
        <f t="shared" si="4"/>
        <v>-1513.5960000000005</v>
      </c>
      <c r="G26" s="3">
        <f t="shared" si="4"/>
        <v>-2040.5960000000005</v>
      </c>
      <c r="H26" s="3">
        <f t="shared" si="4"/>
        <v>-2200.5960000000005</v>
      </c>
      <c r="I26" s="3">
        <f t="shared" si="4"/>
        <v>-2376.5960000000005</v>
      </c>
      <c r="J26" s="3">
        <f t="shared" si="4"/>
        <v>-2527.5951999999997</v>
      </c>
      <c r="K26" s="3">
        <f t="shared" si="4"/>
        <v>-2931.5951999999997</v>
      </c>
    </row>
    <row r="27" spans="1:11" x14ac:dyDescent="0.25">
      <c r="A27" t="s">
        <v>14</v>
      </c>
      <c r="B27" s="5">
        <f t="shared" ref="B27:K27" si="5">(B$15+(B$10+B$12+B$14)*Target_Margin-B$22)/B$19-1</f>
        <v>8.9838054567243475E-2</v>
      </c>
      <c r="C27" s="5">
        <f t="shared" si="5"/>
        <v>1.343543543543535E-2</v>
      </c>
      <c r="D27" s="5">
        <f t="shared" si="5"/>
        <v>3.5372740861530083E-2</v>
      </c>
      <c r="E27" s="5">
        <f t="shared" si="5"/>
        <v>-5.6554145841343106E-2</v>
      </c>
      <c r="F27" s="5">
        <f t="shared" si="5"/>
        <v>-7.11984848484849E-2</v>
      </c>
      <c r="G27" s="5">
        <f t="shared" si="5"/>
        <v>-0.12916874236874243</v>
      </c>
      <c r="H27" s="5">
        <f t="shared" si="5"/>
        <v>-0.14411280451218056</v>
      </c>
      <c r="I27" s="5">
        <f t="shared" si="5"/>
        <v>-0.15994016489988228</v>
      </c>
      <c r="J27" s="5">
        <f t="shared" si="5"/>
        <v>-0.17316914511077597</v>
      </c>
      <c r="K27" s="5">
        <f t="shared" si="5"/>
        <v>-0.20716562883606737</v>
      </c>
    </row>
    <row r="28" spans="1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8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t="s">
        <v>1</v>
      </c>
      <c r="B30" s="3">
        <v>2046</v>
      </c>
      <c r="C30" s="3">
        <v>2046</v>
      </c>
      <c r="D30" s="3">
        <v>2046</v>
      </c>
      <c r="E30" s="3">
        <v>2046</v>
      </c>
      <c r="F30" s="3">
        <v>2046</v>
      </c>
      <c r="G30" s="3">
        <v>2046</v>
      </c>
      <c r="H30" s="3">
        <v>2046</v>
      </c>
      <c r="I30" s="3">
        <v>2046</v>
      </c>
      <c r="J30" s="3">
        <v>2046</v>
      </c>
      <c r="K30" s="3">
        <v>2046</v>
      </c>
    </row>
    <row r="31" spans="1:11" x14ac:dyDescent="0.25">
      <c r="A31" t="s">
        <v>2</v>
      </c>
      <c r="B31" s="3">
        <v>1421.39</v>
      </c>
      <c r="C31" s="3">
        <v>1421.09</v>
      </c>
      <c r="D31" s="3">
        <v>1414.01</v>
      </c>
      <c r="E31" s="3">
        <v>1327.65</v>
      </c>
      <c r="F31" s="3">
        <v>1357</v>
      </c>
      <c r="G31" s="3">
        <v>1225</v>
      </c>
      <c r="H31" s="3">
        <v>1249</v>
      </c>
      <c r="I31" s="3">
        <v>1243</v>
      </c>
      <c r="J31" s="3">
        <v>1244</v>
      </c>
      <c r="K31" s="3">
        <v>1242</v>
      </c>
    </row>
    <row r="32" spans="1:11" x14ac:dyDescent="0.25">
      <c r="A32" t="s">
        <v>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25">
      <c r="A33" t="s">
        <v>4</v>
      </c>
      <c r="B33" s="3">
        <v>108</v>
      </c>
      <c r="C33" s="3">
        <v>108</v>
      </c>
      <c r="D33" s="3">
        <v>108</v>
      </c>
      <c r="E33" s="3">
        <v>108</v>
      </c>
      <c r="F33" s="3">
        <v>108</v>
      </c>
      <c r="G33" s="3">
        <v>84</v>
      </c>
      <c r="H33" s="3">
        <v>84</v>
      </c>
      <c r="I33" s="3">
        <v>84</v>
      </c>
      <c r="J33" s="3">
        <v>84</v>
      </c>
      <c r="K33" s="3">
        <v>84</v>
      </c>
    </row>
    <row r="34" spans="1:11" x14ac:dyDescent="0.25">
      <c r="A34" t="s">
        <v>5</v>
      </c>
      <c r="B34" s="3">
        <v>785.71299999999997</v>
      </c>
      <c r="C34" s="3">
        <v>799.71299999999997</v>
      </c>
      <c r="D34" s="3">
        <v>799.71299999999997</v>
      </c>
      <c r="E34" s="3">
        <v>799</v>
      </c>
      <c r="F34" s="3">
        <v>749</v>
      </c>
      <c r="G34" s="3">
        <v>112</v>
      </c>
      <c r="H34" s="3">
        <v>141</v>
      </c>
      <c r="I34" s="3">
        <v>107.36</v>
      </c>
      <c r="J34" s="3">
        <v>107.36</v>
      </c>
      <c r="K34" s="3">
        <v>107.36</v>
      </c>
    </row>
    <row r="35" spans="1:11" x14ac:dyDescent="0.25">
      <c r="A35" t="s">
        <v>6</v>
      </c>
      <c r="B35" s="3">
        <v>40</v>
      </c>
      <c r="C35" s="3">
        <v>40</v>
      </c>
      <c r="D35" s="3">
        <v>40</v>
      </c>
      <c r="E35" s="3">
        <v>40</v>
      </c>
      <c r="F35" s="3">
        <v>40</v>
      </c>
      <c r="G35" s="3">
        <v>40</v>
      </c>
      <c r="H35" s="3">
        <v>38</v>
      </c>
      <c r="I35" s="3">
        <v>38</v>
      </c>
      <c r="J35" s="3">
        <v>38</v>
      </c>
      <c r="K35" s="3">
        <v>38</v>
      </c>
    </row>
    <row r="36" spans="1:11" x14ac:dyDescent="0.25">
      <c r="A36" t="s">
        <v>15</v>
      </c>
      <c r="B36" s="3">
        <f t="shared" ref="B36:K36" si="6">SUM(B30:B35)</f>
        <v>4401.1030000000001</v>
      </c>
      <c r="C36" s="3">
        <f t="shared" si="6"/>
        <v>4414.8029999999999</v>
      </c>
      <c r="D36" s="3">
        <f t="shared" si="6"/>
        <v>4407.723</v>
      </c>
      <c r="E36" s="3">
        <f t="shared" si="6"/>
        <v>4320.6499999999996</v>
      </c>
      <c r="F36" s="3">
        <f t="shared" si="6"/>
        <v>4300</v>
      </c>
      <c r="G36" s="3">
        <f t="shared" si="6"/>
        <v>3507</v>
      </c>
      <c r="H36" s="3">
        <f t="shared" si="6"/>
        <v>3558</v>
      </c>
      <c r="I36" s="3">
        <f t="shared" si="6"/>
        <v>3518.36</v>
      </c>
      <c r="J36" s="3">
        <f t="shared" si="6"/>
        <v>3519.36</v>
      </c>
      <c r="K36" s="3">
        <f t="shared" si="6"/>
        <v>3517.36</v>
      </c>
    </row>
    <row r="37" spans="1:1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t="s">
        <v>8</v>
      </c>
      <c r="B38" s="3">
        <v>2922</v>
      </c>
      <c r="C38" s="3">
        <v>2924</v>
      </c>
      <c r="D38" s="3">
        <v>3095</v>
      </c>
      <c r="E38" s="3">
        <v>3124</v>
      </c>
      <c r="F38" s="3">
        <v>3199</v>
      </c>
      <c r="G38" s="3">
        <v>3240</v>
      </c>
      <c r="H38" s="3">
        <v>3251</v>
      </c>
      <c r="I38" s="3">
        <v>3262</v>
      </c>
      <c r="J38" s="3">
        <v>3271</v>
      </c>
      <c r="K38" s="3">
        <v>3252</v>
      </c>
    </row>
    <row r="39" spans="1:11" x14ac:dyDescent="0.25">
      <c r="A39" t="s">
        <v>9</v>
      </c>
      <c r="B39" s="3">
        <v>299.12109999999996</v>
      </c>
      <c r="C39" s="3">
        <v>299.12109999999996</v>
      </c>
      <c r="D39" s="3">
        <v>299.02109999999999</v>
      </c>
      <c r="E39" s="3">
        <v>289.72109999999998</v>
      </c>
      <c r="F39" s="3">
        <v>289.72109999999998</v>
      </c>
      <c r="G39" s="3">
        <v>258.22059999999999</v>
      </c>
      <c r="H39" s="3">
        <v>258.22059999999999</v>
      </c>
      <c r="I39" s="3">
        <v>257.7396</v>
      </c>
      <c r="J39" s="3">
        <v>157.7396</v>
      </c>
      <c r="K39" s="3">
        <v>107.738</v>
      </c>
    </row>
    <row r="40" spans="1:11" x14ac:dyDescent="0.25">
      <c r="A40" t="s">
        <v>16</v>
      </c>
      <c r="B40" s="3">
        <f>+B39+B38</f>
        <v>3221.1210999999998</v>
      </c>
      <c r="C40" s="3">
        <f t="shared" ref="C40:K40" si="7">+C39+C38</f>
        <v>3223.1210999999998</v>
      </c>
      <c r="D40" s="3">
        <f t="shared" si="7"/>
        <v>3394.0210999999999</v>
      </c>
      <c r="E40" s="3">
        <f t="shared" si="7"/>
        <v>3413.7210999999998</v>
      </c>
      <c r="F40" s="3">
        <f t="shared" si="7"/>
        <v>3488.7210999999998</v>
      </c>
      <c r="G40" s="3">
        <f t="shared" si="7"/>
        <v>3498.2206000000001</v>
      </c>
      <c r="H40" s="3">
        <f t="shared" si="7"/>
        <v>3509.2206000000001</v>
      </c>
      <c r="I40" s="3">
        <f t="shared" si="7"/>
        <v>3519.7395999999999</v>
      </c>
      <c r="J40" s="3">
        <f t="shared" si="7"/>
        <v>3428.7395999999999</v>
      </c>
      <c r="K40" s="3">
        <f t="shared" si="7"/>
        <v>3359.7379999999998</v>
      </c>
    </row>
    <row r="41" spans="1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t="s">
        <v>30</v>
      </c>
      <c r="B42" s="3">
        <v>292.24897199999992</v>
      </c>
      <c r="C42" s="3">
        <v>291</v>
      </c>
      <c r="D42" s="3">
        <v>311</v>
      </c>
      <c r="E42" s="3">
        <v>314</v>
      </c>
      <c r="F42" s="3">
        <v>329</v>
      </c>
      <c r="G42" s="3">
        <v>406</v>
      </c>
      <c r="H42" s="3">
        <v>404</v>
      </c>
      <c r="I42" s="3">
        <v>409</v>
      </c>
      <c r="J42" s="3">
        <v>399</v>
      </c>
      <c r="K42" s="3">
        <v>390</v>
      </c>
    </row>
    <row r="43" spans="1:11" x14ac:dyDescent="0.25">
      <c r="A43" t="s">
        <v>31</v>
      </c>
      <c r="B43" s="3">
        <v>6.5</v>
      </c>
      <c r="C43" s="3">
        <v>6.5</v>
      </c>
      <c r="D43" s="3">
        <v>6.5</v>
      </c>
      <c r="E43" s="3">
        <v>6.5</v>
      </c>
      <c r="F43" s="3">
        <v>6.5</v>
      </c>
      <c r="G43" s="3">
        <v>6.5</v>
      </c>
      <c r="H43" s="3">
        <v>6.5</v>
      </c>
      <c r="I43" s="3">
        <v>6.5</v>
      </c>
      <c r="J43" s="3">
        <v>6.5</v>
      </c>
      <c r="K43" s="3">
        <v>6.5</v>
      </c>
    </row>
    <row r="44" spans="1:11" x14ac:dyDescent="0.25">
      <c r="A44" t="s">
        <v>17</v>
      </c>
      <c r="B44" s="3">
        <f>+B43+B42</f>
        <v>298.74897199999992</v>
      </c>
      <c r="C44" s="3">
        <f t="shared" ref="C44:K44" si="8">+C43+C42</f>
        <v>297.5</v>
      </c>
      <c r="D44" s="3">
        <f t="shared" si="8"/>
        <v>317.5</v>
      </c>
      <c r="E44" s="3">
        <f t="shared" si="8"/>
        <v>320.5</v>
      </c>
      <c r="F44" s="3">
        <f t="shared" si="8"/>
        <v>335.5</v>
      </c>
      <c r="G44" s="3">
        <f t="shared" si="8"/>
        <v>412.5</v>
      </c>
      <c r="H44" s="3">
        <f t="shared" si="8"/>
        <v>410.5</v>
      </c>
      <c r="I44" s="3">
        <f t="shared" si="8"/>
        <v>415.5</v>
      </c>
      <c r="J44" s="3">
        <f t="shared" si="8"/>
        <v>405.5</v>
      </c>
      <c r="K44" s="3">
        <f t="shared" si="8"/>
        <v>396.5</v>
      </c>
    </row>
    <row r="45" spans="1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t="s">
        <v>18</v>
      </c>
      <c r="B46" s="3">
        <f>+B44+B40</f>
        <v>3519.8700719999997</v>
      </c>
      <c r="C46" s="3">
        <f t="shared" ref="C46:K46" si="9">+C44+C40</f>
        <v>3520.6210999999998</v>
      </c>
      <c r="D46" s="3">
        <f t="shared" si="9"/>
        <v>3711.5210999999999</v>
      </c>
      <c r="E46" s="3">
        <f t="shared" si="9"/>
        <v>3734.2210999999998</v>
      </c>
      <c r="F46" s="3">
        <f t="shared" si="9"/>
        <v>3824.2210999999998</v>
      </c>
      <c r="G46" s="3">
        <f t="shared" si="9"/>
        <v>3910.7206000000001</v>
      </c>
      <c r="H46" s="3">
        <f t="shared" si="9"/>
        <v>3919.7206000000001</v>
      </c>
      <c r="I46" s="3">
        <f t="shared" si="9"/>
        <v>3935.2395999999999</v>
      </c>
      <c r="J46" s="3">
        <f t="shared" si="9"/>
        <v>3834.2395999999999</v>
      </c>
      <c r="K46" s="3">
        <f t="shared" si="9"/>
        <v>3756.2379999999998</v>
      </c>
    </row>
    <row r="47" spans="1:11" x14ac:dyDescent="0.25">
      <c r="A47" t="s">
        <v>19</v>
      </c>
      <c r="B47" s="3">
        <f>+B36-B46</f>
        <v>881.23292800000036</v>
      </c>
      <c r="C47" s="3">
        <f t="shared" ref="C47:K47" si="10">+C36-C46</f>
        <v>894.18190000000004</v>
      </c>
      <c r="D47" s="3">
        <f t="shared" si="10"/>
        <v>696.20190000000002</v>
      </c>
      <c r="E47" s="3">
        <f t="shared" si="10"/>
        <v>586.42889999999989</v>
      </c>
      <c r="F47" s="3">
        <f t="shared" si="10"/>
        <v>475.77890000000025</v>
      </c>
      <c r="G47" s="3">
        <f t="shared" si="10"/>
        <v>-403.7206000000001</v>
      </c>
      <c r="H47" s="3">
        <f t="shared" si="10"/>
        <v>-361.7206000000001</v>
      </c>
      <c r="I47" s="3">
        <f t="shared" si="10"/>
        <v>-416.87959999999975</v>
      </c>
      <c r="J47" s="3">
        <f t="shared" si="10"/>
        <v>-314.87959999999975</v>
      </c>
      <c r="K47" s="3">
        <f t="shared" si="10"/>
        <v>-238.8779999999997</v>
      </c>
    </row>
    <row r="48" spans="1:11" x14ac:dyDescent="0.25">
      <c r="A48" t="s">
        <v>20</v>
      </c>
      <c r="B48" s="5">
        <f t="shared" ref="B48:K48" si="11">(B$36+(B$32+B$34)*Target_Margin-B$43)/B$40-1</f>
        <v>0.39357957078980998</v>
      </c>
      <c r="C48" s="5">
        <f t="shared" si="11"/>
        <v>0.39748660390079649</v>
      </c>
      <c r="D48" s="5">
        <f t="shared" si="11"/>
        <v>0.32503258745209318</v>
      </c>
      <c r="E48" s="5">
        <f t="shared" si="11"/>
        <v>0.29185421738173045</v>
      </c>
      <c r="F48" s="5">
        <f t="shared" si="11"/>
        <v>0.25644322786364326</v>
      </c>
      <c r="G48" s="5">
        <f t="shared" si="11"/>
        <v>4.4935416594367172E-3</v>
      </c>
      <c r="H48" s="5">
        <f t="shared" si="11"/>
        <v>1.6869671858189772E-2</v>
      </c>
      <c r="I48" s="5">
        <f t="shared" si="11"/>
        <v>1.4215824375189978E-3</v>
      </c>
      <c r="J48" s="5">
        <f t="shared" si="11"/>
        <v>2.829132897698039E-2</v>
      </c>
      <c r="K48" s="5">
        <f t="shared" si="11"/>
        <v>4.8814877826783176E-2</v>
      </c>
    </row>
    <row r="49" spans="1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8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s="42" customFormat="1" x14ac:dyDescent="0.25">
      <c r="A51" s="71" t="s">
        <v>133</v>
      </c>
      <c r="B51" s="38">
        <f>+B38+B17</f>
        <v>9243</v>
      </c>
      <c r="C51" s="38">
        <f t="shared" ref="C51:K51" si="12">+C38+C17</f>
        <v>9439</v>
      </c>
      <c r="D51" s="38">
        <f t="shared" si="12"/>
        <v>9752</v>
      </c>
      <c r="E51" s="38">
        <f t="shared" si="12"/>
        <v>10261</v>
      </c>
      <c r="F51" s="38">
        <f t="shared" si="12"/>
        <v>10488</v>
      </c>
      <c r="G51" s="38">
        <f t="shared" si="12"/>
        <v>10835</v>
      </c>
      <c r="H51" s="38">
        <f t="shared" si="12"/>
        <v>10989</v>
      </c>
      <c r="I51" s="38">
        <f t="shared" si="12"/>
        <v>11157</v>
      </c>
      <c r="J51" s="38">
        <f t="shared" si="12"/>
        <v>11297</v>
      </c>
      <c r="K51" s="38">
        <f t="shared" si="12"/>
        <v>11618</v>
      </c>
    </row>
    <row r="52" spans="1:11" x14ac:dyDescent="0.25">
      <c r="A52" t="s">
        <v>21</v>
      </c>
      <c r="B52" s="3">
        <f t="shared" ref="B52:K52" si="13">+B15+B36</f>
        <v>12131.107</v>
      </c>
      <c r="C52" s="3">
        <f t="shared" si="13"/>
        <v>11780.807000000001</v>
      </c>
      <c r="D52" s="3">
        <f t="shared" si="13"/>
        <v>11947.726999999999</v>
      </c>
      <c r="E52" s="3">
        <f t="shared" si="13"/>
        <v>11630.653999999999</v>
      </c>
      <c r="F52" s="3">
        <f t="shared" si="13"/>
        <v>11605.004000000001</v>
      </c>
      <c r="G52" s="3">
        <f t="shared" si="13"/>
        <v>10612.004000000001</v>
      </c>
      <c r="H52" s="3">
        <f t="shared" si="13"/>
        <v>10663.004000000001</v>
      </c>
      <c r="I52" s="3">
        <f t="shared" si="13"/>
        <v>10623.364</v>
      </c>
      <c r="J52" s="3">
        <f t="shared" si="13"/>
        <v>10620.364800000001</v>
      </c>
      <c r="K52" s="3">
        <f t="shared" si="13"/>
        <v>10597.364800000001</v>
      </c>
    </row>
    <row r="53" spans="1:11" x14ac:dyDescent="0.25">
      <c r="A53" t="s">
        <v>36</v>
      </c>
      <c r="B53" s="3">
        <f t="shared" ref="B53:K53" si="14">+B40+B19</f>
        <v>10391.2029</v>
      </c>
      <c r="C53" s="3">
        <f t="shared" si="14"/>
        <v>10549.1211</v>
      </c>
      <c r="D53" s="3">
        <f t="shared" si="14"/>
        <v>10753.0211</v>
      </c>
      <c r="E53" s="3">
        <f t="shared" si="14"/>
        <v>11216.721099999999</v>
      </c>
      <c r="F53" s="3">
        <f t="shared" si="14"/>
        <v>11408.721099999999</v>
      </c>
      <c r="G53" s="3">
        <f t="shared" si="14"/>
        <v>11688.220600000001</v>
      </c>
      <c r="H53" s="3">
        <f t="shared" si="14"/>
        <v>11842.220600000001</v>
      </c>
      <c r="I53" s="3">
        <f t="shared" si="14"/>
        <v>12009.739600000001</v>
      </c>
      <c r="J53" s="3">
        <f t="shared" si="14"/>
        <v>12049.739600000001</v>
      </c>
      <c r="K53" s="3">
        <f t="shared" si="14"/>
        <v>12320.737999999999</v>
      </c>
    </row>
    <row r="54" spans="1:11" x14ac:dyDescent="0.25">
      <c r="A54" t="s">
        <v>22</v>
      </c>
      <c r="B54" s="3">
        <f t="shared" ref="B54:K54" si="15">+B23+B44</f>
        <v>1075.348972</v>
      </c>
      <c r="C54" s="3">
        <f t="shared" si="15"/>
        <v>1118.0999999999999</v>
      </c>
      <c r="D54" s="3">
        <f t="shared" si="15"/>
        <v>1121.0999999999999</v>
      </c>
      <c r="E54" s="3">
        <f t="shared" si="15"/>
        <v>1205.0999999999999</v>
      </c>
      <c r="F54" s="3">
        <f t="shared" si="15"/>
        <v>1234.0999999999999</v>
      </c>
      <c r="G54" s="3">
        <f t="shared" si="15"/>
        <v>1368.1</v>
      </c>
      <c r="H54" s="3">
        <f t="shared" si="15"/>
        <v>1383.1</v>
      </c>
      <c r="I54" s="3">
        <f t="shared" si="15"/>
        <v>1407.1</v>
      </c>
      <c r="J54" s="3">
        <f t="shared" si="15"/>
        <v>1413.1</v>
      </c>
      <c r="K54" s="3">
        <f t="shared" si="15"/>
        <v>1447.1</v>
      </c>
    </row>
    <row r="55" spans="1:11" x14ac:dyDescent="0.25">
      <c r="A55" t="s">
        <v>37</v>
      </c>
      <c r="B55" s="3">
        <f>+B54+B53</f>
        <v>11466.551872</v>
      </c>
      <c r="C55" s="3">
        <f t="shared" ref="C55:K55" si="16">+C54+C53</f>
        <v>11667.221100000001</v>
      </c>
      <c r="D55" s="3">
        <f t="shared" si="16"/>
        <v>11874.1211</v>
      </c>
      <c r="E55" s="3">
        <f t="shared" si="16"/>
        <v>12421.821099999999</v>
      </c>
      <c r="F55" s="3">
        <f t="shared" si="16"/>
        <v>12642.821099999999</v>
      </c>
      <c r="G55" s="3">
        <f t="shared" si="16"/>
        <v>13056.320600000001</v>
      </c>
      <c r="H55" s="3">
        <f t="shared" si="16"/>
        <v>13225.320600000001</v>
      </c>
      <c r="I55" s="3">
        <f t="shared" si="16"/>
        <v>13416.839600000001</v>
      </c>
      <c r="J55" s="3">
        <f t="shared" si="16"/>
        <v>13462.839600000001</v>
      </c>
      <c r="K55" s="3">
        <f t="shared" si="16"/>
        <v>13767.838</v>
      </c>
    </row>
    <row r="56" spans="1:11" x14ac:dyDescent="0.25">
      <c r="A56" t="s">
        <v>38</v>
      </c>
      <c r="B56" s="3">
        <f t="shared" ref="B56:K56" si="17">+B52-B55</f>
        <v>664.55512799999997</v>
      </c>
      <c r="C56" s="3">
        <f t="shared" si="17"/>
        <v>113.58590000000004</v>
      </c>
      <c r="D56" s="3">
        <f t="shared" si="17"/>
        <v>73.605899999998655</v>
      </c>
      <c r="E56" s="3">
        <f t="shared" si="17"/>
        <v>-791.16710000000057</v>
      </c>
      <c r="F56" s="3">
        <f t="shared" si="17"/>
        <v>-1037.8170999999984</v>
      </c>
      <c r="G56" s="3">
        <f t="shared" si="17"/>
        <v>-2444.3166000000001</v>
      </c>
      <c r="H56" s="3">
        <f t="shared" si="17"/>
        <v>-2562.3166000000001</v>
      </c>
      <c r="I56" s="3">
        <f t="shared" si="17"/>
        <v>-2793.4756000000016</v>
      </c>
      <c r="J56" s="3">
        <f t="shared" si="17"/>
        <v>-2842.4748</v>
      </c>
      <c r="K56" s="3">
        <f t="shared" si="17"/>
        <v>-3170.4731999999985</v>
      </c>
    </row>
    <row r="57" spans="1:11" x14ac:dyDescent="0.25">
      <c r="A57" t="s">
        <v>23</v>
      </c>
      <c r="B57" s="5">
        <f t="shared" ref="B57:K57" si="18">(B$52+(B$10+B$12+B$14+B$32+B$34)*Target_Margin-B$22-B$43)/B$53-1</f>
        <v>0.18399348741424348</v>
      </c>
      <c r="C57" s="5">
        <f t="shared" si="18"/>
        <v>0.13077634116836512</v>
      </c>
      <c r="D57" s="5">
        <f t="shared" si="18"/>
        <v>0.12679929178228777</v>
      </c>
      <c r="E57" s="5">
        <f t="shared" si="18"/>
        <v>4.9481207123889259E-2</v>
      </c>
      <c r="F57" s="5">
        <f t="shared" si="18"/>
        <v>2.899246086399665E-2</v>
      </c>
      <c r="G57" s="5">
        <f t="shared" si="18"/>
        <v>-8.9164350645469459E-2</v>
      </c>
      <c r="H57" s="5">
        <f t="shared" si="18"/>
        <v>-9.6408658355849219E-2</v>
      </c>
      <c r="I57" s="5">
        <f t="shared" si="18"/>
        <v>-0.11264927009741343</v>
      </c>
      <c r="J57" s="5">
        <f t="shared" si="18"/>
        <v>-0.11584379798547684</v>
      </c>
      <c r="K57" s="5">
        <f t="shared" si="18"/>
        <v>-0.13736238851925908</v>
      </c>
    </row>
    <row r="58" spans="1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</sheetData>
  <mergeCells count="2"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BreakPreview" topLeftCell="A13" zoomScale="110" zoomScaleNormal="100" zoomScaleSheetLayoutView="110" workbookViewId="0">
      <selection activeCell="A56" sqref="A56"/>
    </sheetView>
  </sheetViews>
  <sheetFormatPr defaultRowHeight="15" x14ac:dyDescent="0.25"/>
  <cols>
    <col min="1" max="1" width="25.140625" customWidth="1"/>
  </cols>
  <sheetData>
    <row r="1" spans="1:13" x14ac:dyDescent="0.25">
      <c r="A1" t="s">
        <v>55</v>
      </c>
    </row>
    <row r="3" spans="1:13" ht="18.75" x14ac:dyDescent="0.3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>
        <v>0.12</v>
      </c>
    </row>
    <row r="4" spans="1:13" x14ac:dyDescent="0.25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6" spans="1:13" x14ac:dyDescent="0.25">
      <c r="A6" t="s">
        <v>0</v>
      </c>
      <c r="B6">
        <v>2008</v>
      </c>
      <c r="C6">
        <v>2009</v>
      </c>
      <c r="D6">
        <v>2010</v>
      </c>
      <c r="E6">
        <v>2011</v>
      </c>
      <c r="F6">
        <v>2012</v>
      </c>
      <c r="G6">
        <v>2013</v>
      </c>
      <c r="H6">
        <v>2014</v>
      </c>
      <c r="I6">
        <v>2015</v>
      </c>
      <c r="J6">
        <v>2016</v>
      </c>
      <c r="K6">
        <v>2017</v>
      </c>
    </row>
    <row r="7" spans="1:13" x14ac:dyDescent="0.25">
      <c r="A7" s="8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x14ac:dyDescent="0.25">
      <c r="A8" t="s">
        <v>1</v>
      </c>
      <c r="B8" s="3">
        <v>5931.52</v>
      </c>
      <c r="C8" s="3">
        <v>5931.52</v>
      </c>
      <c r="D8" s="3">
        <v>5931.52</v>
      </c>
      <c r="E8" s="3">
        <v>5931.52</v>
      </c>
      <c r="F8" s="3">
        <v>5931.52</v>
      </c>
      <c r="G8" s="3">
        <v>5931.52</v>
      </c>
      <c r="H8" s="3">
        <v>5931.52</v>
      </c>
      <c r="I8" s="3">
        <v>5931.52</v>
      </c>
      <c r="J8" s="3">
        <v>5931.52</v>
      </c>
      <c r="K8" s="3">
        <v>5931.52</v>
      </c>
    </row>
    <row r="9" spans="1:13" x14ac:dyDescent="0.25">
      <c r="A9" t="s">
        <v>2</v>
      </c>
      <c r="B9" s="3">
        <v>135</v>
      </c>
      <c r="C9" s="3">
        <v>135</v>
      </c>
      <c r="D9" s="3">
        <v>135</v>
      </c>
      <c r="E9" s="3">
        <v>135</v>
      </c>
      <c r="F9" s="3">
        <v>135</v>
      </c>
      <c r="G9" s="3">
        <v>135</v>
      </c>
      <c r="H9" s="3">
        <v>135</v>
      </c>
      <c r="I9" s="3">
        <v>135</v>
      </c>
      <c r="J9" s="3">
        <v>135</v>
      </c>
      <c r="K9" s="3">
        <v>134.80000000000001</v>
      </c>
    </row>
    <row r="10" spans="1:13" x14ac:dyDescent="0.25">
      <c r="A10" t="s">
        <v>3</v>
      </c>
      <c r="B10" s="3">
        <v>163.19999999999999</v>
      </c>
      <c r="C10" s="3">
        <v>163.19999999999999</v>
      </c>
      <c r="D10" s="3">
        <v>163.19999999999999</v>
      </c>
      <c r="E10" s="3">
        <v>163.19999999999999</v>
      </c>
      <c r="F10" s="3">
        <v>163.19999999999999</v>
      </c>
      <c r="G10" s="3">
        <v>163.19999999999999</v>
      </c>
      <c r="H10" s="3">
        <v>163.19999999999999</v>
      </c>
      <c r="I10" s="3">
        <v>163.19999999999999</v>
      </c>
      <c r="J10" s="3">
        <v>163.19999999999999</v>
      </c>
      <c r="K10" s="3">
        <v>0</v>
      </c>
    </row>
    <row r="11" spans="1:13" x14ac:dyDescent="0.25">
      <c r="A11" t="s">
        <v>4</v>
      </c>
      <c r="B11" s="3">
        <v>108.70399999999999</v>
      </c>
      <c r="C11" s="3">
        <v>108.70399999999999</v>
      </c>
      <c r="D11" s="3">
        <v>108.70399999999999</v>
      </c>
      <c r="E11" s="3">
        <v>108.70399999999999</v>
      </c>
      <c r="F11" s="3">
        <v>108.70399999999999</v>
      </c>
      <c r="G11" s="3">
        <v>108.70399999999999</v>
      </c>
      <c r="H11" s="3">
        <v>108.70399999999999</v>
      </c>
      <c r="I11" s="3">
        <v>104.70479999999999</v>
      </c>
      <c r="J11" s="3">
        <v>104.70479999999999</v>
      </c>
      <c r="K11" s="3">
        <v>104.70479999999999</v>
      </c>
    </row>
    <row r="12" spans="1:13" x14ac:dyDescent="0.25">
      <c r="A12" t="s">
        <v>5</v>
      </c>
      <c r="B12" s="3">
        <v>704</v>
      </c>
      <c r="C12" s="3">
        <v>828.3</v>
      </c>
      <c r="D12" s="3">
        <v>648.29999999999995</v>
      </c>
      <c r="E12" s="3">
        <v>668.3</v>
      </c>
      <c r="F12" s="3">
        <v>493.3</v>
      </c>
      <c r="G12" s="3">
        <v>493.3</v>
      </c>
      <c r="H12" s="3">
        <v>493.3</v>
      </c>
      <c r="I12" s="3">
        <v>493.3</v>
      </c>
      <c r="J12" s="3">
        <v>472.3</v>
      </c>
      <c r="K12" s="3">
        <v>472.3</v>
      </c>
    </row>
    <row r="13" spans="1:13" x14ac:dyDescent="0.25">
      <c r="A13" t="s">
        <v>6</v>
      </c>
      <c r="B13" s="3">
        <v>106.1</v>
      </c>
      <c r="C13" s="3">
        <v>106.1</v>
      </c>
      <c r="D13" s="3">
        <v>106.1</v>
      </c>
      <c r="E13" s="3">
        <v>106.1</v>
      </c>
      <c r="F13" s="3">
        <v>106.1</v>
      </c>
      <c r="G13" s="3">
        <v>106.1</v>
      </c>
      <c r="H13" s="3">
        <v>106.1</v>
      </c>
      <c r="I13" s="3">
        <v>106.1</v>
      </c>
      <c r="J13" s="3">
        <v>106.1</v>
      </c>
      <c r="K13" s="3">
        <v>105.1</v>
      </c>
    </row>
    <row r="14" spans="1:13" x14ac:dyDescent="0.25">
      <c r="A14" t="s">
        <v>29</v>
      </c>
      <c r="B14" s="3">
        <v>212</v>
      </c>
      <c r="C14" s="3">
        <v>328</v>
      </c>
      <c r="D14" s="3">
        <v>328</v>
      </c>
      <c r="E14" s="3">
        <v>328</v>
      </c>
      <c r="F14" s="3">
        <v>328</v>
      </c>
      <c r="G14" s="3">
        <v>328</v>
      </c>
      <c r="H14" s="3">
        <v>328</v>
      </c>
      <c r="I14" s="3">
        <v>328</v>
      </c>
      <c r="J14" s="3">
        <v>328</v>
      </c>
      <c r="K14" s="3">
        <v>328</v>
      </c>
    </row>
    <row r="15" spans="1:13" x14ac:dyDescent="0.25">
      <c r="A15" t="s">
        <v>7</v>
      </c>
      <c r="B15" s="3">
        <f t="shared" ref="B15:K15" si="0">SUM(B8:B14)</f>
        <v>7360.5240000000003</v>
      </c>
      <c r="C15" s="3">
        <f t="shared" si="0"/>
        <v>7600.8240000000005</v>
      </c>
      <c r="D15" s="3">
        <f t="shared" si="0"/>
        <v>7420.8240000000005</v>
      </c>
      <c r="E15" s="3">
        <f t="shared" si="0"/>
        <v>7440.8240000000005</v>
      </c>
      <c r="F15" s="3">
        <f t="shared" si="0"/>
        <v>7265.8240000000005</v>
      </c>
      <c r="G15" s="3">
        <f t="shared" si="0"/>
        <v>7265.8240000000005</v>
      </c>
      <c r="H15" s="3">
        <f t="shared" si="0"/>
        <v>7265.8240000000005</v>
      </c>
      <c r="I15" s="3">
        <f t="shared" si="0"/>
        <v>7261.8248000000012</v>
      </c>
      <c r="J15" s="3">
        <f t="shared" si="0"/>
        <v>7240.8248000000012</v>
      </c>
      <c r="K15" s="3">
        <f t="shared" si="0"/>
        <v>7076.4248000000016</v>
      </c>
    </row>
    <row r="16" spans="1:13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t="s">
        <v>8</v>
      </c>
      <c r="B17" s="3">
        <v>6547</v>
      </c>
      <c r="C17" s="3">
        <v>6725</v>
      </c>
      <c r="D17" s="3">
        <v>6975</v>
      </c>
      <c r="E17" s="3">
        <v>7130</v>
      </c>
      <c r="F17" s="3">
        <v>7404</v>
      </c>
      <c r="G17" s="3">
        <v>7612</v>
      </c>
      <c r="H17" s="3">
        <v>7782</v>
      </c>
      <c r="I17" s="3">
        <v>7827</v>
      </c>
      <c r="J17" s="3">
        <v>8147</v>
      </c>
      <c r="K17" s="3">
        <v>8208</v>
      </c>
    </row>
    <row r="18" spans="1:11" x14ac:dyDescent="0.25">
      <c r="A18" t="s">
        <v>9</v>
      </c>
      <c r="B18" s="3">
        <v>836.08179999999993</v>
      </c>
      <c r="C18" s="3">
        <v>752.08179999999993</v>
      </c>
      <c r="D18" s="3">
        <v>766.08179999999993</v>
      </c>
      <c r="E18" s="3">
        <v>756.08179999999993</v>
      </c>
      <c r="F18" s="3">
        <v>745.08179999999993</v>
      </c>
      <c r="G18" s="3">
        <v>745.08179999999993</v>
      </c>
      <c r="H18" s="3">
        <v>745.08179999999993</v>
      </c>
      <c r="I18" s="3">
        <v>745.08179999999993</v>
      </c>
      <c r="J18" s="3">
        <v>745.08179999999993</v>
      </c>
      <c r="K18" s="3">
        <v>659.08179999999993</v>
      </c>
    </row>
    <row r="19" spans="1:11" x14ac:dyDescent="0.25">
      <c r="A19" t="s">
        <v>10</v>
      </c>
      <c r="B19" s="3">
        <f t="shared" ref="B19:K19" si="1">+B18+B17</f>
        <v>7383.0817999999999</v>
      </c>
      <c r="C19" s="3">
        <f t="shared" si="1"/>
        <v>7477.0817999999999</v>
      </c>
      <c r="D19" s="3">
        <f t="shared" si="1"/>
        <v>7741.0817999999999</v>
      </c>
      <c r="E19" s="3">
        <f t="shared" si="1"/>
        <v>7886.0817999999999</v>
      </c>
      <c r="F19" s="3">
        <f t="shared" si="1"/>
        <v>8149.0817999999999</v>
      </c>
      <c r="G19" s="3">
        <f t="shared" si="1"/>
        <v>8357.0817999999999</v>
      </c>
      <c r="H19" s="3">
        <f t="shared" si="1"/>
        <v>8527.0817999999999</v>
      </c>
      <c r="I19" s="3">
        <f t="shared" si="1"/>
        <v>8572.0817999999999</v>
      </c>
      <c r="J19" s="3">
        <f t="shared" si="1"/>
        <v>8892.0817999999999</v>
      </c>
      <c r="K19" s="3">
        <f t="shared" si="1"/>
        <v>8867.0817999999999</v>
      </c>
    </row>
    <row r="20" spans="1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t="s">
        <v>30</v>
      </c>
      <c r="B21" s="3">
        <v>756.46581600000002</v>
      </c>
      <c r="C21" s="3">
        <v>738.90981599999998</v>
      </c>
      <c r="D21" s="3">
        <v>792.18981599999995</v>
      </c>
      <c r="E21" s="3">
        <v>807.18981599999995</v>
      </c>
      <c r="F21" s="3">
        <v>859.74981600000001</v>
      </c>
      <c r="G21" s="3">
        <v>884.70981599999982</v>
      </c>
      <c r="H21" s="3">
        <v>905.1098159999998</v>
      </c>
      <c r="I21" s="3">
        <v>910.50981599999989</v>
      </c>
      <c r="J21" s="3">
        <v>951.42981599999996</v>
      </c>
      <c r="K21" s="3">
        <v>968.01381600000002</v>
      </c>
    </row>
    <row r="22" spans="1:11" x14ac:dyDescent="0.25">
      <c r="A22" t="s">
        <v>31</v>
      </c>
      <c r="B22" s="3">
        <v>70.599999999999994</v>
      </c>
      <c r="C22" s="3">
        <v>70.599999999999994</v>
      </c>
      <c r="D22" s="3">
        <v>70.599999999999994</v>
      </c>
      <c r="E22" s="3">
        <v>70.599999999999994</v>
      </c>
      <c r="F22" s="3">
        <v>70.599999999999994</v>
      </c>
      <c r="G22" s="3">
        <v>70.599999999999994</v>
      </c>
      <c r="H22" s="3">
        <v>70.599999999999994</v>
      </c>
      <c r="I22" s="3">
        <v>70.599999999999994</v>
      </c>
      <c r="J22" s="3">
        <v>70.599999999999994</v>
      </c>
      <c r="K22" s="3">
        <v>70.599999999999994</v>
      </c>
    </row>
    <row r="23" spans="1:11" x14ac:dyDescent="0.25">
      <c r="A23" t="s">
        <v>11</v>
      </c>
      <c r="B23" s="3">
        <f t="shared" ref="B23:K23" si="2">+B22+B21</f>
        <v>827.06581600000004</v>
      </c>
      <c r="C23" s="3">
        <f t="shared" si="2"/>
        <v>809.509816</v>
      </c>
      <c r="D23" s="3">
        <f t="shared" si="2"/>
        <v>862.78981599999997</v>
      </c>
      <c r="E23" s="3">
        <f t="shared" si="2"/>
        <v>877.78981599999997</v>
      </c>
      <c r="F23" s="3">
        <f t="shared" si="2"/>
        <v>930.34981600000003</v>
      </c>
      <c r="G23" s="3">
        <f t="shared" si="2"/>
        <v>955.30981599999984</v>
      </c>
      <c r="H23" s="3">
        <f t="shared" si="2"/>
        <v>975.70981599999982</v>
      </c>
      <c r="I23" s="3">
        <f t="shared" si="2"/>
        <v>981.10981599999991</v>
      </c>
      <c r="J23" s="3">
        <f t="shared" si="2"/>
        <v>1022.029816</v>
      </c>
      <c r="K23" s="3">
        <f t="shared" si="2"/>
        <v>1038.613816</v>
      </c>
    </row>
    <row r="24" spans="1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t="s">
        <v>12</v>
      </c>
      <c r="B25" s="3">
        <f t="shared" ref="B25:K25" si="3">+B23+B19</f>
        <v>8210.1476160000002</v>
      </c>
      <c r="C25" s="3">
        <f t="shared" si="3"/>
        <v>8286.5916159999997</v>
      </c>
      <c r="D25" s="3">
        <f t="shared" si="3"/>
        <v>8603.8716160000004</v>
      </c>
      <c r="E25" s="3">
        <f t="shared" si="3"/>
        <v>8763.8716160000004</v>
      </c>
      <c r="F25" s="3">
        <f t="shared" si="3"/>
        <v>9079.4316159999998</v>
      </c>
      <c r="G25" s="3">
        <f t="shared" si="3"/>
        <v>9312.391615999999</v>
      </c>
      <c r="H25" s="3">
        <f t="shared" si="3"/>
        <v>9502.7916160000004</v>
      </c>
      <c r="I25" s="3">
        <f t="shared" si="3"/>
        <v>9553.1916160000001</v>
      </c>
      <c r="J25" s="3">
        <f t="shared" si="3"/>
        <v>9914.1116160000001</v>
      </c>
      <c r="K25" s="3">
        <f t="shared" si="3"/>
        <v>9905.6956160000009</v>
      </c>
    </row>
    <row r="26" spans="1:11" x14ac:dyDescent="0.25">
      <c r="A26" t="s">
        <v>13</v>
      </c>
      <c r="B26" s="3">
        <f t="shared" ref="B26:K26" si="4">+B15-B25</f>
        <v>-849.62361599999986</v>
      </c>
      <c r="C26" s="3">
        <f t="shared" si="4"/>
        <v>-685.76761599999918</v>
      </c>
      <c r="D26" s="3">
        <f t="shared" si="4"/>
        <v>-1183.0476159999998</v>
      </c>
      <c r="E26" s="3">
        <f t="shared" si="4"/>
        <v>-1323.0476159999998</v>
      </c>
      <c r="F26" s="3">
        <f t="shared" si="4"/>
        <v>-1813.6076159999993</v>
      </c>
      <c r="G26" s="3">
        <f t="shared" si="4"/>
        <v>-2046.5676159999985</v>
      </c>
      <c r="H26" s="3">
        <f t="shared" si="4"/>
        <v>-2236.9676159999999</v>
      </c>
      <c r="I26" s="3">
        <f t="shared" si="4"/>
        <v>-2291.3668159999988</v>
      </c>
      <c r="J26" s="3">
        <f t="shared" si="4"/>
        <v>-2673.2868159999989</v>
      </c>
      <c r="K26" s="3">
        <f t="shared" si="4"/>
        <v>-2829.2708159999993</v>
      </c>
    </row>
    <row r="27" spans="1:11" x14ac:dyDescent="0.25">
      <c r="A27" t="s">
        <v>14</v>
      </c>
      <c r="B27" s="5">
        <f t="shared" ref="B27:K27" si="5">(B$15+(B$10+B$12+B$14)*Target_Margin-B$22)/B$19-1</f>
        <v>4.9229036037499174E-3</v>
      </c>
      <c r="C27" s="5">
        <f t="shared" si="5"/>
        <v>2.8284055953487153E-2</v>
      </c>
      <c r="D27" s="5">
        <f t="shared" si="5"/>
        <v>-3.2827168936517381E-2</v>
      </c>
      <c r="E27" s="5">
        <f t="shared" si="5"/>
        <v>-4.776995846023302E-2</v>
      </c>
      <c r="F27" s="5">
        <f t="shared" si="5"/>
        <v>-0.1025536153042419</v>
      </c>
      <c r="G27" s="5">
        <f t="shared" si="5"/>
        <v>-0.12489022184753529</v>
      </c>
      <c r="H27" s="5">
        <f t="shared" si="5"/>
        <v>-0.14233683087219817</v>
      </c>
      <c r="I27" s="5">
        <f t="shared" si="5"/>
        <v>-0.1473057571615799</v>
      </c>
      <c r="J27" s="5">
        <f t="shared" si="5"/>
        <v>-0.18063677731799532</v>
      </c>
      <c r="K27" s="5">
        <f t="shared" si="5"/>
        <v>-0.19907575455095028</v>
      </c>
    </row>
    <row r="28" spans="1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8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t="s">
        <v>1</v>
      </c>
      <c r="B30" s="3">
        <v>2046</v>
      </c>
      <c r="C30" s="3">
        <v>2046</v>
      </c>
      <c r="D30" s="3">
        <v>2046</v>
      </c>
      <c r="E30" s="3">
        <v>2046</v>
      </c>
      <c r="F30" s="3">
        <v>2046</v>
      </c>
      <c r="G30" s="3">
        <v>2046</v>
      </c>
      <c r="H30" s="3">
        <v>2046</v>
      </c>
      <c r="I30" s="3">
        <v>2046</v>
      </c>
      <c r="J30" s="3">
        <v>2046</v>
      </c>
      <c r="K30" s="3">
        <v>2024</v>
      </c>
    </row>
    <row r="31" spans="1:11" x14ac:dyDescent="0.25">
      <c r="A31" t="s">
        <v>2</v>
      </c>
      <c r="B31" s="3">
        <v>1421.09</v>
      </c>
      <c r="C31" s="3">
        <v>1414.01</v>
      </c>
      <c r="D31" s="3">
        <v>1327.65</v>
      </c>
      <c r="E31" s="3">
        <v>1331.68</v>
      </c>
      <c r="F31" s="3">
        <v>1174.58</v>
      </c>
      <c r="G31" s="3">
        <v>1174.08</v>
      </c>
      <c r="H31" s="3">
        <v>1168.4100000000001</v>
      </c>
      <c r="I31" s="3">
        <v>1169.0999999999999</v>
      </c>
      <c r="J31" s="3">
        <v>1167.5999999999999</v>
      </c>
      <c r="K31" s="3">
        <v>1177.4000000000001</v>
      </c>
    </row>
    <row r="32" spans="1:11" x14ac:dyDescent="0.25">
      <c r="A32" t="s">
        <v>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25">
      <c r="A33" t="s">
        <v>4</v>
      </c>
      <c r="B33" s="3">
        <v>118.4787</v>
      </c>
      <c r="C33" s="3">
        <v>118.4787</v>
      </c>
      <c r="D33" s="3">
        <v>118.4787</v>
      </c>
      <c r="E33" s="3">
        <v>118.4787</v>
      </c>
      <c r="F33" s="3">
        <v>94.478700000000003</v>
      </c>
      <c r="G33" s="3">
        <v>94.478700000000003</v>
      </c>
      <c r="H33" s="3">
        <v>94.478700000000003</v>
      </c>
      <c r="I33" s="3">
        <v>94.478700000000003</v>
      </c>
      <c r="J33" s="3">
        <v>94.478700000000003</v>
      </c>
      <c r="K33" s="3">
        <v>94.478700000000003</v>
      </c>
    </row>
    <row r="34" spans="1:11" x14ac:dyDescent="0.25">
      <c r="A34" t="s">
        <v>5</v>
      </c>
      <c r="B34" s="3">
        <v>799.71299999999997</v>
      </c>
      <c r="C34" s="3">
        <v>799.71299999999997</v>
      </c>
      <c r="D34" s="3">
        <v>799.71299999999997</v>
      </c>
      <c r="E34" s="3">
        <v>749.71299999999997</v>
      </c>
      <c r="F34" s="3">
        <v>111.833</v>
      </c>
      <c r="G34" s="3">
        <v>140.833</v>
      </c>
      <c r="H34" s="3">
        <v>107.36</v>
      </c>
      <c r="I34" s="3">
        <v>107.36</v>
      </c>
      <c r="J34" s="3">
        <v>107.36</v>
      </c>
      <c r="K34" s="3">
        <v>107.36</v>
      </c>
    </row>
    <row r="35" spans="1:11" x14ac:dyDescent="0.25">
      <c r="A35" t="s">
        <v>6</v>
      </c>
      <c r="B35" s="3">
        <v>40</v>
      </c>
      <c r="C35" s="3">
        <v>40</v>
      </c>
      <c r="D35" s="3">
        <v>40</v>
      </c>
      <c r="E35" s="3">
        <v>40</v>
      </c>
      <c r="F35" s="3">
        <v>40</v>
      </c>
      <c r="G35" s="3">
        <v>38</v>
      </c>
      <c r="H35" s="3">
        <v>38</v>
      </c>
      <c r="I35" s="3">
        <v>38</v>
      </c>
      <c r="J35" s="3">
        <v>38</v>
      </c>
      <c r="K35" s="3">
        <v>38</v>
      </c>
    </row>
    <row r="36" spans="1:11" x14ac:dyDescent="0.25">
      <c r="A36" t="s">
        <v>15</v>
      </c>
      <c r="B36" s="3">
        <f>SUM(B30:B35)</f>
        <v>4425.2817000000005</v>
      </c>
      <c r="C36" s="3">
        <f>SUM(C30:C35)-17</f>
        <v>4401.2017000000005</v>
      </c>
      <c r="D36" s="3">
        <f>SUM(D30:D35)-18</f>
        <v>4313.8416999999999</v>
      </c>
      <c r="E36" s="3">
        <f>SUM(E30:E35)-18</f>
        <v>4267.8717000000006</v>
      </c>
      <c r="F36" s="3">
        <f>SUM(F30:F35)-17</f>
        <v>3449.8917000000001</v>
      </c>
      <c r="G36" s="3">
        <f>SUM(G30:G35)</f>
        <v>3493.3917000000001</v>
      </c>
      <c r="H36" s="3">
        <f>SUM(H30:H35)</f>
        <v>3454.2487000000001</v>
      </c>
      <c r="I36" s="3">
        <f>SUM(I30:I35)</f>
        <v>3454.9387000000002</v>
      </c>
      <c r="J36" s="3">
        <f>SUM(J30:J35)</f>
        <v>3453.4387000000002</v>
      </c>
      <c r="K36" s="3">
        <f>SUM(K30:K35)</f>
        <v>3441.2387000000003</v>
      </c>
    </row>
    <row r="37" spans="1:1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t="s">
        <v>8</v>
      </c>
      <c r="B38" s="3">
        <v>3228</v>
      </c>
      <c r="C38" s="3">
        <v>3343</v>
      </c>
      <c r="D38" s="3">
        <v>3302</v>
      </c>
      <c r="E38" s="3">
        <v>3316</v>
      </c>
      <c r="F38" s="3">
        <v>3341</v>
      </c>
      <c r="G38" s="3">
        <v>3409</v>
      </c>
      <c r="H38" s="3">
        <v>3457</v>
      </c>
      <c r="I38" s="3">
        <v>3531</v>
      </c>
      <c r="J38" s="3">
        <v>3444</v>
      </c>
      <c r="K38" s="3">
        <v>3550</v>
      </c>
    </row>
    <row r="39" spans="1:11" x14ac:dyDescent="0.25">
      <c r="A39" t="s">
        <v>9</v>
      </c>
      <c r="B39" s="3">
        <v>299.12109999999996</v>
      </c>
      <c r="C39" s="3">
        <v>299.02109999999999</v>
      </c>
      <c r="D39" s="3">
        <v>289.72109999999998</v>
      </c>
      <c r="E39" s="3">
        <v>289.72109999999998</v>
      </c>
      <c r="F39" s="3">
        <v>258.22059999999999</v>
      </c>
      <c r="G39" s="3">
        <v>258.22059999999999</v>
      </c>
      <c r="H39" s="3">
        <v>257.7396</v>
      </c>
      <c r="I39" s="3">
        <v>157.7396</v>
      </c>
      <c r="J39" s="3">
        <v>107.738</v>
      </c>
      <c r="K39" s="3">
        <v>107.738</v>
      </c>
    </row>
    <row r="40" spans="1:11" x14ac:dyDescent="0.25">
      <c r="A40" t="s">
        <v>16</v>
      </c>
      <c r="B40" s="3">
        <v>3527.1210999999998</v>
      </c>
      <c r="C40" s="3">
        <v>3642.0210999999999</v>
      </c>
      <c r="D40" s="3">
        <v>3591.7210999999998</v>
      </c>
      <c r="E40" s="3">
        <v>3605.7210999999998</v>
      </c>
      <c r="F40" s="3">
        <v>3599.2206000000001</v>
      </c>
      <c r="G40" s="3">
        <v>3667.2206000000001</v>
      </c>
      <c r="H40" s="3">
        <v>3714.7395999999999</v>
      </c>
      <c r="I40" s="3">
        <v>3688.7395999999999</v>
      </c>
      <c r="J40" s="3">
        <v>3551.7379999999998</v>
      </c>
      <c r="K40" s="3">
        <v>3657.7379999999998</v>
      </c>
    </row>
    <row r="41" spans="1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t="s">
        <v>30</v>
      </c>
      <c r="B42" s="3">
        <v>327.28897199999994</v>
      </c>
      <c r="C42" s="3">
        <v>341.07697200000001</v>
      </c>
      <c r="D42" s="3">
        <v>335.04097200000001</v>
      </c>
      <c r="E42" s="3">
        <v>342.72097199999996</v>
      </c>
      <c r="F42" s="3">
        <v>418.486512</v>
      </c>
      <c r="G42" s="3">
        <v>423.16651200000001</v>
      </c>
      <c r="H42" s="3">
        <v>432.88555199999996</v>
      </c>
      <c r="I42" s="3">
        <v>429.76555199999996</v>
      </c>
      <c r="J42" s="3">
        <v>413.32535999999993</v>
      </c>
      <c r="K42" s="3">
        <v>426.04535999999996</v>
      </c>
    </row>
    <row r="43" spans="1:11" x14ac:dyDescent="0.25">
      <c r="A43" t="s">
        <v>31</v>
      </c>
      <c r="B43" s="3">
        <v>6.5</v>
      </c>
      <c r="C43" s="3">
        <v>6.5</v>
      </c>
      <c r="D43" s="3">
        <v>6.5</v>
      </c>
      <c r="E43" s="3">
        <v>6.5</v>
      </c>
      <c r="F43" s="3">
        <v>6.5</v>
      </c>
      <c r="G43" s="3">
        <v>6.5</v>
      </c>
      <c r="H43" s="3">
        <v>6.5</v>
      </c>
      <c r="I43" s="3">
        <v>6.5</v>
      </c>
      <c r="J43" s="3">
        <v>6.5</v>
      </c>
      <c r="K43" s="3">
        <v>6.5</v>
      </c>
    </row>
    <row r="44" spans="1:11" x14ac:dyDescent="0.25">
      <c r="A44" t="s">
        <v>17</v>
      </c>
      <c r="B44" s="3">
        <v>333.78897199999994</v>
      </c>
      <c r="C44" s="3">
        <v>347.57697200000001</v>
      </c>
      <c r="D44" s="3">
        <v>341.54097200000001</v>
      </c>
      <c r="E44" s="3">
        <v>349.22097199999996</v>
      </c>
      <c r="F44" s="3">
        <v>424.986512</v>
      </c>
      <c r="G44" s="3">
        <v>429.66651200000001</v>
      </c>
      <c r="H44" s="3">
        <v>439.38555199999996</v>
      </c>
      <c r="I44" s="3">
        <v>436.26555199999996</v>
      </c>
      <c r="J44" s="3">
        <v>419.82535999999993</v>
      </c>
      <c r="K44" s="3">
        <v>432.54535999999996</v>
      </c>
    </row>
    <row r="45" spans="1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t="s">
        <v>18</v>
      </c>
      <c r="B46" s="3">
        <f t="shared" ref="B46:K46" si="6">+B44+B40</f>
        <v>3860.9100719999997</v>
      </c>
      <c r="C46" s="3">
        <f t="shared" si="6"/>
        <v>3989.5980719999998</v>
      </c>
      <c r="D46" s="3">
        <f t="shared" si="6"/>
        <v>3933.2620719999995</v>
      </c>
      <c r="E46" s="3">
        <f t="shared" si="6"/>
        <v>3954.9420719999998</v>
      </c>
      <c r="F46" s="3">
        <f t="shared" si="6"/>
        <v>4024.2071120000001</v>
      </c>
      <c r="G46" s="3">
        <f t="shared" si="6"/>
        <v>4096.8871120000003</v>
      </c>
      <c r="H46" s="3">
        <f t="shared" si="6"/>
        <v>4154.1251519999996</v>
      </c>
      <c r="I46" s="3">
        <f t="shared" si="6"/>
        <v>4125.0051519999997</v>
      </c>
      <c r="J46" s="3">
        <f t="shared" si="6"/>
        <v>3971.5633599999996</v>
      </c>
      <c r="K46" s="3">
        <f t="shared" si="6"/>
        <v>4090.2833599999999</v>
      </c>
    </row>
    <row r="47" spans="1:11" x14ac:dyDescent="0.25">
      <c r="A47" t="s">
        <v>19</v>
      </c>
      <c r="B47" s="3">
        <f t="shared" ref="B47:K47" si="7">+B36-B46</f>
        <v>564.37162800000078</v>
      </c>
      <c r="C47" s="3">
        <f>+C36-C46</f>
        <v>411.60362800000075</v>
      </c>
      <c r="D47" s="3">
        <f t="shared" si="7"/>
        <v>380.57962800000041</v>
      </c>
      <c r="E47" s="3">
        <f t="shared" si="7"/>
        <v>312.92962800000078</v>
      </c>
      <c r="F47" s="3">
        <f t="shared" si="7"/>
        <v>-574.31541199999992</v>
      </c>
      <c r="G47" s="3">
        <f t="shared" si="7"/>
        <v>-603.49541200000021</v>
      </c>
      <c r="H47" s="3">
        <f t="shared" si="7"/>
        <v>-699.87645199999952</v>
      </c>
      <c r="I47" s="3">
        <f t="shared" si="7"/>
        <v>-670.06645199999957</v>
      </c>
      <c r="J47" s="3">
        <f t="shared" si="7"/>
        <v>-518.12465999999949</v>
      </c>
      <c r="K47" s="3">
        <f t="shared" si="7"/>
        <v>-649.04465999999957</v>
      </c>
    </row>
    <row r="48" spans="1:11" x14ac:dyDescent="0.25">
      <c r="A48" t="s">
        <v>20</v>
      </c>
      <c r="B48" s="5">
        <f t="shared" ref="B48:K48" si="8">(B$36+(B$32+B$34)*Target_Margin-B$43)/B$40-1</f>
        <v>0.28000914400132171</v>
      </c>
      <c r="C48" s="5">
        <f t="shared" si="8"/>
        <v>0.23301516841843672</v>
      </c>
      <c r="D48" s="5">
        <f t="shared" si="8"/>
        <v>0.22596023950746069</v>
      </c>
      <c r="E48" s="5">
        <f t="shared" si="8"/>
        <v>0.20678697528768941</v>
      </c>
      <c r="F48" s="5">
        <f t="shared" si="8"/>
        <v>-3.9566605058884097E-2</v>
      </c>
      <c r="G48" s="5">
        <f t="shared" si="8"/>
        <v>-4.4564796565551568E-2</v>
      </c>
      <c r="H48" s="5">
        <f t="shared" si="8"/>
        <v>-6.8405252416616102E-2</v>
      </c>
      <c r="I48" s="5">
        <f t="shared" si="8"/>
        <v>-6.1651871549837645E-2</v>
      </c>
      <c r="J48" s="5">
        <f t="shared" si="8"/>
        <v>-2.5879189287047466E-2</v>
      </c>
      <c r="K48" s="5">
        <f t="shared" si="8"/>
        <v>-5.7444272935896268E-2</v>
      </c>
    </row>
    <row r="49" spans="1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8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t="s">
        <v>21</v>
      </c>
      <c r="B51" s="3">
        <f t="shared" ref="B51:K51" si="9">+B15+B36</f>
        <v>11785.805700000001</v>
      </c>
      <c r="C51" s="3">
        <f t="shared" si="9"/>
        <v>12002.025700000002</v>
      </c>
      <c r="D51" s="3">
        <f t="shared" si="9"/>
        <v>11734.665700000001</v>
      </c>
      <c r="E51" s="3">
        <f t="shared" si="9"/>
        <v>11708.6957</v>
      </c>
      <c r="F51" s="3">
        <f t="shared" si="9"/>
        <v>10715.715700000001</v>
      </c>
      <c r="G51" s="3">
        <f t="shared" si="9"/>
        <v>10759.215700000001</v>
      </c>
      <c r="H51" s="3">
        <f t="shared" si="9"/>
        <v>10720.072700000001</v>
      </c>
      <c r="I51" s="3">
        <f t="shared" si="9"/>
        <v>10716.763500000001</v>
      </c>
      <c r="J51" s="3">
        <f t="shared" si="9"/>
        <v>10694.263500000001</v>
      </c>
      <c r="K51" s="3">
        <f t="shared" si="9"/>
        <v>10517.663500000002</v>
      </c>
    </row>
    <row r="52" spans="1:11" x14ac:dyDescent="0.25">
      <c r="A52" t="s">
        <v>35</v>
      </c>
      <c r="B52" s="3">
        <v>-9</v>
      </c>
      <c r="C52" s="3">
        <v>-10</v>
      </c>
      <c r="D52" s="3">
        <v>-11</v>
      </c>
      <c r="E52" s="3">
        <v>-11</v>
      </c>
      <c r="F52" s="3">
        <v>-10</v>
      </c>
      <c r="G52" s="3">
        <v>-14</v>
      </c>
      <c r="H52" s="3">
        <v>-14</v>
      </c>
      <c r="I52" s="3">
        <v>-14</v>
      </c>
      <c r="J52" s="3">
        <v>-11</v>
      </c>
      <c r="K52" s="3">
        <v>-14</v>
      </c>
    </row>
    <row r="53" spans="1:11" x14ac:dyDescent="0.25">
      <c r="A53" t="s">
        <v>36</v>
      </c>
      <c r="B53" s="3">
        <f t="shared" ref="B53:K53" si="10">+B40+B19</f>
        <v>10910.2029</v>
      </c>
      <c r="C53" s="3">
        <f t="shared" si="10"/>
        <v>11119.1029</v>
      </c>
      <c r="D53" s="3">
        <f t="shared" si="10"/>
        <v>11332.802899999999</v>
      </c>
      <c r="E53" s="3">
        <f t="shared" si="10"/>
        <v>11491.802899999999</v>
      </c>
      <c r="F53" s="3">
        <f t="shared" si="10"/>
        <v>11748.3024</v>
      </c>
      <c r="G53" s="3">
        <f t="shared" si="10"/>
        <v>12024.3024</v>
      </c>
      <c r="H53" s="3">
        <f t="shared" si="10"/>
        <v>12241.821400000001</v>
      </c>
      <c r="I53" s="3">
        <f t="shared" si="10"/>
        <v>12260.821400000001</v>
      </c>
      <c r="J53" s="3">
        <f t="shared" si="10"/>
        <v>12443.819799999999</v>
      </c>
      <c r="K53" s="3">
        <f t="shared" si="10"/>
        <v>12524.819799999999</v>
      </c>
    </row>
    <row r="54" spans="1:11" x14ac:dyDescent="0.25">
      <c r="A54" t="s">
        <v>22</v>
      </c>
      <c r="B54" s="3">
        <f t="shared" ref="B54:K54" si="11">+B23+B44</f>
        <v>1160.8547880000001</v>
      </c>
      <c r="C54" s="3">
        <f t="shared" si="11"/>
        <v>1157.0867880000001</v>
      </c>
      <c r="D54" s="3">
        <f t="shared" si="11"/>
        <v>1204.330788</v>
      </c>
      <c r="E54" s="3">
        <f t="shared" si="11"/>
        <v>1227.010788</v>
      </c>
      <c r="F54" s="3">
        <f t="shared" si="11"/>
        <v>1355.3363280000001</v>
      </c>
      <c r="G54" s="3">
        <f t="shared" si="11"/>
        <v>1384.9763279999997</v>
      </c>
      <c r="H54" s="3">
        <f t="shared" si="11"/>
        <v>1415.0953679999998</v>
      </c>
      <c r="I54" s="3">
        <f t="shared" si="11"/>
        <v>1417.375368</v>
      </c>
      <c r="J54" s="3">
        <f t="shared" si="11"/>
        <v>1441.855176</v>
      </c>
      <c r="K54" s="3">
        <f t="shared" si="11"/>
        <v>1471.1591760000001</v>
      </c>
    </row>
    <row r="55" spans="1:11" x14ac:dyDescent="0.25">
      <c r="A55" t="s">
        <v>37</v>
      </c>
      <c r="B55" s="3">
        <f t="shared" ref="B55:K55" si="12">+B54+B53</f>
        <v>12071.057688000001</v>
      </c>
      <c r="C55" s="3">
        <f t="shared" si="12"/>
        <v>12276.189688</v>
      </c>
      <c r="D55" s="3">
        <f t="shared" si="12"/>
        <v>12537.133687999998</v>
      </c>
      <c r="E55" s="3">
        <f t="shared" si="12"/>
        <v>12718.813687999998</v>
      </c>
      <c r="F55" s="3">
        <f t="shared" si="12"/>
        <v>13103.638728</v>
      </c>
      <c r="G55" s="3">
        <f t="shared" si="12"/>
        <v>13409.278728000001</v>
      </c>
      <c r="H55" s="3">
        <f t="shared" si="12"/>
        <v>13656.916768000001</v>
      </c>
      <c r="I55" s="3">
        <f t="shared" si="12"/>
        <v>13678.196768000002</v>
      </c>
      <c r="J55" s="3">
        <f t="shared" si="12"/>
        <v>13885.674975999998</v>
      </c>
      <c r="K55" s="3">
        <f t="shared" si="12"/>
        <v>13995.978975999999</v>
      </c>
    </row>
    <row r="56" spans="1:11" x14ac:dyDescent="0.25">
      <c r="A56" t="s">
        <v>38</v>
      </c>
      <c r="B56" s="3">
        <f t="shared" ref="B56:K56" si="13">+B51+B52-B55</f>
        <v>-294.25198799999998</v>
      </c>
      <c r="C56" s="3">
        <f t="shared" si="13"/>
        <v>-284.16398799999843</v>
      </c>
      <c r="D56" s="3">
        <f t="shared" si="13"/>
        <v>-813.46798799999669</v>
      </c>
      <c r="E56" s="3">
        <f t="shared" si="13"/>
        <v>-1021.1179879999981</v>
      </c>
      <c r="F56" s="3">
        <f t="shared" si="13"/>
        <v>-2397.9230279999992</v>
      </c>
      <c r="G56" s="3">
        <f t="shared" si="13"/>
        <v>-2664.0630280000005</v>
      </c>
      <c r="H56" s="3">
        <f t="shared" si="13"/>
        <v>-2950.8440680000003</v>
      </c>
      <c r="I56" s="3">
        <f t="shared" si="13"/>
        <v>-2975.4332680000007</v>
      </c>
      <c r="J56" s="3">
        <f t="shared" si="13"/>
        <v>-3202.4114759999975</v>
      </c>
      <c r="K56" s="3">
        <f t="shared" si="13"/>
        <v>-3492.3154759999961</v>
      </c>
    </row>
    <row r="57" spans="1:11" x14ac:dyDescent="0.25">
      <c r="A57" t="s">
        <v>23</v>
      </c>
      <c r="B57" s="5">
        <f t="shared" ref="B57:K57" si="14">(B$51+(B$10+B$12+B$14+B$32+B$34)*Target_Margin-B$22-B$43)/B$53-1</f>
        <v>9.3854566169433884E-2</v>
      </c>
      <c r="C57" s="5">
        <f t="shared" si="14"/>
        <v>9.5342975915799988E-2</v>
      </c>
      <c r="D57" s="5">
        <f t="shared" si="14"/>
        <v>4.9190686974711406E-2</v>
      </c>
      <c r="E57" s="5">
        <f t="shared" si="14"/>
        <v>3.2100999574226963E-2</v>
      </c>
      <c r="F57" s="5">
        <f t="shared" si="14"/>
        <v>-8.3256857603529189E-2</v>
      </c>
      <c r="G57" s="5">
        <f t="shared" si="14"/>
        <v>-0.1003922472874601</v>
      </c>
      <c r="H57" s="5">
        <f t="shared" si="14"/>
        <v>-0.11990254162668967</v>
      </c>
      <c r="I57" s="5">
        <f t="shared" si="14"/>
        <v>-0.12153628630460278</v>
      </c>
      <c r="J57" s="5">
        <f t="shared" si="14"/>
        <v>-0.13646558109110518</v>
      </c>
      <c r="K57" s="5">
        <f t="shared" si="14"/>
        <v>-0.15771381397439321</v>
      </c>
    </row>
    <row r="58" spans="1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</sheetData>
  <mergeCells count="2">
    <mergeCell ref="A3:K3"/>
    <mergeCell ref="A4:K4"/>
  </mergeCells>
  <pageMargins left="0.7" right="0.7" top="0.75" bottom="0.75" header="0.3" footer="0.3"/>
  <pageSetup scale="77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3" zoomScaleNormal="100" workbookViewId="0">
      <selection activeCell="E38" sqref="E38"/>
    </sheetView>
  </sheetViews>
  <sheetFormatPr defaultRowHeight="15" x14ac:dyDescent="0.25"/>
  <cols>
    <col min="1" max="1" width="29.140625" customWidth="1"/>
    <col min="2" max="12" width="9.28515625" customWidth="1"/>
  </cols>
  <sheetData>
    <row r="1" spans="1:14" x14ac:dyDescent="0.25">
      <c r="A1" t="s">
        <v>24</v>
      </c>
    </row>
    <row r="3" spans="1:14" ht="18.75" x14ac:dyDescent="0.3">
      <c r="A3" s="72" t="s">
        <v>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N3">
        <v>0.12</v>
      </c>
    </row>
    <row r="4" spans="1:14" x14ac:dyDescent="0.25">
      <c r="D4" s="1" t="s">
        <v>26</v>
      </c>
    </row>
    <row r="6" spans="1:14" x14ac:dyDescent="0.25">
      <c r="A6" t="s">
        <v>0</v>
      </c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</row>
    <row r="7" spans="1:14" x14ac:dyDescent="0.25">
      <c r="A7" s="8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x14ac:dyDescent="0.25">
      <c r="A8" t="s">
        <v>1</v>
      </c>
      <c r="B8" s="3">
        <v>6124.52</v>
      </c>
      <c r="C8" s="3">
        <v>5931.52</v>
      </c>
      <c r="D8" s="3">
        <v>5931.52</v>
      </c>
      <c r="E8" s="3">
        <v>5931.52</v>
      </c>
      <c r="F8" s="3">
        <v>5931.52</v>
      </c>
      <c r="G8" s="3">
        <v>5931.52</v>
      </c>
      <c r="H8" s="3">
        <v>5931.52</v>
      </c>
      <c r="I8" s="3">
        <v>5931.52</v>
      </c>
      <c r="J8" s="3">
        <v>5931.52</v>
      </c>
      <c r="K8" s="3">
        <v>5931.52</v>
      </c>
      <c r="L8" s="3">
        <v>5931.52</v>
      </c>
    </row>
    <row r="9" spans="1:14" x14ac:dyDescent="0.25">
      <c r="A9" t="s">
        <v>28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596</v>
      </c>
      <c r="H9" s="3">
        <v>596</v>
      </c>
      <c r="I9" s="3">
        <v>596</v>
      </c>
      <c r="J9" s="3">
        <v>596</v>
      </c>
      <c r="K9" s="3">
        <v>596</v>
      </c>
      <c r="L9" s="3">
        <v>596</v>
      </c>
    </row>
    <row r="10" spans="1:14" x14ac:dyDescent="0.25">
      <c r="A10" t="s">
        <v>2</v>
      </c>
      <c r="B10" s="3">
        <v>135</v>
      </c>
      <c r="C10" s="3">
        <v>135</v>
      </c>
      <c r="D10" s="3">
        <v>135</v>
      </c>
      <c r="E10" s="3">
        <v>135</v>
      </c>
      <c r="F10" s="3">
        <v>135</v>
      </c>
      <c r="G10" s="3">
        <v>135</v>
      </c>
      <c r="H10" s="3">
        <v>135</v>
      </c>
      <c r="I10" s="3">
        <v>135</v>
      </c>
      <c r="J10" s="3">
        <v>135</v>
      </c>
      <c r="K10" s="3">
        <v>135</v>
      </c>
      <c r="L10" s="3">
        <v>134.80000000000001</v>
      </c>
    </row>
    <row r="11" spans="1:14" x14ac:dyDescent="0.25">
      <c r="A11" t="s">
        <v>3</v>
      </c>
      <c r="B11" s="3">
        <v>153.19999999999999</v>
      </c>
      <c r="C11" s="3">
        <v>163.19999999999999</v>
      </c>
      <c r="D11" s="3">
        <v>163.19999999999999</v>
      </c>
      <c r="E11" s="3">
        <v>163.19999999999999</v>
      </c>
      <c r="F11" s="3">
        <v>163.19999999999999</v>
      </c>
      <c r="G11" s="3">
        <v>163.19999999999999</v>
      </c>
      <c r="H11" s="3">
        <v>163.19999999999999</v>
      </c>
      <c r="I11" s="3">
        <v>163.19999999999999</v>
      </c>
      <c r="J11" s="3">
        <v>163.19999999999999</v>
      </c>
      <c r="K11" s="3">
        <v>163.19999999999999</v>
      </c>
      <c r="L11" s="3">
        <v>0</v>
      </c>
    </row>
    <row r="12" spans="1:14" x14ac:dyDescent="0.25">
      <c r="A12" t="s">
        <v>4</v>
      </c>
      <c r="B12" s="3">
        <v>64.703999999999994</v>
      </c>
      <c r="C12" s="3">
        <v>108.70399999999999</v>
      </c>
      <c r="D12" s="3">
        <v>108.70399999999999</v>
      </c>
      <c r="E12" s="3">
        <v>108.70399999999999</v>
      </c>
      <c r="F12" s="3">
        <v>108.70399999999999</v>
      </c>
      <c r="G12" s="3">
        <v>108.70399999999999</v>
      </c>
      <c r="H12" s="3">
        <v>108.70399999999999</v>
      </c>
      <c r="I12" s="3">
        <v>108.70399999999999</v>
      </c>
      <c r="J12" s="3">
        <v>104.70479999999999</v>
      </c>
      <c r="K12" s="3">
        <v>104.70479999999999</v>
      </c>
      <c r="L12" s="3">
        <v>104.70479999999999</v>
      </c>
    </row>
    <row r="13" spans="1:14" x14ac:dyDescent="0.25">
      <c r="A13" t="s">
        <v>5</v>
      </c>
      <c r="B13" s="3">
        <v>904</v>
      </c>
      <c r="C13" s="3">
        <v>704</v>
      </c>
      <c r="D13" s="3">
        <v>828.3</v>
      </c>
      <c r="E13" s="3">
        <v>648.29999999999995</v>
      </c>
      <c r="F13" s="3">
        <v>668.3</v>
      </c>
      <c r="G13" s="3">
        <v>493.3</v>
      </c>
      <c r="H13" s="3">
        <v>493.3</v>
      </c>
      <c r="I13" s="3">
        <v>493.3</v>
      </c>
      <c r="J13" s="3">
        <v>493.3</v>
      </c>
      <c r="K13" s="3">
        <v>472.3</v>
      </c>
      <c r="L13" s="3">
        <v>472.3</v>
      </c>
    </row>
    <row r="14" spans="1:14" x14ac:dyDescent="0.25">
      <c r="A14" t="s">
        <v>6</v>
      </c>
      <c r="B14" s="3">
        <v>106.1</v>
      </c>
      <c r="C14" s="3">
        <v>106.1</v>
      </c>
      <c r="D14" s="3">
        <v>106.1</v>
      </c>
      <c r="E14" s="3">
        <v>106.1</v>
      </c>
      <c r="F14" s="3">
        <v>106.1</v>
      </c>
      <c r="G14" s="3">
        <v>106.1</v>
      </c>
      <c r="H14" s="3">
        <v>106.1</v>
      </c>
      <c r="I14" s="3">
        <v>106.1</v>
      </c>
      <c r="J14" s="3">
        <v>106.1</v>
      </c>
      <c r="K14" s="3">
        <v>106.1</v>
      </c>
      <c r="L14" s="3">
        <v>105.1</v>
      </c>
    </row>
    <row r="15" spans="1:14" x14ac:dyDescent="0.25">
      <c r="A15" t="s">
        <v>29</v>
      </c>
      <c r="B15" s="3">
        <v>212</v>
      </c>
      <c r="C15" s="3">
        <v>212</v>
      </c>
      <c r="D15" s="3">
        <v>328</v>
      </c>
      <c r="E15" s="3">
        <v>328</v>
      </c>
      <c r="F15" s="3">
        <v>328</v>
      </c>
      <c r="G15" s="3">
        <v>328</v>
      </c>
      <c r="H15" s="3">
        <v>328</v>
      </c>
      <c r="I15" s="3">
        <v>328</v>
      </c>
      <c r="J15" s="3">
        <v>328</v>
      </c>
      <c r="K15" s="3">
        <v>328</v>
      </c>
      <c r="L15" s="3">
        <v>328</v>
      </c>
    </row>
    <row r="16" spans="1:14" x14ac:dyDescent="0.25">
      <c r="A16" t="s">
        <v>7</v>
      </c>
      <c r="B16" s="3">
        <f>SUM(B8:B15)</f>
        <v>7699.5240000000003</v>
      </c>
      <c r="C16" s="3">
        <f t="shared" ref="C16:L16" si="0">SUM(C8:C15)</f>
        <v>7360.5240000000003</v>
      </c>
      <c r="D16" s="3">
        <f t="shared" si="0"/>
        <v>7600.8240000000005</v>
      </c>
      <c r="E16" s="3">
        <f t="shared" si="0"/>
        <v>7420.8240000000005</v>
      </c>
      <c r="F16" s="3">
        <f t="shared" si="0"/>
        <v>7440.8240000000005</v>
      </c>
      <c r="G16" s="3">
        <f t="shared" si="0"/>
        <v>7861.8240000000005</v>
      </c>
      <c r="H16" s="3">
        <f t="shared" si="0"/>
        <v>7861.8240000000005</v>
      </c>
      <c r="I16" s="3">
        <f t="shared" si="0"/>
        <v>7861.8240000000005</v>
      </c>
      <c r="J16" s="3">
        <f t="shared" si="0"/>
        <v>7857.8248000000012</v>
      </c>
      <c r="K16" s="3">
        <f t="shared" si="0"/>
        <v>7836.8248000000012</v>
      </c>
      <c r="L16" s="3">
        <f t="shared" si="0"/>
        <v>7672.4248000000016</v>
      </c>
    </row>
    <row r="17" spans="1:12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t="s">
        <v>8</v>
      </c>
      <c r="B18" s="3">
        <v>6321</v>
      </c>
      <c r="C18" s="3">
        <v>6547</v>
      </c>
      <c r="D18" s="3">
        <v>6725</v>
      </c>
      <c r="E18" s="3">
        <v>6975</v>
      </c>
      <c r="F18" s="3">
        <v>7130</v>
      </c>
      <c r="G18" s="3">
        <v>7404</v>
      </c>
      <c r="H18" s="3">
        <v>7612</v>
      </c>
      <c r="I18" s="3">
        <v>7782</v>
      </c>
      <c r="J18" s="3">
        <v>7827</v>
      </c>
      <c r="K18" s="3">
        <v>8147</v>
      </c>
      <c r="L18" s="3">
        <v>8208</v>
      </c>
    </row>
    <row r="19" spans="1:12" x14ac:dyDescent="0.25">
      <c r="A19" t="s">
        <v>9</v>
      </c>
      <c r="B19" s="3">
        <v>849.08179999999993</v>
      </c>
      <c r="C19" s="3">
        <v>836.08179999999993</v>
      </c>
      <c r="D19" s="3">
        <v>752.08179999999993</v>
      </c>
      <c r="E19" s="3">
        <v>766.08179999999993</v>
      </c>
      <c r="F19" s="3">
        <v>756.08179999999993</v>
      </c>
      <c r="G19" s="3">
        <v>745.08179999999993</v>
      </c>
      <c r="H19" s="3">
        <v>745.08179999999993</v>
      </c>
      <c r="I19" s="3">
        <v>745.08179999999993</v>
      </c>
      <c r="J19" s="3">
        <v>745.08179999999993</v>
      </c>
      <c r="K19" s="3">
        <v>745.08179999999993</v>
      </c>
      <c r="L19" s="3">
        <v>659.08179999999993</v>
      </c>
    </row>
    <row r="20" spans="1:12" x14ac:dyDescent="0.25">
      <c r="A20" t="s">
        <v>10</v>
      </c>
      <c r="B20" s="3">
        <f>+B19+B18</f>
        <v>7170.0817999999999</v>
      </c>
      <c r="C20" s="3">
        <f t="shared" ref="C20:L20" si="1">+C19+C18</f>
        <v>7383.0817999999999</v>
      </c>
      <c r="D20" s="3">
        <f t="shared" si="1"/>
        <v>7477.0817999999999</v>
      </c>
      <c r="E20" s="3">
        <f t="shared" si="1"/>
        <v>7741.0817999999999</v>
      </c>
      <c r="F20" s="3">
        <f t="shared" si="1"/>
        <v>7886.0817999999999</v>
      </c>
      <c r="G20" s="3">
        <f t="shared" si="1"/>
        <v>8149.0817999999999</v>
      </c>
      <c r="H20" s="3">
        <f t="shared" si="1"/>
        <v>8357.0817999999999</v>
      </c>
      <c r="I20" s="3">
        <f t="shared" si="1"/>
        <v>8527.0817999999999</v>
      </c>
      <c r="J20" s="3">
        <f t="shared" si="1"/>
        <v>8572.0817999999999</v>
      </c>
      <c r="K20" s="3">
        <f t="shared" si="1"/>
        <v>8892.0817999999999</v>
      </c>
      <c r="L20" s="3">
        <f t="shared" si="1"/>
        <v>8867.0817999999999</v>
      </c>
    </row>
    <row r="21" spans="1:1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t="s">
        <v>30</v>
      </c>
      <c r="B22" s="3">
        <v>708.105816</v>
      </c>
      <c r="C22" s="3">
        <v>756.46581600000002</v>
      </c>
      <c r="D22" s="3">
        <v>738.90981599999998</v>
      </c>
      <c r="E22" s="3">
        <v>792.18981599999995</v>
      </c>
      <c r="F22" s="3">
        <v>807.18981599999995</v>
      </c>
      <c r="G22" s="3">
        <v>859.74981600000001</v>
      </c>
      <c r="H22" s="3">
        <v>884.70981599999982</v>
      </c>
      <c r="I22" s="3">
        <v>905.1098159999998</v>
      </c>
      <c r="J22" s="3">
        <v>910.50981599999989</v>
      </c>
      <c r="K22" s="3">
        <v>951.42981599999996</v>
      </c>
      <c r="L22" s="3">
        <v>968.01381600000002</v>
      </c>
    </row>
    <row r="23" spans="1:12" x14ac:dyDescent="0.25">
      <c r="A23" t="s">
        <v>31</v>
      </c>
      <c r="B23" s="3">
        <v>70.599999999999994</v>
      </c>
      <c r="C23" s="3">
        <v>70.599999999999994</v>
      </c>
      <c r="D23" s="3">
        <v>70.599999999999994</v>
      </c>
      <c r="E23" s="3">
        <v>70.599999999999994</v>
      </c>
      <c r="F23" s="3">
        <v>70.599999999999994</v>
      </c>
      <c r="G23" s="3">
        <v>70.599999999999994</v>
      </c>
      <c r="H23" s="3">
        <v>70.599999999999994</v>
      </c>
      <c r="I23" s="3">
        <v>70.599999999999994</v>
      </c>
      <c r="J23" s="3">
        <v>70.599999999999994</v>
      </c>
      <c r="K23" s="3">
        <v>70.599999999999994</v>
      </c>
      <c r="L23" s="3">
        <v>70.599999999999994</v>
      </c>
    </row>
    <row r="24" spans="1:12" x14ac:dyDescent="0.25">
      <c r="A24" t="s">
        <v>11</v>
      </c>
      <c r="B24" s="3">
        <f>+B23+B22</f>
        <v>778.70581600000003</v>
      </c>
      <c r="C24" s="3">
        <f t="shared" ref="C24:L24" si="2">+C23+C22</f>
        <v>827.06581600000004</v>
      </c>
      <c r="D24" s="3">
        <f t="shared" si="2"/>
        <v>809.509816</v>
      </c>
      <c r="E24" s="3">
        <f t="shared" si="2"/>
        <v>862.78981599999997</v>
      </c>
      <c r="F24" s="3">
        <f t="shared" si="2"/>
        <v>877.78981599999997</v>
      </c>
      <c r="G24" s="3">
        <f t="shared" si="2"/>
        <v>930.34981600000003</v>
      </c>
      <c r="H24" s="3">
        <f t="shared" si="2"/>
        <v>955.30981599999984</v>
      </c>
      <c r="I24" s="3">
        <f t="shared" si="2"/>
        <v>975.70981599999982</v>
      </c>
      <c r="J24" s="3">
        <f t="shared" si="2"/>
        <v>981.10981599999991</v>
      </c>
      <c r="K24" s="3">
        <f t="shared" si="2"/>
        <v>1022.029816</v>
      </c>
      <c r="L24" s="3">
        <f t="shared" si="2"/>
        <v>1038.613816</v>
      </c>
    </row>
    <row r="25" spans="1:12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t="s">
        <v>12</v>
      </c>
      <c r="B26" s="3">
        <f>+B24+B20</f>
        <v>7948.7876159999996</v>
      </c>
      <c r="C26" s="3">
        <f t="shared" ref="C26:L26" si="3">+C24+C20</f>
        <v>8210.1476160000002</v>
      </c>
      <c r="D26" s="3">
        <f t="shared" si="3"/>
        <v>8286.5916159999997</v>
      </c>
      <c r="E26" s="3">
        <f t="shared" si="3"/>
        <v>8603.8716160000004</v>
      </c>
      <c r="F26" s="3">
        <f t="shared" si="3"/>
        <v>8763.8716160000004</v>
      </c>
      <c r="G26" s="3">
        <f t="shared" si="3"/>
        <v>9079.4316159999998</v>
      </c>
      <c r="H26" s="3">
        <f t="shared" si="3"/>
        <v>9312.391615999999</v>
      </c>
      <c r="I26" s="3">
        <f t="shared" si="3"/>
        <v>9502.7916160000004</v>
      </c>
      <c r="J26" s="3">
        <f t="shared" si="3"/>
        <v>9553.1916160000001</v>
      </c>
      <c r="K26" s="3">
        <f t="shared" si="3"/>
        <v>9914.1116160000001</v>
      </c>
      <c r="L26" s="3">
        <f t="shared" si="3"/>
        <v>9905.6956160000009</v>
      </c>
    </row>
    <row r="27" spans="1:12" x14ac:dyDescent="0.25">
      <c r="A27" t="s">
        <v>13</v>
      </c>
      <c r="B27" s="3">
        <f>+B16-B26</f>
        <v>-249.26361599999927</v>
      </c>
      <c r="C27" s="3">
        <f t="shared" ref="C27:L27" si="4">+C16-C26</f>
        <v>-849.62361599999986</v>
      </c>
      <c r="D27" s="3">
        <f t="shared" si="4"/>
        <v>-685.76761599999918</v>
      </c>
      <c r="E27" s="3">
        <f t="shared" si="4"/>
        <v>-1183.0476159999998</v>
      </c>
      <c r="F27" s="3">
        <f t="shared" si="4"/>
        <v>-1323.0476159999998</v>
      </c>
      <c r="G27" s="3">
        <f t="shared" si="4"/>
        <v>-1217.6076159999993</v>
      </c>
      <c r="H27" s="3">
        <f t="shared" si="4"/>
        <v>-1450.5676159999985</v>
      </c>
      <c r="I27" s="3">
        <f t="shared" si="4"/>
        <v>-1640.9676159999999</v>
      </c>
      <c r="J27" s="3">
        <f t="shared" si="4"/>
        <v>-1695.3668159999988</v>
      </c>
      <c r="K27" s="3">
        <f t="shared" si="4"/>
        <v>-2077.2868159999989</v>
      </c>
      <c r="L27" s="3">
        <f t="shared" si="4"/>
        <v>-2233.2708159999993</v>
      </c>
    </row>
    <row r="28" spans="1:12" x14ac:dyDescent="0.25">
      <c r="A28" t="s">
        <v>14</v>
      </c>
      <c r="B28" s="5">
        <f t="shared" ref="B28:L28" si="5">(B$16+(B$11+B$13+B$15)*Target_Margin-B$23)/B$20-1</f>
        <v>8.5235596614811282E-2</v>
      </c>
      <c r="C28" s="5">
        <f t="shared" si="5"/>
        <v>4.9229036037499174E-3</v>
      </c>
      <c r="D28" s="5">
        <f t="shared" si="5"/>
        <v>2.8284055953487153E-2</v>
      </c>
      <c r="E28" s="5">
        <f t="shared" si="5"/>
        <v>-3.2827168936517381E-2</v>
      </c>
      <c r="F28" s="5">
        <f t="shared" si="5"/>
        <v>-4.776995846023302E-2</v>
      </c>
      <c r="G28" s="5">
        <f t="shared" si="5"/>
        <v>-2.9416541137186725E-2</v>
      </c>
      <c r="H28" s="5">
        <f t="shared" si="5"/>
        <v>-5.3573461492263941E-2</v>
      </c>
      <c r="I28" s="5">
        <f t="shared" si="5"/>
        <v>-7.2441875718841975E-2</v>
      </c>
      <c r="J28" s="5">
        <f t="shared" si="5"/>
        <v>-7.7777722559763562E-2</v>
      </c>
      <c r="K28" s="5">
        <f t="shared" si="5"/>
        <v>-0.11361085319750419</v>
      </c>
      <c r="L28" s="5">
        <f t="shared" si="5"/>
        <v>-0.13186085640937684</v>
      </c>
    </row>
    <row r="29" spans="1:12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8" t="s">
        <v>32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t="s">
        <v>1</v>
      </c>
      <c r="B31" s="3">
        <v>2046</v>
      </c>
      <c r="C31" s="3">
        <v>2046</v>
      </c>
      <c r="D31" s="3">
        <v>2046</v>
      </c>
      <c r="E31" s="3">
        <v>2046</v>
      </c>
      <c r="F31" s="3">
        <v>2046</v>
      </c>
      <c r="G31" s="3">
        <v>2046</v>
      </c>
      <c r="H31" s="3">
        <v>2046</v>
      </c>
      <c r="I31" s="3">
        <v>2046</v>
      </c>
      <c r="J31" s="3">
        <v>2046</v>
      </c>
      <c r="K31" s="3">
        <v>2046</v>
      </c>
      <c r="L31" s="3">
        <v>2024</v>
      </c>
    </row>
    <row r="32" spans="1:12" x14ac:dyDescent="0.25">
      <c r="A32" t="s">
        <v>33</v>
      </c>
      <c r="B32" s="3">
        <v>0</v>
      </c>
      <c r="C32" s="3">
        <v>0</v>
      </c>
      <c r="D32" s="3">
        <v>509</v>
      </c>
      <c r="E32" s="3">
        <v>509</v>
      </c>
      <c r="F32" s="3">
        <v>509</v>
      </c>
      <c r="G32" s="3">
        <v>509</v>
      </c>
      <c r="H32" s="3">
        <v>509</v>
      </c>
      <c r="I32" s="3">
        <v>509</v>
      </c>
      <c r="J32" s="3">
        <v>509</v>
      </c>
      <c r="K32" s="3">
        <v>509</v>
      </c>
      <c r="L32" s="3">
        <v>509</v>
      </c>
    </row>
    <row r="33" spans="1:12" x14ac:dyDescent="0.25">
      <c r="A33" t="s">
        <v>2</v>
      </c>
      <c r="B33" s="3">
        <v>1421.39</v>
      </c>
      <c r="C33" s="3">
        <v>1421.09</v>
      </c>
      <c r="D33" s="3">
        <v>1414.01</v>
      </c>
      <c r="E33" s="3">
        <v>1327.65</v>
      </c>
      <c r="F33" s="3">
        <v>1331.68</v>
      </c>
      <c r="G33" s="3">
        <v>1174.58</v>
      </c>
      <c r="H33" s="3">
        <v>1174.08</v>
      </c>
      <c r="I33" s="3">
        <v>1168.4100000000001</v>
      </c>
      <c r="J33" s="3">
        <v>1169.0999999999999</v>
      </c>
      <c r="K33" s="3">
        <v>1167.5999999999999</v>
      </c>
      <c r="L33" s="3">
        <v>1177.4000000000001</v>
      </c>
    </row>
    <row r="34" spans="1:12" x14ac:dyDescent="0.25">
      <c r="A34" t="s">
        <v>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x14ac:dyDescent="0.25">
      <c r="A35" t="s">
        <v>4</v>
      </c>
      <c r="B35" s="3">
        <v>118.4787</v>
      </c>
      <c r="C35" s="3">
        <v>118.4787</v>
      </c>
      <c r="D35" s="3">
        <v>118.4787</v>
      </c>
      <c r="E35" s="3">
        <v>118.4787</v>
      </c>
      <c r="F35" s="3">
        <v>118.4787</v>
      </c>
      <c r="G35" s="3">
        <v>94.478700000000003</v>
      </c>
      <c r="H35" s="3">
        <v>94.478700000000003</v>
      </c>
      <c r="I35" s="3">
        <v>94.478700000000003</v>
      </c>
      <c r="J35" s="3">
        <v>94.478700000000003</v>
      </c>
      <c r="K35" s="3">
        <v>94.478700000000003</v>
      </c>
      <c r="L35" s="3">
        <v>94.478700000000003</v>
      </c>
    </row>
    <row r="36" spans="1:12" x14ac:dyDescent="0.25">
      <c r="A36" t="s">
        <v>5</v>
      </c>
      <c r="B36" s="3">
        <v>785.71299999999997</v>
      </c>
      <c r="C36" s="3">
        <v>799.71299999999997</v>
      </c>
      <c r="D36" s="3">
        <v>799.71299999999997</v>
      </c>
      <c r="E36" s="3">
        <v>799.71299999999997</v>
      </c>
      <c r="F36" s="3">
        <v>749.71299999999997</v>
      </c>
      <c r="G36" s="3">
        <v>111.833</v>
      </c>
      <c r="H36" s="3">
        <v>140.833</v>
      </c>
      <c r="I36" s="3">
        <v>107.36</v>
      </c>
      <c r="J36" s="3">
        <v>107.36</v>
      </c>
      <c r="K36" s="3">
        <v>107.36</v>
      </c>
      <c r="L36" s="3">
        <v>107.36</v>
      </c>
    </row>
    <row r="37" spans="1:12" x14ac:dyDescent="0.25">
      <c r="A37" t="s">
        <v>6</v>
      </c>
      <c r="B37" s="3">
        <v>40</v>
      </c>
      <c r="C37" s="3">
        <v>40</v>
      </c>
      <c r="D37" s="3">
        <v>40</v>
      </c>
      <c r="E37" s="3">
        <v>40</v>
      </c>
      <c r="F37" s="3">
        <v>40</v>
      </c>
      <c r="G37" s="3">
        <v>40</v>
      </c>
      <c r="H37" s="3">
        <v>38</v>
      </c>
      <c r="I37" s="3">
        <v>38</v>
      </c>
      <c r="J37" s="3">
        <v>38</v>
      </c>
      <c r="K37" s="3">
        <v>38</v>
      </c>
      <c r="L37" s="3">
        <v>38</v>
      </c>
    </row>
    <row r="38" spans="1:12" x14ac:dyDescent="0.25">
      <c r="A38" t="s">
        <v>15</v>
      </c>
      <c r="B38" s="3">
        <f>SUM(B31:B37)</f>
        <v>4411.5817000000006</v>
      </c>
      <c r="C38" s="3">
        <v>4425.2817000000005</v>
      </c>
      <c r="D38" s="3">
        <v>4927.2017000000005</v>
      </c>
      <c r="E38" s="3">
        <v>4840.8416999999999</v>
      </c>
      <c r="F38" s="3">
        <v>4794.8717000000006</v>
      </c>
      <c r="G38" s="3">
        <v>3975.8917000000001</v>
      </c>
      <c r="H38" s="3">
        <v>4002.3917000000001</v>
      </c>
      <c r="I38" s="3">
        <v>3963.2487000000001</v>
      </c>
      <c r="J38" s="3">
        <v>3963.9387000000002</v>
      </c>
      <c r="K38" s="3">
        <v>3962.4387000000002</v>
      </c>
      <c r="L38" s="3">
        <v>3950.2387000000003</v>
      </c>
    </row>
    <row r="39" spans="1:1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t="s">
        <v>8</v>
      </c>
      <c r="B40" s="3">
        <v>2922</v>
      </c>
      <c r="C40" s="3">
        <v>3228</v>
      </c>
      <c r="D40" s="3">
        <v>3343</v>
      </c>
      <c r="E40" s="3">
        <v>3302</v>
      </c>
      <c r="F40" s="3">
        <v>3316</v>
      </c>
      <c r="G40" s="3">
        <v>3341</v>
      </c>
      <c r="H40" s="3">
        <v>3409</v>
      </c>
      <c r="I40" s="3">
        <v>3457</v>
      </c>
      <c r="J40" s="3">
        <v>3531</v>
      </c>
      <c r="K40" s="3">
        <v>3444</v>
      </c>
      <c r="L40" s="3">
        <v>3550</v>
      </c>
    </row>
    <row r="41" spans="1:12" x14ac:dyDescent="0.25">
      <c r="A41" t="s">
        <v>9</v>
      </c>
      <c r="B41" s="3">
        <v>299.12109999999996</v>
      </c>
      <c r="C41" s="3">
        <v>299.12109999999996</v>
      </c>
      <c r="D41" s="3">
        <v>299.02109999999999</v>
      </c>
      <c r="E41" s="3">
        <v>289.72109999999998</v>
      </c>
      <c r="F41" s="3">
        <v>289.72109999999998</v>
      </c>
      <c r="G41" s="3">
        <v>258.22059999999999</v>
      </c>
      <c r="H41" s="3">
        <v>258.22059999999999</v>
      </c>
      <c r="I41" s="3">
        <v>257.7396</v>
      </c>
      <c r="J41" s="3">
        <v>157.7396</v>
      </c>
      <c r="K41" s="3">
        <v>107.738</v>
      </c>
      <c r="L41" s="3">
        <v>107.738</v>
      </c>
    </row>
    <row r="42" spans="1:12" x14ac:dyDescent="0.25">
      <c r="A42" t="s">
        <v>16</v>
      </c>
      <c r="B42" s="3">
        <f>+B41+B40</f>
        <v>3221.1210999999998</v>
      </c>
      <c r="C42" s="3">
        <v>3527.1210999999998</v>
      </c>
      <c r="D42" s="3">
        <v>3642.0210999999999</v>
      </c>
      <c r="E42" s="3">
        <v>3591.7210999999998</v>
      </c>
      <c r="F42" s="3">
        <v>3605.7210999999998</v>
      </c>
      <c r="G42" s="3">
        <v>3599.2206000000001</v>
      </c>
      <c r="H42" s="3">
        <v>3667.2206000000001</v>
      </c>
      <c r="I42" s="3">
        <v>3714.7395999999999</v>
      </c>
      <c r="J42" s="3">
        <v>3688.7395999999999</v>
      </c>
      <c r="K42" s="3">
        <v>3551.7379999999998</v>
      </c>
      <c r="L42" s="3">
        <v>3657.7379999999998</v>
      </c>
    </row>
    <row r="43" spans="1:12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t="s">
        <v>30</v>
      </c>
      <c r="B44" s="3">
        <v>292.24897199999992</v>
      </c>
      <c r="C44" s="3">
        <v>327.28897199999994</v>
      </c>
      <c r="D44" s="3">
        <v>341.07697200000001</v>
      </c>
      <c r="E44" s="3">
        <v>335.04097200000001</v>
      </c>
      <c r="F44" s="3">
        <v>342.72097199999996</v>
      </c>
      <c r="G44" s="3">
        <v>418.486512</v>
      </c>
      <c r="H44" s="3">
        <v>423.16651200000001</v>
      </c>
      <c r="I44" s="3">
        <v>432.88555199999996</v>
      </c>
      <c r="J44" s="3">
        <v>429.76555199999996</v>
      </c>
      <c r="K44" s="3">
        <v>413.32535999999993</v>
      </c>
      <c r="L44" s="3">
        <v>426.04535999999996</v>
      </c>
    </row>
    <row r="45" spans="1:12" x14ac:dyDescent="0.25">
      <c r="A45" t="s">
        <v>31</v>
      </c>
      <c r="B45" s="3">
        <v>6.5</v>
      </c>
      <c r="C45" s="3">
        <v>6.5</v>
      </c>
      <c r="D45" s="3">
        <v>6.5</v>
      </c>
      <c r="E45" s="3">
        <v>6.5</v>
      </c>
      <c r="F45" s="3">
        <v>6.5</v>
      </c>
      <c r="G45" s="3">
        <v>6.5</v>
      </c>
      <c r="H45" s="3">
        <v>6.5</v>
      </c>
      <c r="I45" s="3">
        <v>6.5</v>
      </c>
      <c r="J45" s="3">
        <v>6.5</v>
      </c>
      <c r="K45" s="3">
        <v>6.5</v>
      </c>
      <c r="L45" s="3">
        <v>6.5</v>
      </c>
    </row>
    <row r="46" spans="1:12" x14ac:dyDescent="0.25">
      <c r="A46" t="s">
        <v>17</v>
      </c>
      <c r="B46" s="3">
        <f>+B45+B44</f>
        <v>298.74897199999992</v>
      </c>
      <c r="C46" s="3">
        <v>333.78897199999994</v>
      </c>
      <c r="D46" s="3">
        <v>347.57697200000001</v>
      </c>
      <c r="E46" s="3">
        <v>341.54097200000001</v>
      </c>
      <c r="F46" s="3">
        <v>349.22097199999996</v>
      </c>
      <c r="G46" s="3">
        <v>424.986512</v>
      </c>
      <c r="H46" s="3">
        <v>429.66651200000001</v>
      </c>
      <c r="I46" s="3">
        <v>439.38555199999996</v>
      </c>
      <c r="J46" s="3">
        <v>436.26555199999996</v>
      </c>
      <c r="K46" s="3">
        <v>419.82535999999993</v>
      </c>
      <c r="L46" s="3">
        <v>432.54535999999996</v>
      </c>
    </row>
    <row r="47" spans="1:1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t="s">
        <v>18</v>
      </c>
      <c r="B48" s="3">
        <f>+B46+B42</f>
        <v>3519.8700719999997</v>
      </c>
      <c r="C48" s="3">
        <f t="shared" ref="C48:L48" si="6">+C46+C42</f>
        <v>3860.9100719999997</v>
      </c>
      <c r="D48" s="3">
        <f t="shared" si="6"/>
        <v>3989.5980719999998</v>
      </c>
      <c r="E48" s="3">
        <f t="shared" si="6"/>
        <v>3933.2620719999995</v>
      </c>
      <c r="F48" s="3">
        <f t="shared" si="6"/>
        <v>3954.9420719999998</v>
      </c>
      <c r="G48" s="3">
        <f t="shared" si="6"/>
        <v>4024.2071120000001</v>
      </c>
      <c r="H48" s="3">
        <f t="shared" si="6"/>
        <v>4096.8871120000003</v>
      </c>
      <c r="I48" s="3">
        <f t="shared" si="6"/>
        <v>4154.1251519999996</v>
      </c>
      <c r="J48" s="3">
        <f t="shared" si="6"/>
        <v>4125.0051519999997</v>
      </c>
      <c r="K48" s="3">
        <f t="shared" si="6"/>
        <v>3971.5633599999996</v>
      </c>
      <c r="L48" s="3">
        <f t="shared" si="6"/>
        <v>4090.2833599999999</v>
      </c>
    </row>
    <row r="49" spans="1:12" x14ac:dyDescent="0.25">
      <c r="A49" t="s">
        <v>19</v>
      </c>
      <c r="B49" s="3">
        <f>+B38-B48</f>
        <v>891.71162800000093</v>
      </c>
      <c r="C49" s="3">
        <f t="shared" ref="C49:L49" si="7">+C38-C48</f>
        <v>564.37162800000078</v>
      </c>
      <c r="D49" s="3">
        <f t="shared" si="7"/>
        <v>937.60362800000075</v>
      </c>
      <c r="E49" s="3">
        <f t="shared" si="7"/>
        <v>907.57962800000041</v>
      </c>
      <c r="F49" s="3">
        <f t="shared" si="7"/>
        <v>839.92962800000078</v>
      </c>
      <c r="G49" s="3">
        <f t="shared" si="7"/>
        <v>-48.315411999999924</v>
      </c>
      <c r="H49" s="3">
        <f t="shared" si="7"/>
        <v>-94.495412000000215</v>
      </c>
      <c r="I49" s="3">
        <f t="shared" si="7"/>
        <v>-190.87645199999952</v>
      </c>
      <c r="J49" s="3">
        <f t="shared" si="7"/>
        <v>-161.06645199999957</v>
      </c>
      <c r="K49" s="3">
        <f t="shared" si="7"/>
        <v>-9.1246599999994942</v>
      </c>
      <c r="L49" s="3">
        <f t="shared" si="7"/>
        <v>-140.04465999999957</v>
      </c>
    </row>
    <row r="50" spans="1:12" x14ac:dyDescent="0.25">
      <c r="A50" t="s">
        <v>20</v>
      </c>
      <c r="B50" s="5">
        <f t="shared" ref="B50:L50" si="8">(B$38+(B$34+B$36)*Target_Margin-B$45)/B$42-1</f>
        <v>0.39683269281617539</v>
      </c>
      <c r="C50" s="5">
        <f t="shared" si="8"/>
        <v>0.28000914400132171</v>
      </c>
      <c r="D50" s="5">
        <f t="shared" si="8"/>
        <v>0.3774404711713506</v>
      </c>
      <c r="E50" s="5">
        <f t="shared" si="8"/>
        <v>0.37268655408684159</v>
      </c>
      <c r="F50" s="5">
        <f t="shared" si="8"/>
        <v>0.35294359289186295</v>
      </c>
      <c r="G50" s="5">
        <f t="shared" si="8"/>
        <v>0.10657614595782205</v>
      </c>
      <c r="H50" s="5">
        <f t="shared" si="8"/>
        <v>9.4232416779072459E-2</v>
      </c>
      <c r="I50" s="5">
        <f t="shared" si="8"/>
        <v>6.8616465067968813E-2</v>
      </c>
      <c r="J50" s="5">
        <f t="shared" si="8"/>
        <v>7.633564049899344E-2</v>
      </c>
      <c r="K50" s="5">
        <f t="shared" si="8"/>
        <v>0.11743093099772572</v>
      </c>
      <c r="L50" s="5">
        <f t="shared" si="8"/>
        <v>8.1712768929868895E-2</v>
      </c>
    </row>
    <row r="51" spans="1:1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8" t="s">
        <v>34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t="s">
        <v>21</v>
      </c>
      <c r="B53" s="3">
        <f>+B16+B38</f>
        <v>12111.1057</v>
      </c>
      <c r="C53" s="3">
        <f t="shared" ref="C53:L53" si="9">+C16+C38</f>
        <v>11785.805700000001</v>
      </c>
      <c r="D53" s="3">
        <f t="shared" si="9"/>
        <v>12528.025700000002</v>
      </c>
      <c r="E53" s="3">
        <f t="shared" si="9"/>
        <v>12261.665700000001</v>
      </c>
      <c r="F53" s="3">
        <f t="shared" si="9"/>
        <v>12235.6957</v>
      </c>
      <c r="G53" s="3">
        <f t="shared" si="9"/>
        <v>11837.715700000001</v>
      </c>
      <c r="H53" s="3">
        <f t="shared" si="9"/>
        <v>11864.215700000001</v>
      </c>
      <c r="I53" s="3">
        <f t="shared" si="9"/>
        <v>11825.072700000001</v>
      </c>
      <c r="J53" s="3">
        <f t="shared" si="9"/>
        <v>11821.763500000001</v>
      </c>
      <c r="K53" s="3">
        <f t="shared" si="9"/>
        <v>11799.263500000001</v>
      </c>
      <c r="L53" s="3">
        <f t="shared" si="9"/>
        <v>11622.663500000002</v>
      </c>
    </row>
    <row r="54" spans="1:12" x14ac:dyDescent="0.25">
      <c r="A54" t="s">
        <v>35</v>
      </c>
      <c r="B54" s="3">
        <v>-5</v>
      </c>
      <c r="C54" s="3">
        <v>-9</v>
      </c>
      <c r="D54" s="3">
        <v>-10</v>
      </c>
      <c r="E54" s="3">
        <v>-11</v>
      </c>
      <c r="F54" s="3">
        <v>-11</v>
      </c>
      <c r="G54" s="3">
        <v>-10</v>
      </c>
      <c r="H54" s="3">
        <v>-14</v>
      </c>
      <c r="I54" s="3">
        <v>-14</v>
      </c>
      <c r="J54" s="3">
        <v>-14</v>
      </c>
      <c r="K54" s="3">
        <v>-11</v>
      </c>
      <c r="L54" s="3">
        <v>-14</v>
      </c>
    </row>
    <row r="55" spans="1:12" x14ac:dyDescent="0.25">
      <c r="A55" t="s">
        <v>36</v>
      </c>
      <c r="B55" s="3">
        <f>+B42+B20</f>
        <v>10391.2029</v>
      </c>
      <c r="C55" s="3">
        <f t="shared" ref="C55:L55" si="10">+C42+C20</f>
        <v>10910.2029</v>
      </c>
      <c r="D55" s="3">
        <f t="shared" si="10"/>
        <v>11119.1029</v>
      </c>
      <c r="E55" s="3">
        <f t="shared" si="10"/>
        <v>11332.802899999999</v>
      </c>
      <c r="F55" s="3">
        <f t="shared" si="10"/>
        <v>11491.802899999999</v>
      </c>
      <c r="G55" s="3">
        <f t="shared" si="10"/>
        <v>11748.3024</v>
      </c>
      <c r="H55" s="3">
        <f t="shared" si="10"/>
        <v>12024.3024</v>
      </c>
      <c r="I55" s="3">
        <f t="shared" si="10"/>
        <v>12241.821400000001</v>
      </c>
      <c r="J55" s="3">
        <f t="shared" si="10"/>
        <v>12260.821400000001</v>
      </c>
      <c r="K55" s="3">
        <f t="shared" si="10"/>
        <v>12443.819799999999</v>
      </c>
      <c r="L55" s="3">
        <f t="shared" si="10"/>
        <v>12524.819799999999</v>
      </c>
    </row>
    <row r="56" spans="1:12" x14ac:dyDescent="0.25">
      <c r="A56" t="s">
        <v>22</v>
      </c>
      <c r="B56" s="3">
        <f>+B24+B46</f>
        <v>1077.454788</v>
      </c>
      <c r="C56" s="3">
        <f t="shared" ref="C56:L56" si="11">+C24+C46</f>
        <v>1160.8547880000001</v>
      </c>
      <c r="D56" s="3">
        <f t="shared" si="11"/>
        <v>1157.0867880000001</v>
      </c>
      <c r="E56" s="3">
        <f t="shared" si="11"/>
        <v>1204.330788</v>
      </c>
      <c r="F56" s="3">
        <f t="shared" si="11"/>
        <v>1227.010788</v>
      </c>
      <c r="G56" s="3">
        <f t="shared" si="11"/>
        <v>1355.3363280000001</v>
      </c>
      <c r="H56" s="3">
        <f t="shared" si="11"/>
        <v>1384.9763279999997</v>
      </c>
      <c r="I56" s="3">
        <f t="shared" si="11"/>
        <v>1415.0953679999998</v>
      </c>
      <c r="J56" s="3">
        <f t="shared" si="11"/>
        <v>1417.375368</v>
      </c>
      <c r="K56" s="3">
        <f t="shared" si="11"/>
        <v>1441.855176</v>
      </c>
      <c r="L56" s="3">
        <f t="shared" si="11"/>
        <v>1471.1591760000001</v>
      </c>
    </row>
    <row r="57" spans="1:12" x14ac:dyDescent="0.25">
      <c r="A57" t="s">
        <v>37</v>
      </c>
      <c r="B57" s="3">
        <f>+B56+B55</f>
        <v>11468.657687999999</v>
      </c>
      <c r="C57" s="3">
        <f t="shared" ref="C57:L57" si="12">+C56+C55</f>
        <v>12071.057688000001</v>
      </c>
      <c r="D57" s="3">
        <f t="shared" si="12"/>
        <v>12276.189688</v>
      </c>
      <c r="E57" s="3">
        <f t="shared" si="12"/>
        <v>12537.133687999998</v>
      </c>
      <c r="F57" s="3">
        <f t="shared" si="12"/>
        <v>12718.813687999998</v>
      </c>
      <c r="G57" s="3">
        <f t="shared" si="12"/>
        <v>13103.638728</v>
      </c>
      <c r="H57" s="3">
        <f t="shared" si="12"/>
        <v>13409.278728000001</v>
      </c>
      <c r="I57" s="3">
        <f t="shared" si="12"/>
        <v>13656.916768000001</v>
      </c>
      <c r="J57" s="3">
        <f t="shared" si="12"/>
        <v>13678.196768000002</v>
      </c>
      <c r="K57" s="3">
        <f t="shared" si="12"/>
        <v>13885.674975999998</v>
      </c>
      <c r="L57" s="3">
        <f t="shared" si="12"/>
        <v>13995.978975999999</v>
      </c>
    </row>
    <row r="58" spans="1:12" x14ac:dyDescent="0.25">
      <c r="A58" t="s">
        <v>38</v>
      </c>
      <c r="B58" s="3">
        <f>+B53+B54-B57</f>
        <v>637.44801200000074</v>
      </c>
      <c r="C58" s="3">
        <f t="shared" ref="C58:L58" si="13">+C53+C54-C57</f>
        <v>-294.25198799999998</v>
      </c>
      <c r="D58" s="3">
        <f t="shared" si="13"/>
        <v>241.83601200000157</v>
      </c>
      <c r="E58" s="3">
        <f t="shared" si="13"/>
        <v>-286.46798799999669</v>
      </c>
      <c r="F58" s="3">
        <f t="shared" si="13"/>
        <v>-494.11798799999815</v>
      </c>
      <c r="G58" s="3">
        <f t="shared" si="13"/>
        <v>-1275.9230279999992</v>
      </c>
      <c r="H58" s="3">
        <f t="shared" si="13"/>
        <v>-1559.0630280000005</v>
      </c>
      <c r="I58" s="3">
        <f t="shared" si="13"/>
        <v>-1845.8440680000003</v>
      </c>
      <c r="J58" s="3">
        <f t="shared" si="13"/>
        <v>-1870.4332680000007</v>
      </c>
      <c r="K58" s="3">
        <f t="shared" si="13"/>
        <v>-2097.4114759999975</v>
      </c>
      <c r="L58" s="3">
        <f t="shared" si="13"/>
        <v>-2387.3154759999961</v>
      </c>
    </row>
    <row r="59" spans="1:12" x14ac:dyDescent="0.25">
      <c r="A59" t="s">
        <v>23</v>
      </c>
      <c r="B59" s="5">
        <f t="shared" ref="B59:L59" si="14">(B$53+(B$11+B$13+B$15+B$34+B$36)*Target_Margin-B$23-B$45)/B$55-1</f>
        <v>0.18182614449766921</v>
      </c>
      <c r="C59" s="5">
        <f t="shared" si="14"/>
        <v>9.3854566169433884E-2</v>
      </c>
      <c r="D59" s="5">
        <f t="shared" si="14"/>
        <v>0.14264895057316207</v>
      </c>
      <c r="E59" s="5">
        <f t="shared" si="14"/>
        <v>9.5692863413339824E-2</v>
      </c>
      <c r="F59" s="5">
        <f t="shared" si="14"/>
        <v>7.7959774266577631E-2</v>
      </c>
      <c r="G59" s="5">
        <f t="shared" si="14"/>
        <v>1.2246302069991E-2</v>
      </c>
      <c r="H59" s="5">
        <f t="shared" si="14"/>
        <v>-8.4950242103026818E-3</v>
      </c>
      <c r="I59" s="5">
        <f t="shared" si="14"/>
        <v>-2.9638195832525471E-2</v>
      </c>
      <c r="J59" s="5">
        <f t="shared" si="14"/>
        <v>-3.1411818787279611E-2</v>
      </c>
      <c r="K59" s="5">
        <f t="shared" si="14"/>
        <v>-4.7666480994846938E-2</v>
      </c>
      <c r="L59" s="5">
        <f t="shared" si="14"/>
        <v>-6.948899176976564E-2</v>
      </c>
    </row>
    <row r="60" spans="1:1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mergeCells count="1">
    <mergeCell ref="A3:L3"/>
  </mergeCells>
  <pageMargins left="0.7" right="0.7" top="0.75" bottom="0.75" header="0.3" footer="0.3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2"/>
  <sheetViews>
    <sheetView topLeftCell="A28" zoomScaleNormal="100" workbookViewId="0">
      <selection activeCell="A4" sqref="A4:J4"/>
    </sheetView>
  </sheetViews>
  <sheetFormatPr defaultRowHeight="15" x14ac:dyDescent="0.25"/>
  <cols>
    <col min="1" max="1" width="22.28515625" customWidth="1"/>
  </cols>
  <sheetData>
    <row r="3" spans="1:12" ht="18.75" x14ac:dyDescent="0.3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L3">
        <v>0.12</v>
      </c>
    </row>
    <row r="4" spans="1:12" x14ac:dyDescent="0.25">
      <c r="A4" s="73" t="s">
        <v>26</v>
      </c>
      <c r="B4" s="73"/>
      <c r="C4" s="73"/>
      <c r="D4" s="73"/>
      <c r="E4" s="73"/>
      <c r="F4" s="73"/>
      <c r="G4" s="73"/>
      <c r="H4" s="73"/>
      <c r="I4" s="73"/>
      <c r="J4" s="73"/>
    </row>
    <row r="6" spans="1:12" x14ac:dyDescent="0.25">
      <c r="A6" t="s">
        <v>0</v>
      </c>
      <c r="B6">
        <v>2009</v>
      </c>
      <c r="C6">
        <v>2010</v>
      </c>
      <c r="D6">
        <v>2011</v>
      </c>
      <c r="E6">
        <v>2012</v>
      </c>
      <c r="F6">
        <v>2013</v>
      </c>
      <c r="G6">
        <v>2014</v>
      </c>
      <c r="H6">
        <v>2015</v>
      </c>
      <c r="I6">
        <v>2016</v>
      </c>
      <c r="J6">
        <v>2017</v>
      </c>
      <c r="K6">
        <v>2018</v>
      </c>
    </row>
    <row r="7" spans="1:12" x14ac:dyDescent="0.25">
      <c r="A7" s="8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t="s">
        <v>1</v>
      </c>
      <c r="B8" s="3">
        <v>5983</v>
      </c>
      <c r="C8" s="3">
        <v>5998</v>
      </c>
      <c r="D8" s="3">
        <v>6025</v>
      </c>
      <c r="E8" s="3">
        <v>6662</v>
      </c>
      <c r="F8" s="3">
        <v>6662</v>
      </c>
      <c r="G8" s="3">
        <v>6674</v>
      </c>
      <c r="H8" s="3">
        <v>6675</v>
      </c>
      <c r="I8" s="3">
        <v>6683</v>
      </c>
      <c r="J8" s="3">
        <v>6684</v>
      </c>
      <c r="K8" s="3">
        <v>6459</v>
      </c>
    </row>
    <row r="9" spans="1:12" x14ac:dyDescent="0.25">
      <c r="A9" t="s">
        <v>2</v>
      </c>
      <c r="B9" s="3">
        <v>135</v>
      </c>
      <c r="C9" s="3">
        <v>135</v>
      </c>
      <c r="D9" s="3">
        <v>135</v>
      </c>
      <c r="E9" s="3">
        <v>135</v>
      </c>
      <c r="F9" s="3">
        <v>135</v>
      </c>
      <c r="G9" s="3">
        <v>135</v>
      </c>
      <c r="H9" s="3">
        <v>135</v>
      </c>
      <c r="I9" s="3">
        <v>135</v>
      </c>
      <c r="J9" s="3">
        <v>135</v>
      </c>
      <c r="K9" s="3">
        <v>135</v>
      </c>
    </row>
    <row r="10" spans="1:12" x14ac:dyDescent="0.25">
      <c r="A10" t="s">
        <v>3</v>
      </c>
      <c r="B10" s="3">
        <v>345</v>
      </c>
      <c r="C10" s="3">
        <v>395</v>
      </c>
      <c r="D10" s="3">
        <v>435</v>
      </c>
      <c r="E10" s="3">
        <v>465</v>
      </c>
      <c r="F10" s="3">
        <v>475</v>
      </c>
      <c r="G10" s="3">
        <v>485</v>
      </c>
      <c r="H10" s="3">
        <v>495</v>
      </c>
      <c r="I10" s="3">
        <v>505</v>
      </c>
      <c r="J10" s="3">
        <v>515</v>
      </c>
      <c r="K10" s="3">
        <v>525</v>
      </c>
    </row>
    <row r="11" spans="1:12" x14ac:dyDescent="0.25">
      <c r="A11" t="s">
        <v>4</v>
      </c>
      <c r="B11" s="3">
        <v>157</v>
      </c>
      <c r="C11" s="3">
        <v>157</v>
      </c>
      <c r="D11" s="3">
        <v>157</v>
      </c>
      <c r="E11" s="3">
        <v>157</v>
      </c>
      <c r="F11" s="3">
        <v>157</v>
      </c>
      <c r="G11" s="3">
        <v>157</v>
      </c>
      <c r="H11" s="3">
        <v>154</v>
      </c>
      <c r="I11" s="3">
        <v>154</v>
      </c>
      <c r="J11" s="3">
        <v>154</v>
      </c>
      <c r="K11" s="3">
        <v>154</v>
      </c>
    </row>
    <row r="12" spans="1:12" x14ac:dyDescent="0.25">
      <c r="A12" t="s">
        <v>5</v>
      </c>
      <c r="B12" s="3">
        <v>751</v>
      </c>
      <c r="C12" s="3">
        <v>546</v>
      </c>
      <c r="D12" s="3">
        <v>541</v>
      </c>
      <c r="E12" s="3">
        <v>341</v>
      </c>
      <c r="F12" s="3">
        <v>341</v>
      </c>
      <c r="G12" s="3">
        <v>341</v>
      </c>
      <c r="H12" s="3">
        <v>341</v>
      </c>
      <c r="I12" s="3">
        <v>320</v>
      </c>
      <c r="J12" s="3">
        <v>320</v>
      </c>
      <c r="K12" s="3">
        <v>320</v>
      </c>
    </row>
    <row r="13" spans="1:12" x14ac:dyDescent="0.25">
      <c r="A13" t="s">
        <v>6</v>
      </c>
      <c r="B13" s="3">
        <v>151</v>
      </c>
      <c r="C13" s="3">
        <v>151</v>
      </c>
      <c r="D13" s="3">
        <v>151</v>
      </c>
      <c r="E13" s="3">
        <v>151</v>
      </c>
      <c r="F13" s="3">
        <v>151</v>
      </c>
      <c r="G13" s="3">
        <v>151</v>
      </c>
      <c r="H13" s="3">
        <v>151</v>
      </c>
      <c r="I13" s="3">
        <v>151</v>
      </c>
      <c r="J13" s="3">
        <v>151</v>
      </c>
      <c r="K13" s="3">
        <v>151</v>
      </c>
    </row>
    <row r="14" spans="1:12" x14ac:dyDescent="0.25">
      <c r="A14" t="s">
        <v>29</v>
      </c>
      <c r="B14" s="3">
        <v>237</v>
      </c>
      <c r="C14" s="3">
        <v>237</v>
      </c>
      <c r="D14" s="3">
        <v>237</v>
      </c>
      <c r="E14" s="3">
        <v>237</v>
      </c>
      <c r="F14" s="3">
        <v>237</v>
      </c>
      <c r="G14" s="3">
        <v>237</v>
      </c>
      <c r="H14" s="3">
        <v>237</v>
      </c>
      <c r="I14" s="3">
        <v>237</v>
      </c>
      <c r="J14" s="3">
        <v>237</v>
      </c>
      <c r="K14" s="3">
        <v>237</v>
      </c>
    </row>
    <row r="15" spans="1:12" x14ac:dyDescent="0.25">
      <c r="A15" t="s">
        <v>40</v>
      </c>
      <c r="B15" s="3">
        <v>876</v>
      </c>
      <c r="C15" s="3">
        <v>952</v>
      </c>
      <c r="D15" s="3">
        <v>602</v>
      </c>
      <c r="E15" s="3">
        <v>235</v>
      </c>
      <c r="F15" s="3">
        <v>263</v>
      </c>
      <c r="G15" s="3">
        <v>465</v>
      </c>
      <c r="H15" s="3">
        <v>230</v>
      </c>
      <c r="I15" s="3">
        <v>230</v>
      </c>
      <c r="J15" s="3">
        <v>393</v>
      </c>
      <c r="K15" s="3">
        <v>589</v>
      </c>
    </row>
    <row r="16" spans="1:12" x14ac:dyDescent="0.25">
      <c r="A16" t="s">
        <v>7</v>
      </c>
      <c r="B16" s="3">
        <f>SUM(B8:B15)</f>
        <v>8635</v>
      </c>
      <c r="C16" s="3">
        <f t="shared" ref="C16:K16" si="0">SUM(C8:C15)</f>
        <v>8571</v>
      </c>
      <c r="D16" s="3">
        <f t="shared" si="0"/>
        <v>8283</v>
      </c>
      <c r="E16" s="3">
        <f t="shared" si="0"/>
        <v>8383</v>
      </c>
      <c r="F16" s="3">
        <f t="shared" si="0"/>
        <v>8421</v>
      </c>
      <c r="G16" s="3">
        <f t="shared" si="0"/>
        <v>8645</v>
      </c>
      <c r="H16" s="3">
        <f t="shared" si="0"/>
        <v>8418</v>
      </c>
      <c r="I16" s="3">
        <f t="shared" si="0"/>
        <v>8415</v>
      </c>
      <c r="J16" s="3">
        <f t="shared" si="0"/>
        <v>8589</v>
      </c>
      <c r="K16" s="3">
        <f t="shared" si="0"/>
        <v>8570</v>
      </c>
    </row>
    <row r="17" spans="1:1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t="s">
        <v>8</v>
      </c>
      <c r="B18" s="3">
        <v>6757</v>
      </c>
      <c r="C18" s="3">
        <v>6949</v>
      </c>
      <c r="D18" s="3">
        <v>7150</v>
      </c>
      <c r="E18" s="3">
        <v>7404</v>
      </c>
      <c r="F18" s="3">
        <v>7643</v>
      </c>
      <c r="G18" s="3">
        <v>7779</v>
      </c>
      <c r="H18" s="3">
        <v>8029</v>
      </c>
      <c r="I18" s="3">
        <v>8303</v>
      </c>
      <c r="J18" s="3">
        <v>8491</v>
      </c>
      <c r="K18" s="3">
        <v>8696</v>
      </c>
    </row>
    <row r="19" spans="1:11" x14ac:dyDescent="0.25">
      <c r="A19" t="s">
        <v>9</v>
      </c>
      <c r="B19" s="3">
        <v>781</v>
      </c>
      <c r="C19" s="3">
        <v>768</v>
      </c>
      <c r="D19" s="3">
        <v>758</v>
      </c>
      <c r="E19" s="3">
        <v>747</v>
      </c>
      <c r="F19" s="3">
        <v>745</v>
      </c>
      <c r="G19" s="3">
        <v>745</v>
      </c>
      <c r="H19" s="3">
        <v>745</v>
      </c>
      <c r="I19" s="3">
        <v>745</v>
      </c>
      <c r="J19" s="3">
        <v>659</v>
      </c>
      <c r="K19" s="3">
        <v>659</v>
      </c>
    </row>
    <row r="20" spans="1:11" x14ac:dyDescent="0.25">
      <c r="A20" t="s">
        <v>10</v>
      </c>
      <c r="B20" s="3">
        <f t="shared" ref="B20:K20" si="1">+B19+B18</f>
        <v>7538</v>
      </c>
      <c r="C20" s="3">
        <f t="shared" si="1"/>
        <v>7717</v>
      </c>
      <c r="D20" s="3">
        <f t="shared" si="1"/>
        <v>7908</v>
      </c>
      <c r="E20" s="3">
        <f t="shared" si="1"/>
        <v>8151</v>
      </c>
      <c r="F20" s="3">
        <f t="shared" si="1"/>
        <v>8388</v>
      </c>
      <c r="G20" s="3">
        <f t="shared" si="1"/>
        <v>8524</v>
      </c>
      <c r="H20" s="3">
        <f t="shared" si="1"/>
        <v>8774</v>
      </c>
      <c r="I20" s="3">
        <f t="shared" si="1"/>
        <v>9048</v>
      </c>
      <c r="J20" s="3">
        <f t="shared" si="1"/>
        <v>9150</v>
      </c>
      <c r="K20" s="3">
        <f t="shared" si="1"/>
        <v>9355</v>
      </c>
    </row>
    <row r="21" spans="1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t="s">
        <v>30</v>
      </c>
      <c r="B22" s="3">
        <v>745</v>
      </c>
      <c r="C22" s="3">
        <v>785</v>
      </c>
      <c r="D22" s="3">
        <v>803</v>
      </c>
      <c r="E22" s="3">
        <v>853</v>
      </c>
      <c r="F22" s="3">
        <v>880</v>
      </c>
      <c r="G22" s="3">
        <v>895</v>
      </c>
      <c r="H22" s="3">
        <v>924</v>
      </c>
      <c r="I22" s="3">
        <v>958</v>
      </c>
      <c r="J22" s="3">
        <v>969</v>
      </c>
      <c r="K22" s="3">
        <v>993</v>
      </c>
    </row>
    <row r="23" spans="1:11" x14ac:dyDescent="0.25">
      <c r="A23" t="s">
        <v>31</v>
      </c>
      <c r="B23" s="3">
        <v>70</v>
      </c>
      <c r="C23" s="3">
        <v>70</v>
      </c>
      <c r="D23" s="3">
        <v>70</v>
      </c>
      <c r="E23" s="3">
        <v>70</v>
      </c>
      <c r="F23" s="3">
        <v>70</v>
      </c>
      <c r="G23" s="3">
        <v>70</v>
      </c>
      <c r="H23" s="3">
        <v>70</v>
      </c>
      <c r="I23" s="3">
        <v>70</v>
      </c>
      <c r="J23" s="3">
        <v>70</v>
      </c>
      <c r="K23" s="3">
        <v>70</v>
      </c>
    </row>
    <row r="24" spans="1:11" x14ac:dyDescent="0.25">
      <c r="A24" t="s">
        <v>11</v>
      </c>
      <c r="B24" s="3">
        <f t="shared" ref="B24:K24" si="2">+B23+B22</f>
        <v>815</v>
      </c>
      <c r="C24" s="3">
        <f t="shared" si="2"/>
        <v>855</v>
      </c>
      <c r="D24" s="3">
        <f t="shared" si="2"/>
        <v>873</v>
      </c>
      <c r="E24" s="3">
        <f t="shared" si="2"/>
        <v>923</v>
      </c>
      <c r="F24" s="3">
        <f t="shared" si="2"/>
        <v>950</v>
      </c>
      <c r="G24" s="3">
        <f t="shared" si="2"/>
        <v>965</v>
      </c>
      <c r="H24" s="3">
        <f t="shared" si="2"/>
        <v>994</v>
      </c>
      <c r="I24" s="3">
        <f t="shared" si="2"/>
        <v>1028</v>
      </c>
      <c r="J24" s="3">
        <f t="shared" si="2"/>
        <v>1039</v>
      </c>
      <c r="K24" s="3">
        <f t="shared" si="2"/>
        <v>1063</v>
      </c>
    </row>
    <row r="25" spans="1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t="s">
        <v>12</v>
      </c>
      <c r="B26" s="3">
        <f t="shared" ref="B26:K26" si="3">+B24+B20</f>
        <v>8353</v>
      </c>
      <c r="C26" s="3">
        <f t="shared" si="3"/>
        <v>8572</v>
      </c>
      <c r="D26" s="3">
        <f t="shared" si="3"/>
        <v>8781</v>
      </c>
      <c r="E26" s="3">
        <f t="shared" si="3"/>
        <v>9074</v>
      </c>
      <c r="F26" s="3">
        <f t="shared" si="3"/>
        <v>9338</v>
      </c>
      <c r="G26" s="3">
        <f t="shared" si="3"/>
        <v>9489</v>
      </c>
      <c r="H26" s="3">
        <f t="shared" si="3"/>
        <v>9768</v>
      </c>
      <c r="I26" s="3">
        <f t="shared" si="3"/>
        <v>10076</v>
      </c>
      <c r="J26" s="3">
        <f t="shared" si="3"/>
        <v>10189</v>
      </c>
      <c r="K26" s="3">
        <f t="shared" si="3"/>
        <v>10418</v>
      </c>
    </row>
    <row r="27" spans="1:11" x14ac:dyDescent="0.25">
      <c r="A27" t="s">
        <v>13</v>
      </c>
      <c r="B27" s="3">
        <f t="shared" ref="B27:K27" si="4">+B16-B26</f>
        <v>282</v>
      </c>
      <c r="C27" s="3">
        <f t="shared" si="4"/>
        <v>-1</v>
      </c>
      <c r="D27" s="3">
        <f t="shared" si="4"/>
        <v>-498</v>
      </c>
      <c r="E27" s="3">
        <f t="shared" si="4"/>
        <v>-691</v>
      </c>
      <c r="F27" s="3">
        <f t="shared" si="4"/>
        <v>-917</v>
      </c>
      <c r="G27" s="3">
        <f t="shared" si="4"/>
        <v>-844</v>
      </c>
      <c r="H27" s="3">
        <f t="shared" si="4"/>
        <v>-1350</v>
      </c>
      <c r="I27" s="3">
        <f t="shared" si="4"/>
        <v>-1661</v>
      </c>
      <c r="J27" s="3">
        <f t="shared" si="4"/>
        <v>-1600</v>
      </c>
      <c r="K27" s="3">
        <f t="shared" si="4"/>
        <v>-1848</v>
      </c>
    </row>
    <row r="28" spans="1:11" x14ac:dyDescent="0.25">
      <c r="A28" t="s">
        <v>14</v>
      </c>
      <c r="B28" s="5">
        <f t="shared" ref="B28:K28" si="5">(B$16+(B$10+B$12+B$14)*Target_Margin-B$23)/B$20-1</f>
        <v>0.15746351817458204</v>
      </c>
      <c r="C28" s="5">
        <f t="shared" si="5"/>
        <v>0.11991188285603216</v>
      </c>
      <c r="D28" s="5">
        <f t="shared" si="5"/>
        <v>5.6975214972180055E-2</v>
      </c>
      <c r="E28" s="5">
        <f t="shared" si="5"/>
        <v>3.5230033124769911E-2</v>
      </c>
      <c r="F28" s="5">
        <f t="shared" si="5"/>
        <v>1.0653314258464608E-2</v>
      </c>
      <c r="G28" s="5">
        <f t="shared" si="5"/>
        <v>2.0947911778507633E-2</v>
      </c>
      <c r="H28" s="5">
        <f t="shared" si="5"/>
        <v>-3.3877364941873656E-2</v>
      </c>
      <c r="I28" s="5">
        <f t="shared" si="5"/>
        <v>-6.3611847922192655E-2</v>
      </c>
      <c r="J28" s="5">
        <f t="shared" si="5"/>
        <v>-5.490273224043718E-2</v>
      </c>
      <c r="K28" s="5">
        <f t="shared" si="5"/>
        <v>-7.7515766969534994E-2</v>
      </c>
    </row>
    <row r="29" spans="1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8" t="s">
        <v>32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t="s">
        <v>1</v>
      </c>
      <c r="B31" s="3">
        <v>2550</v>
      </c>
      <c r="C31" s="3">
        <v>2559</v>
      </c>
      <c r="D31" s="3">
        <v>2568</v>
      </c>
      <c r="E31" s="3">
        <v>2579</v>
      </c>
      <c r="F31" s="3">
        <v>2591</v>
      </c>
      <c r="G31" s="3">
        <v>2591</v>
      </c>
      <c r="H31" s="3">
        <v>2591</v>
      </c>
      <c r="I31" s="3">
        <v>2591</v>
      </c>
      <c r="J31" s="3">
        <v>2577</v>
      </c>
      <c r="K31" s="3">
        <v>2577</v>
      </c>
    </row>
    <row r="32" spans="1:11" x14ac:dyDescent="0.25">
      <c r="A32" t="s">
        <v>2</v>
      </c>
      <c r="B32" s="3">
        <v>1315</v>
      </c>
      <c r="C32" s="3">
        <v>1218</v>
      </c>
      <c r="D32" s="3">
        <v>1216</v>
      </c>
      <c r="E32" s="3">
        <v>980</v>
      </c>
      <c r="F32" s="3">
        <v>1009</v>
      </c>
      <c r="G32" s="3">
        <v>1046</v>
      </c>
      <c r="H32" s="3">
        <v>1157</v>
      </c>
      <c r="I32" s="3">
        <v>1150</v>
      </c>
      <c r="J32" s="3">
        <v>1149</v>
      </c>
      <c r="K32" s="3">
        <v>1146</v>
      </c>
    </row>
    <row r="33" spans="1:11" x14ac:dyDescent="0.25">
      <c r="A33" t="s">
        <v>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25">
      <c r="A34" t="s">
        <v>4</v>
      </c>
      <c r="B34" s="3">
        <v>90</v>
      </c>
      <c r="C34" s="3">
        <v>96</v>
      </c>
      <c r="D34" s="3">
        <v>96</v>
      </c>
      <c r="E34" s="3">
        <v>90</v>
      </c>
      <c r="F34" s="3">
        <v>90</v>
      </c>
      <c r="G34" s="3">
        <v>90</v>
      </c>
      <c r="H34" s="3">
        <v>90</v>
      </c>
      <c r="I34" s="3">
        <v>90</v>
      </c>
      <c r="J34" s="3">
        <v>90</v>
      </c>
      <c r="K34" s="3">
        <v>90</v>
      </c>
    </row>
    <row r="35" spans="1:11" x14ac:dyDescent="0.25">
      <c r="A35" t="s">
        <v>5</v>
      </c>
      <c r="B35" s="3">
        <v>1310</v>
      </c>
      <c r="C35" s="3">
        <v>1203</v>
      </c>
      <c r="D35" s="3">
        <v>753</v>
      </c>
      <c r="E35" s="3">
        <v>115</v>
      </c>
      <c r="F35" s="3">
        <v>144</v>
      </c>
      <c r="G35" s="3">
        <v>111</v>
      </c>
      <c r="H35" s="3">
        <v>111</v>
      </c>
      <c r="I35" s="3">
        <v>111</v>
      </c>
      <c r="J35" s="3">
        <v>111</v>
      </c>
      <c r="K35" s="3">
        <v>139</v>
      </c>
    </row>
    <row r="36" spans="1:11" x14ac:dyDescent="0.25">
      <c r="A36" t="s">
        <v>6</v>
      </c>
      <c r="B36" s="3">
        <v>120</v>
      </c>
      <c r="C36" s="3">
        <v>120</v>
      </c>
      <c r="D36" s="3">
        <v>120</v>
      </c>
      <c r="E36" s="3">
        <v>120</v>
      </c>
      <c r="F36" s="3">
        <v>120</v>
      </c>
      <c r="G36" s="3">
        <v>120</v>
      </c>
      <c r="H36" s="3">
        <v>120</v>
      </c>
      <c r="I36" s="3">
        <v>120</v>
      </c>
      <c r="J36" s="3">
        <v>120</v>
      </c>
      <c r="K36" s="3">
        <v>120</v>
      </c>
    </row>
    <row r="37" spans="1:11" x14ac:dyDescent="0.25">
      <c r="A37" t="s">
        <v>40</v>
      </c>
      <c r="B37" s="3">
        <v>-878</v>
      </c>
      <c r="C37" s="3">
        <v>-953</v>
      </c>
      <c r="D37" s="3">
        <v>-603</v>
      </c>
      <c r="E37" s="3">
        <v>-235</v>
      </c>
      <c r="F37" s="3">
        <v>-264</v>
      </c>
      <c r="G37" s="3">
        <v>-465</v>
      </c>
      <c r="H37" s="3">
        <v>-229</v>
      </c>
      <c r="I37" s="3">
        <v>-229</v>
      </c>
      <c r="J37" s="3">
        <v>-392</v>
      </c>
      <c r="K37" s="3">
        <v>-588</v>
      </c>
    </row>
    <row r="38" spans="1:11" x14ac:dyDescent="0.25">
      <c r="A38" t="s">
        <v>15</v>
      </c>
      <c r="B38" s="3">
        <f>SUM(B31:B37)</f>
        <v>4507</v>
      </c>
      <c r="C38" s="3">
        <f t="shared" ref="C38:K38" si="6">SUM(C31:C37)</f>
        <v>4243</v>
      </c>
      <c r="D38" s="3">
        <f t="shared" si="6"/>
        <v>4150</v>
      </c>
      <c r="E38" s="3">
        <f t="shared" si="6"/>
        <v>3649</v>
      </c>
      <c r="F38" s="3">
        <f t="shared" si="6"/>
        <v>3690</v>
      </c>
      <c r="G38" s="3">
        <f t="shared" si="6"/>
        <v>3493</v>
      </c>
      <c r="H38" s="3">
        <f t="shared" si="6"/>
        <v>3840</v>
      </c>
      <c r="I38" s="3">
        <f t="shared" si="6"/>
        <v>3833</v>
      </c>
      <c r="J38" s="3">
        <f t="shared" si="6"/>
        <v>3655</v>
      </c>
      <c r="K38" s="3">
        <f t="shared" si="6"/>
        <v>3484</v>
      </c>
    </row>
    <row r="39" spans="1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t="s">
        <v>8</v>
      </c>
      <c r="B40" s="3">
        <v>3393</v>
      </c>
      <c r="C40" s="3">
        <v>3422</v>
      </c>
      <c r="D40" s="3">
        <v>3490</v>
      </c>
      <c r="E40" s="3">
        <v>3587</v>
      </c>
      <c r="F40" s="3">
        <v>3638</v>
      </c>
      <c r="G40" s="3">
        <v>3722</v>
      </c>
      <c r="H40" s="3">
        <v>3769</v>
      </c>
      <c r="I40" s="3">
        <v>3824</v>
      </c>
      <c r="J40" s="3">
        <v>3893</v>
      </c>
      <c r="K40" s="3">
        <v>3978</v>
      </c>
    </row>
    <row r="41" spans="1:11" x14ac:dyDescent="0.25">
      <c r="A41" t="s">
        <v>9</v>
      </c>
      <c r="B41" s="3">
        <v>499</v>
      </c>
      <c r="C41" s="3">
        <v>490</v>
      </c>
      <c r="D41" s="3">
        <v>290</v>
      </c>
      <c r="E41" s="3">
        <v>258</v>
      </c>
      <c r="F41" s="3">
        <v>258</v>
      </c>
      <c r="G41" s="3">
        <v>258</v>
      </c>
      <c r="H41" s="3">
        <v>158</v>
      </c>
      <c r="I41" s="3">
        <v>108</v>
      </c>
      <c r="J41" s="3">
        <v>108</v>
      </c>
      <c r="K41" s="3">
        <v>108</v>
      </c>
    </row>
    <row r="42" spans="1:11" x14ac:dyDescent="0.25">
      <c r="A42" t="s">
        <v>16</v>
      </c>
      <c r="B42" s="3">
        <f>+B41+B40</f>
        <v>3892</v>
      </c>
      <c r="C42" s="3">
        <f t="shared" ref="C42:K42" si="7">+C41+C40</f>
        <v>3912</v>
      </c>
      <c r="D42" s="3">
        <f t="shared" si="7"/>
        <v>3780</v>
      </c>
      <c r="E42" s="3">
        <f t="shared" si="7"/>
        <v>3845</v>
      </c>
      <c r="F42" s="3">
        <f t="shared" si="7"/>
        <v>3896</v>
      </c>
      <c r="G42" s="3">
        <f t="shared" si="7"/>
        <v>3980</v>
      </c>
      <c r="H42" s="3">
        <f t="shared" si="7"/>
        <v>3927</v>
      </c>
      <c r="I42" s="3">
        <f t="shared" si="7"/>
        <v>3932</v>
      </c>
      <c r="J42" s="3">
        <f t="shared" si="7"/>
        <v>4001</v>
      </c>
      <c r="K42" s="3">
        <f t="shared" si="7"/>
        <v>4086</v>
      </c>
    </row>
    <row r="43" spans="1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t="s">
        <v>30</v>
      </c>
      <c r="B44" s="3">
        <v>310</v>
      </c>
      <c r="C44" s="3">
        <v>325</v>
      </c>
      <c r="D44" s="3">
        <v>363</v>
      </c>
      <c r="E44" s="3">
        <v>448</v>
      </c>
      <c r="F44" s="3">
        <v>450</v>
      </c>
      <c r="G44" s="3">
        <v>464</v>
      </c>
      <c r="H44" s="3">
        <v>458</v>
      </c>
      <c r="I44" s="3">
        <v>459</v>
      </c>
      <c r="J44" s="3">
        <v>467</v>
      </c>
      <c r="K44" s="3">
        <v>474</v>
      </c>
    </row>
    <row r="45" spans="1:11" x14ac:dyDescent="0.25">
      <c r="A45" t="s">
        <v>31</v>
      </c>
      <c r="B45" s="3">
        <v>7</v>
      </c>
      <c r="C45" s="3">
        <v>7</v>
      </c>
      <c r="D45" s="3">
        <v>7</v>
      </c>
      <c r="E45" s="3">
        <v>7</v>
      </c>
      <c r="F45" s="3">
        <v>7</v>
      </c>
      <c r="G45" s="3">
        <v>7</v>
      </c>
      <c r="H45" s="3">
        <v>7</v>
      </c>
      <c r="I45" s="3">
        <v>7</v>
      </c>
      <c r="J45" s="3">
        <v>7</v>
      </c>
      <c r="K45" s="3">
        <v>7</v>
      </c>
    </row>
    <row r="46" spans="1:11" x14ac:dyDescent="0.25">
      <c r="A46" t="s">
        <v>17</v>
      </c>
      <c r="B46" s="3">
        <f>+B45+B44</f>
        <v>317</v>
      </c>
      <c r="C46" s="3">
        <f t="shared" ref="C46:K46" si="8">+C45+C44</f>
        <v>332</v>
      </c>
      <c r="D46" s="3">
        <f t="shared" si="8"/>
        <v>370</v>
      </c>
      <c r="E46" s="3">
        <f t="shared" si="8"/>
        <v>455</v>
      </c>
      <c r="F46" s="3">
        <f t="shared" si="8"/>
        <v>457</v>
      </c>
      <c r="G46" s="3">
        <f t="shared" si="8"/>
        <v>471</v>
      </c>
      <c r="H46" s="3">
        <f t="shared" si="8"/>
        <v>465</v>
      </c>
      <c r="I46" s="3">
        <f t="shared" si="8"/>
        <v>466</v>
      </c>
      <c r="J46" s="3">
        <f t="shared" si="8"/>
        <v>474</v>
      </c>
      <c r="K46" s="3">
        <f t="shared" si="8"/>
        <v>481</v>
      </c>
    </row>
    <row r="47" spans="1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t="s">
        <v>18</v>
      </c>
      <c r="B48" s="3">
        <f t="shared" ref="B48:K48" si="9">+B46+B42</f>
        <v>4209</v>
      </c>
      <c r="C48" s="3">
        <f t="shared" si="9"/>
        <v>4244</v>
      </c>
      <c r="D48" s="3">
        <f t="shared" si="9"/>
        <v>4150</v>
      </c>
      <c r="E48" s="3">
        <f t="shared" si="9"/>
        <v>4300</v>
      </c>
      <c r="F48" s="3">
        <f t="shared" si="9"/>
        <v>4353</v>
      </c>
      <c r="G48" s="3">
        <f t="shared" si="9"/>
        <v>4451</v>
      </c>
      <c r="H48" s="3">
        <f t="shared" si="9"/>
        <v>4392</v>
      </c>
      <c r="I48" s="3">
        <f t="shared" si="9"/>
        <v>4398</v>
      </c>
      <c r="J48" s="3">
        <f t="shared" si="9"/>
        <v>4475</v>
      </c>
      <c r="K48" s="3">
        <f t="shared" si="9"/>
        <v>4567</v>
      </c>
    </row>
    <row r="49" spans="1:11" x14ac:dyDescent="0.25">
      <c r="A49" t="s">
        <v>19</v>
      </c>
      <c r="B49" s="3">
        <f t="shared" ref="B49:K49" si="10">+B38-B48</f>
        <v>298</v>
      </c>
      <c r="C49" s="3">
        <f t="shared" si="10"/>
        <v>-1</v>
      </c>
      <c r="D49" s="3">
        <f t="shared" si="10"/>
        <v>0</v>
      </c>
      <c r="E49" s="3">
        <f t="shared" si="10"/>
        <v>-651</v>
      </c>
      <c r="F49" s="3">
        <f t="shared" si="10"/>
        <v>-663</v>
      </c>
      <c r="G49" s="3">
        <f t="shared" si="10"/>
        <v>-958</v>
      </c>
      <c r="H49" s="3">
        <f t="shared" si="10"/>
        <v>-552</v>
      </c>
      <c r="I49" s="3">
        <f t="shared" si="10"/>
        <v>-565</v>
      </c>
      <c r="J49" s="3">
        <f t="shared" si="10"/>
        <v>-820</v>
      </c>
      <c r="K49" s="3">
        <f t="shared" si="10"/>
        <v>-1083</v>
      </c>
    </row>
    <row r="50" spans="1:11" x14ac:dyDescent="0.25">
      <c r="A50" t="s">
        <v>20</v>
      </c>
      <c r="B50" s="5">
        <f t="shared" ref="B50:K50" si="11">(B$38+(B$33+B$35)*Target_Margin-B$45)/B$42-1</f>
        <v>0.19660842754367924</v>
      </c>
      <c r="C50" s="5">
        <f t="shared" si="11"/>
        <v>0.119723926380368</v>
      </c>
      <c r="D50" s="5">
        <f t="shared" si="11"/>
        <v>0.11993650793650779</v>
      </c>
      <c r="E50" s="5">
        <f t="shared" si="11"/>
        <v>-4.9206762028608519E-2</v>
      </c>
      <c r="F50" s="5">
        <f t="shared" si="11"/>
        <v>-5.0236139630390086E-2</v>
      </c>
      <c r="G50" s="5">
        <f t="shared" si="11"/>
        <v>-0.12077386934673362</v>
      </c>
      <c r="H50" s="5">
        <f t="shared" si="11"/>
        <v>-2.0544945250827618E-2</v>
      </c>
      <c r="I50" s="5">
        <f t="shared" si="11"/>
        <v>-2.3570701932858595E-2</v>
      </c>
      <c r="J50" s="5">
        <f t="shared" si="11"/>
        <v>-8.4898775306173402E-2</v>
      </c>
      <c r="K50" s="5">
        <f t="shared" si="11"/>
        <v>-0.14496328928046998</v>
      </c>
    </row>
    <row r="51" spans="1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8" t="s">
        <v>34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t="s">
        <v>21</v>
      </c>
      <c r="B53" s="3">
        <f t="shared" ref="B53:K53" si="12">+B16+B38</f>
        <v>13142</v>
      </c>
      <c r="C53" s="3">
        <f t="shared" si="12"/>
        <v>12814</v>
      </c>
      <c r="D53" s="3">
        <f t="shared" si="12"/>
        <v>12433</v>
      </c>
      <c r="E53" s="3">
        <f t="shared" si="12"/>
        <v>12032</v>
      </c>
      <c r="F53" s="3">
        <f t="shared" si="12"/>
        <v>12111</v>
      </c>
      <c r="G53" s="3">
        <f t="shared" si="12"/>
        <v>12138</v>
      </c>
      <c r="H53" s="3">
        <f t="shared" si="12"/>
        <v>12258</v>
      </c>
      <c r="I53" s="3">
        <f t="shared" si="12"/>
        <v>12248</v>
      </c>
      <c r="J53" s="3">
        <f t="shared" si="12"/>
        <v>12244</v>
      </c>
      <c r="K53" s="3">
        <f t="shared" si="12"/>
        <v>12054</v>
      </c>
    </row>
    <row r="54" spans="1:11" x14ac:dyDescent="0.25">
      <c r="A54" t="s">
        <v>35</v>
      </c>
      <c r="B54" s="3">
        <v>3</v>
      </c>
      <c r="C54" s="3">
        <v>2</v>
      </c>
      <c r="D54" s="3">
        <v>0</v>
      </c>
      <c r="E54" s="3">
        <v>2</v>
      </c>
      <c r="F54" s="3">
        <v>1</v>
      </c>
      <c r="G54" s="3">
        <v>-1</v>
      </c>
      <c r="H54" s="3">
        <v>0</v>
      </c>
      <c r="I54" s="3">
        <v>0</v>
      </c>
      <c r="J54" s="3">
        <v>-1</v>
      </c>
      <c r="K54" s="3">
        <v>1</v>
      </c>
    </row>
    <row r="55" spans="1:11" x14ac:dyDescent="0.25">
      <c r="A55" t="s">
        <v>36</v>
      </c>
      <c r="B55" s="3">
        <f t="shared" ref="B55:K55" si="13">+B42+B20</f>
        <v>11430</v>
      </c>
      <c r="C55" s="3">
        <f t="shared" si="13"/>
        <v>11629</v>
      </c>
      <c r="D55" s="3">
        <f t="shared" si="13"/>
        <v>11688</v>
      </c>
      <c r="E55" s="3">
        <f t="shared" si="13"/>
        <v>11996</v>
      </c>
      <c r="F55" s="3">
        <f t="shared" si="13"/>
        <v>12284</v>
      </c>
      <c r="G55" s="3">
        <f t="shared" si="13"/>
        <v>12504</v>
      </c>
      <c r="H55" s="3">
        <f t="shared" si="13"/>
        <v>12701</v>
      </c>
      <c r="I55" s="3">
        <f t="shared" si="13"/>
        <v>12980</v>
      </c>
      <c r="J55" s="3">
        <f t="shared" si="13"/>
        <v>13151</v>
      </c>
      <c r="K55" s="3">
        <f t="shared" si="13"/>
        <v>13441</v>
      </c>
    </row>
    <row r="56" spans="1:11" x14ac:dyDescent="0.25">
      <c r="A56" t="s">
        <v>22</v>
      </c>
      <c r="B56" s="3">
        <f t="shared" ref="B56:K56" si="14">+B24+B46</f>
        <v>1132</v>
      </c>
      <c r="C56" s="3">
        <f t="shared" si="14"/>
        <v>1187</v>
      </c>
      <c r="D56" s="3">
        <f t="shared" si="14"/>
        <v>1243</v>
      </c>
      <c r="E56" s="3">
        <f t="shared" si="14"/>
        <v>1378</v>
      </c>
      <c r="F56" s="3">
        <f t="shared" si="14"/>
        <v>1407</v>
      </c>
      <c r="G56" s="3">
        <f t="shared" si="14"/>
        <v>1436</v>
      </c>
      <c r="H56" s="3">
        <f t="shared" si="14"/>
        <v>1459</v>
      </c>
      <c r="I56" s="3">
        <f t="shared" si="14"/>
        <v>1494</v>
      </c>
      <c r="J56" s="3">
        <f t="shared" si="14"/>
        <v>1513</v>
      </c>
      <c r="K56" s="3">
        <f t="shared" si="14"/>
        <v>1544</v>
      </c>
    </row>
    <row r="57" spans="1:11" x14ac:dyDescent="0.25">
      <c r="A57" t="s">
        <v>37</v>
      </c>
      <c r="B57" s="3">
        <f t="shared" ref="B57:K57" si="15">+B56+B55</f>
        <v>12562</v>
      </c>
      <c r="C57" s="3">
        <f t="shared" si="15"/>
        <v>12816</v>
      </c>
      <c r="D57" s="3">
        <f t="shared" si="15"/>
        <v>12931</v>
      </c>
      <c r="E57" s="3">
        <f t="shared" si="15"/>
        <v>13374</v>
      </c>
      <c r="F57" s="3">
        <f t="shared" si="15"/>
        <v>13691</v>
      </c>
      <c r="G57" s="3">
        <f t="shared" si="15"/>
        <v>13940</v>
      </c>
      <c r="H57" s="3">
        <f t="shared" si="15"/>
        <v>14160</v>
      </c>
      <c r="I57" s="3">
        <f t="shared" si="15"/>
        <v>14474</v>
      </c>
      <c r="J57" s="3">
        <f t="shared" si="15"/>
        <v>14664</v>
      </c>
      <c r="K57" s="3">
        <f t="shared" si="15"/>
        <v>14985</v>
      </c>
    </row>
    <row r="58" spans="1:11" x14ac:dyDescent="0.25">
      <c r="A58" t="s">
        <v>38</v>
      </c>
      <c r="B58" s="3">
        <f t="shared" ref="B58:K58" si="16">+B53+B54-B57</f>
        <v>583</v>
      </c>
      <c r="C58" s="3">
        <f t="shared" si="16"/>
        <v>0</v>
      </c>
      <c r="D58" s="3">
        <f t="shared" si="16"/>
        <v>-498</v>
      </c>
      <c r="E58" s="3">
        <f t="shared" si="16"/>
        <v>-1340</v>
      </c>
      <c r="F58" s="3">
        <f t="shared" si="16"/>
        <v>-1579</v>
      </c>
      <c r="G58" s="3">
        <f t="shared" si="16"/>
        <v>-1803</v>
      </c>
      <c r="H58" s="3">
        <f t="shared" si="16"/>
        <v>-1902</v>
      </c>
      <c r="I58" s="3">
        <f t="shared" si="16"/>
        <v>-2226</v>
      </c>
      <c r="J58" s="3">
        <f t="shared" si="16"/>
        <v>-2421</v>
      </c>
      <c r="K58" s="3">
        <f t="shared" si="16"/>
        <v>-2930</v>
      </c>
    </row>
    <row r="59" spans="1:11" x14ac:dyDescent="0.25">
      <c r="A59" t="s">
        <v>23</v>
      </c>
      <c r="B59" s="5">
        <f t="shared" ref="B59:K59" si="17">(B$53+(B$10+B$12+B$14+B$33+B$35)*Target_Margin-B$23-B$45)/B$55-1</f>
        <v>0.17079265091863505</v>
      </c>
      <c r="C59" s="5">
        <f t="shared" si="17"/>
        <v>0.1198486542265027</v>
      </c>
      <c r="D59" s="5">
        <f t="shared" si="17"/>
        <v>7.7337440109513933E-2</v>
      </c>
      <c r="E59" s="5">
        <f t="shared" si="17"/>
        <v>8.1660553517839407E-3</v>
      </c>
      <c r="F59" s="5">
        <f t="shared" si="17"/>
        <v>-8.6584174535981884E-3</v>
      </c>
      <c r="G59" s="5">
        <f t="shared" si="17"/>
        <v>-2.4161868202175363E-2</v>
      </c>
      <c r="H59" s="5">
        <f t="shared" si="17"/>
        <v>-2.9755137390756636E-2</v>
      </c>
      <c r="I59" s="5">
        <f t="shared" si="17"/>
        <v>-5.1482280431432992E-2</v>
      </c>
      <c r="J59" s="5">
        <f t="shared" si="17"/>
        <v>-6.402859098167446E-2</v>
      </c>
      <c r="K59" s="5">
        <f t="shared" si="17"/>
        <v>-9.8019492597276936E-2</v>
      </c>
    </row>
    <row r="60" spans="1:11" x14ac:dyDescent="0.25">
      <c r="B60" s="3"/>
      <c r="C60" s="3"/>
      <c r="D60" s="3"/>
      <c r="E60" s="3"/>
      <c r="F60" s="3"/>
      <c r="G60" s="3"/>
      <c r="H60" s="3"/>
      <c r="I60" s="3"/>
      <c r="J60" s="3"/>
    </row>
    <row r="62" spans="1:11" x14ac:dyDescent="0.25">
      <c r="B62" s="18"/>
      <c r="C62" s="18"/>
      <c r="D62" s="18"/>
      <c r="E62" s="18"/>
      <c r="F62" s="18"/>
    </row>
  </sheetData>
  <mergeCells count="2">
    <mergeCell ref="A3:J3"/>
    <mergeCell ref="A4:J4"/>
  </mergeCells>
  <pageMargins left="0.7" right="0.7" top="0.75" bottom="0.75" header="0.3" footer="0.3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29.140625" customWidth="1"/>
    <col min="2" max="2" width="10.5703125" bestFit="1" customWidth="1"/>
  </cols>
  <sheetData>
    <row r="1" spans="1:12" ht="15.75" x14ac:dyDescent="0.25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8.75" x14ac:dyDescent="0.3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L2">
        <v>0.12</v>
      </c>
    </row>
    <row r="3" spans="1:12" x14ac:dyDescent="0.25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</row>
    <row r="5" spans="1:12" x14ac:dyDescent="0.25">
      <c r="A5" t="s">
        <v>0</v>
      </c>
      <c r="B5">
        <v>2009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</row>
    <row r="6" spans="1:12" x14ac:dyDescent="0.25">
      <c r="A6" s="8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25">
      <c r="A7" t="s">
        <v>1</v>
      </c>
      <c r="B7" s="3">
        <v>5983</v>
      </c>
      <c r="C7" s="3">
        <v>5998</v>
      </c>
      <c r="D7" s="3">
        <v>6025</v>
      </c>
      <c r="E7" s="3">
        <v>6066</v>
      </c>
      <c r="F7" s="3">
        <v>6066</v>
      </c>
      <c r="G7" s="3">
        <v>6078</v>
      </c>
      <c r="H7" s="3">
        <v>6079</v>
      </c>
      <c r="I7" s="3">
        <v>6087</v>
      </c>
      <c r="J7" s="3">
        <v>6088</v>
      </c>
      <c r="K7" s="3">
        <v>5863</v>
      </c>
    </row>
    <row r="8" spans="1:12" x14ac:dyDescent="0.25">
      <c r="A8" t="s">
        <v>2</v>
      </c>
      <c r="B8" s="3">
        <v>135</v>
      </c>
      <c r="C8" s="3">
        <v>135</v>
      </c>
      <c r="D8" s="3">
        <v>135</v>
      </c>
      <c r="E8" s="3">
        <v>135</v>
      </c>
      <c r="F8" s="3">
        <v>135</v>
      </c>
      <c r="G8" s="3">
        <v>135</v>
      </c>
      <c r="H8" s="3">
        <v>135</v>
      </c>
      <c r="I8" s="3">
        <v>135</v>
      </c>
      <c r="J8" s="3">
        <v>135</v>
      </c>
      <c r="K8" s="3">
        <v>135</v>
      </c>
    </row>
    <row r="9" spans="1:12" x14ac:dyDescent="0.25">
      <c r="A9" t="s">
        <v>3</v>
      </c>
      <c r="B9" s="3">
        <v>345</v>
      </c>
      <c r="C9" s="3">
        <v>395</v>
      </c>
      <c r="D9" s="3">
        <v>435</v>
      </c>
      <c r="E9" s="3">
        <v>465</v>
      </c>
      <c r="F9" s="3">
        <v>475</v>
      </c>
      <c r="G9" s="3">
        <v>485</v>
      </c>
      <c r="H9" s="3">
        <v>495</v>
      </c>
      <c r="I9" s="3">
        <v>505</v>
      </c>
      <c r="J9" s="3">
        <v>515</v>
      </c>
      <c r="K9" s="3">
        <v>525</v>
      </c>
    </row>
    <row r="10" spans="1:12" x14ac:dyDescent="0.25">
      <c r="A10" t="s">
        <v>4</v>
      </c>
      <c r="B10" s="3">
        <v>157</v>
      </c>
      <c r="C10" s="3">
        <v>157</v>
      </c>
      <c r="D10" s="3">
        <v>157</v>
      </c>
      <c r="E10" s="3">
        <v>157</v>
      </c>
      <c r="F10" s="3">
        <v>157</v>
      </c>
      <c r="G10" s="3">
        <v>157</v>
      </c>
      <c r="H10" s="3">
        <v>154</v>
      </c>
      <c r="I10" s="3">
        <v>154</v>
      </c>
      <c r="J10" s="3">
        <v>154</v>
      </c>
      <c r="K10" s="3">
        <v>154</v>
      </c>
    </row>
    <row r="11" spans="1:12" x14ac:dyDescent="0.25">
      <c r="A11" t="s">
        <v>5</v>
      </c>
      <c r="B11" s="3">
        <v>751</v>
      </c>
      <c r="C11" s="3">
        <v>546</v>
      </c>
      <c r="D11" s="3">
        <v>541</v>
      </c>
      <c r="E11" s="3">
        <v>341</v>
      </c>
      <c r="F11" s="3">
        <v>341</v>
      </c>
      <c r="G11" s="3">
        <v>341</v>
      </c>
      <c r="H11" s="3">
        <v>341</v>
      </c>
      <c r="I11" s="3">
        <v>320</v>
      </c>
      <c r="J11" s="3">
        <v>320</v>
      </c>
      <c r="K11" s="3">
        <v>320</v>
      </c>
    </row>
    <row r="12" spans="1:12" x14ac:dyDescent="0.25">
      <c r="A12" t="s">
        <v>6</v>
      </c>
      <c r="B12" s="3">
        <v>151</v>
      </c>
      <c r="C12" s="3">
        <v>151</v>
      </c>
      <c r="D12" s="3">
        <v>151</v>
      </c>
      <c r="E12" s="3">
        <v>151</v>
      </c>
      <c r="F12" s="3">
        <v>151</v>
      </c>
      <c r="G12" s="3">
        <v>151</v>
      </c>
      <c r="H12" s="3">
        <v>151</v>
      </c>
      <c r="I12" s="3">
        <v>151</v>
      </c>
      <c r="J12" s="3">
        <v>151</v>
      </c>
      <c r="K12" s="3">
        <v>151</v>
      </c>
    </row>
    <row r="13" spans="1:12" x14ac:dyDescent="0.25">
      <c r="A13" t="s">
        <v>29</v>
      </c>
      <c r="B13" s="3">
        <v>237</v>
      </c>
      <c r="C13" s="3">
        <v>237</v>
      </c>
      <c r="D13" s="3">
        <v>237</v>
      </c>
      <c r="E13" s="3">
        <v>237</v>
      </c>
      <c r="F13" s="3">
        <v>237</v>
      </c>
      <c r="G13" s="3">
        <v>237</v>
      </c>
      <c r="H13" s="3">
        <v>237</v>
      </c>
      <c r="I13" s="3">
        <v>237</v>
      </c>
      <c r="J13" s="3">
        <v>237</v>
      </c>
      <c r="K13" s="3">
        <v>237</v>
      </c>
    </row>
    <row r="14" spans="1:12" x14ac:dyDescent="0.25">
      <c r="A14" t="s">
        <v>40</v>
      </c>
      <c r="B14" s="3">
        <v>1150</v>
      </c>
      <c r="C14" s="3">
        <v>952</v>
      </c>
      <c r="D14" s="3">
        <v>602</v>
      </c>
      <c r="E14" s="3">
        <v>422</v>
      </c>
      <c r="F14" s="3">
        <v>440</v>
      </c>
      <c r="G14" s="3">
        <v>230</v>
      </c>
      <c r="H14" s="3">
        <v>490</v>
      </c>
      <c r="I14" s="3">
        <v>504</v>
      </c>
      <c r="J14" s="3">
        <v>265</v>
      </c>
      <c r="K14" s="3">
        <v>414</v>
      </c>
    </row>
    <row r="15" spans="1:12" x14ac:dyDescent="0.25">
      <c r="A15" t="s">
        <v>7</v>
      </c>
      <c r="B15" s="3">
        <f>SUM(B7:B14)</f>
        <v>8909</v>
      </c>
      <c r="C15" s="3">
        <f t="shared" ref="C15:K15" si="0">SUM(C7:C14)</f>
        <v>8571</v>
      </c>
      <c r="D15" s="3">
        <f t="shared" si="0"/>
        <v>8283</v>
      </c>
      <c r="E15" s="3">
        <f t="shared" si="0"/>
        <v>7974</v>
      </c>
      <c r="F15" s="3">
        <f t="shared" si="0"/>
        <v>8002</v>
      </c>
      <c r="G15" s="3">
        <f t="shared" si="0"/>
        <v>7814</v>
      </c>
      <c r="H15" s="3">
        <f t="shared" si="0"/>
        <v>8082</v>
      </c>
      <c r="I15" s="3">
        <f t="shared" si="0"/>
        <v>8093</v>
      </c>
      <c r="J15" s="3">
        <f t="shared" si="0"/>
        <v>7865</v>
      </c>
      <c r="K15" s="3">
        <f t="shared" si="0"/>
        <v>7799</v>
      </c>
    </row>
    <row r="16" spans="1:12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t="s">
        <v>8</v>
      </c>
      <c r="B17" s="3">
        <v>6757</v>
      </c>
      <c r="C17" s="3">
        <v>6949</v>
      </c>
      <c r="D17" s="3">
        <v>7150</v>
      </c>
      <c r="E17" s="3">
        <v>7404</v>
      </c>
      <c r="F17" s="3">
        <v>7643</v>
      </c>
      <c r="G17" s="3">
        <v>7779</v>
      </c>
      <c r="H17" s="3">
        <v>8029</v>
      </c>
      <c r="I17" s="3">
        <v>8303</v>
      </c>
      <c r="J17" s="3">
        <v>8491</v>
      </c>
      <c r="K17" s="3">
        <v>8696</v>
      </c>
    </row>
    <row r="18" spans="1:11" x14ac:dyDescent="0.25">
      <c r="A18" t="s">
        <v>9</v>
      </c>
      <c r="B18" s="3">
        <v>781</v>
      </c>
      <c r="C18" s="3">
        <v>768</v>
      </c>
      <c r="D18" s="3">
        <v>758</v>
      </c>
      <c r="E18" s="3">
        <v>747</v>
      </c>
      <c r="F18" s="3">
        <v>745</v>
      </c>
      <c r="G18" s="3">
        <v>745</v>
      </c>
      <c r="H18" s="3">
        <v>745</v>
      </c>
      <c r="I18" s="3">
        <v>745</v>
      </c>
      <c r="J18" s="3">
        <v>659</v>
      </c>
      <c r="K18" s="3">
        <v>659</v>
      </c>
    </row>
    <row r="19" spans="1:11" x14ac:dyDescent="0.25">
      <c r="A19" t="s">
        <v>10</v>
      </c>
      <c r="B19" s="3">
        <f t="shared" ref="B19:K19" si="1">+B18+B17</f>
        <v>7538</v>
      </c>
      <c r="C19" s="3">
        <f t="shared" si="1"/>
        <v>7717</v>
      </c>
      <c r="D19" s="3">
        <f t="shared" si="1"/>
        <v>7908</v>
      </c>
      <c r="E19" s="3">
        <f t="shared" si="1"/>
        <v>8151</v>
      </c>
      <c r="F19" s="3">
        <f t="shared" si="1"/>
        <v>8388</v>
      </c>
      <c r="G19" s="3">
        <f t="shared" si="1"/>
        <v>8524</v>
      </c>
      <c r="H19" s="3">
        <f t="shared" si="1"/>
        <v>8774</v>
      </c>
      <c r="I19" s="3">
        <f t="shared" si="1"/>
        <v>9048</v>
      </c>
      <c r="J19" s="3">
        <f t="shared" si="1"/>
        <v>9150</v>
      </c>
      <c r="K19" s="3">
        <f t="shared" si="1"/>
        <v>9355</v>
      </c>
    </row>
    <row r="20" spans="1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t="s">
        <v>30</v>
      </c>
      <c r="B21" s="3">
        <v>745</v>
      </c>
      <c r="C21" s="3">
        <v>785</v>
      </c>
      <c r="D21" s="3">
        <v>803</v>
      </c>
      <c r="E21" s="3">
        <v>853</v>
      </c>
      <c r="F21" s="3">
        <v>880</v>
      </c>
      <c r="G21" s="3">
        <v>895</v>
      </c>
      <c r="H21" s="3">
        <v>924</v>
      </c>
      <c r="I21" s="3">
        <v>958</v>
      </c>
      <c r="J21" s="3">
        <v>969</v>
      </c>
      <c r="K21" s="3">
        <v>993</v>
      </c>
    </row>
    <row r="22" spans="1:11" x14ac:dyDescent="0.25">
      <c r="A22" t="s">
        <v>31</v>
      </c>
      <c r="B22" s="3">
        <v>70</v>
      </c>
      <c r="C22" s="3">
        <v>70</v>
      </c>
      <c r="D22" s="3">
        <v>70</v>
      </c>
      <c r="E22" s="3">
        <v>70</v>
      </c>
      <c r="F22" s="3">
        <v>70</v>
      </c>
      <c r="G22" s="3">
        <v>70</v>
      </c>
      <c r="H22" s="3">
        <v>70</v>
      </c>
      <c r="I22" s="3">
        <v>70</v>
      </c>
      <c r="J22" s="3">
        <v>70</v>
      </c>
      <c r="K22" s="3">
        <v>70</v>
      </c>
    </row>
    <row r="23" spans="1:11" x14ac:dyDescent="0.25">
      <c r="A23" t="s">
        <v>11</v>
      </c>
      <c r="B23" s="3">
        <f t="shared" ref="B23:K23" si="2">+B22+B21</f>
        <v>815</v>
      </c>
      <c r="C23" s="3">
        <f t="shared" si="2"/>
        <v>855</v>
      </c>
      <c r="D23" s="3">
        <f t="shared" si="2"/>
        <v>873</v>
      </c>
      <c r="E23" s="3">
        <f t="shared" si="2"/>
        <v>923</v>
      </c>
      <c r="F23" s="3">
        <f t="shared" si="2"/>
        <v>950</v>
      </c>
      <c r="G23" s="3">
        <f t="shared" si="2"/>
        <v>965</v>
      </c>
      <c r="H23" s="3">
        <f t="shared" si="2"/>
        <v>994</v>
      </c>
      <c r="I23" s="3">
        <f t="shared" si="2"/>
        <v>1028</v>
      </c>
      <c r="J23" s="3">
        <f t="shared" si="2"/>
        <v>1039</v>
      </c>
      <c r="K23" s="3">
        <f t="shared" si="2"/>
        <v>1063</v>
      </c>
    </row>
    <row r="24" spans="1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t="s">
        <v>12</v>
      </c>
      <c r="B25" s="3">
        <f t="shared" ref="B25:J25" si="3">+B23+B19</f>
        <v>8353</v>
      </c>
      <c r="C25" s="3">
        <f t="shared" si="3"/>
        <v>8572</v>
      </c>
      <c r="D25" s="3">
        <f t="shared" si="3"/>
        <v>8781</v>
      </c>
      <c r="E25" s="3">
        <f t="shared" si="3"/>
        <v>9074</v>
      </c>
      <c r="F25" s="3">
        <f t="shared" si="3"/>
        <v>9338</v>
      </c>
      <c r="G25" s="3">
        <f t="shared" si="3"/>
        <v>9489</v>
      </c>
      <c r="H25" s="3">
        <f t="shared" si="3"/>
        <v>9768</v>
      </c>
      <c r="I25" s="3">
        <f t="shared" si="3"/>
        <v>10076</v>
      </c>
      <c r="J25" s="3">
        <f t="shared" si="3"/>
        <v>10189</v>
      </c>
      <c r="K25" s="3">
        <f>+K23+K19</f>
        <v>10418</v>
      </c>
    </row>
    <row r="26" spans="1:11" x14ac:dyDescent="0.25">
      <c r="A26" t="s">
        <v>13</v>
      </c>
      <c r="B26" s="3">
        <f t="shared" ref="B26:K26" si="4">+B15-B25</f>
        <v>556</v>
      </c>
      <c r="C26" s="3">
        <f t="shared" si="4"/>
        <v>-1</v>
      </c>
      <c r="D26" s="3">
        <f t="shared" si="4"/>
        <v>-498</v>
      </c>
      <c r="E26" s="3">
        <f t="shared" si="4"/>
        <v>-1100</v>
      </c>
      <c r="F26" s="3">
        <f t="shared" si="4"/>
        <v>-1336</v>
      </c>
      <c r="G26" s="3">
        <f t="shared" si="4"/>
        <v>-1675</v>
      </c>
      <c r="H26" s="3">
        <f t="shared" si="4"/>
        <v>-1686</v>
      </c>
      <c r="I26" s="3">
        <f t="shared" si="4"/>
        <v>-1983</v>
      </c>
      <c r="J26" s="3">
        <f t="shared" si="4"/>
        <v>-2324</v>
      </c>
      <c r="K26" s="3">
        <f t="shared" si="4"/>
        <v>-2619</v>
      </c>
    </row>
    <row r="27" spans="1:11" x14ac:dyDescent="0.25">
      <c r="A27" t="s">
        <v>14</v>
      </c>
      <c r="B27" s="5">
        <f>(B$15+(B$9+B$11+B$13)*Target_Margin-B$22)/B$19-1</f>
        <v>0.19381268240912708</v>
      </c>
      <c r="C27" s="5">
        <f t="shared" ref="C27:K27" si="5">(C$15+(C$9+C$11+C$13)*Target_Margin-C$22)/C$19-1</f>
        <v>0.11991188285603216</v>
      </c>
      <c r="D27" s="5">
        <f t="shared" si="5"/>
        <v>5.6975214972180055E-2</v>
      </c>
      <c r="E27" s="5">
        <f t="shared" si="5"/>
        <v>-1.4947859158385479E-2</v>
      </c>
      <c r="F27" s="5">
        <f t="shared" si="5"/>
        <v>-3.9298998569384902E-2</v>
      </c>
      <c r="G27" s="5">
        <f t="shared" si="5"/>
        <v>-7.6541529798216712E-2</v>
      </c>
      <c r="H27" s="5">
        <f t="shared" si="5"/>
        <v>-7.2172327330749964E-2</v>
      </c>
      <c r="I27" s="5">
        <f t="shared" si="5"/>
        <v>-9.9199823165340373E-2</v>
      </c>
      <c r="J27" s="5">
        <f t="shared" si="5"/>
        <v>-0.13402841530054643</v>
      </c>
      <c r="K27" s="5">
        <f t="shared" si="5"/>
        <v>-0.15993158738642432</v>
      </c>
    </row>
    <row r="28" spans="1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8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t="s">
        <v>1</v>
      </c>
      <c r="B30" s="3">
        <v>2550</v>
      </c>
      <c r="C30" s="3">
        <v>2559</v>
      </c>
      <c r="D30" s="3">
        <v>2568</v>
      </c>
      <c r="E30" s="3">
        <v>2579</v>
      </c>
      <c r="F30" s="3">
        <v>2591</v>
      </c>
      <c r="G30" s="3">
        <v>2591</v>
      </c>
      <c r="H30" s="3">
        <v>2591</v>
      </c>
      <c r="I30" s="3">
        <v>2591</v>
      </c>
      <c r="J30" s="3">
        <v>2577</v>
      </c>
      <c r="K30" s="3">
        <v>2577</v>
      </c>
    </row>
    <row r="31" spans="1:11" x14ac:dyDescent="0.25">
      <c r="A31" t="s">
        <v>2</v>
      </c>
      <c r="B31" s="3">
        <v>1315</v>
      </c>
      <c r="C31" s="3">
        <v>1218</v>
      </c>
      <c r="D31" s="3">
        <v>1216</v>
      </c>
      <c r="E31" s="3">
        <v>980</v>
      </c>
      <c r="F31" s="3">
        <v>1009</v>
      </c>
      <c r="G31" s="3">
        <v>1046</v>
      </c>
      <c r="H31" s="3">
        <v>1157</v>
      </c>
      <c r="I31" s="3">
        <v>1150</v>
      </c>
      <c r="J31" s="3">
        <v>1149</v>
      </c>
      <c r="K31" s="3">
        <v>1146</v>
      </c>
    </row>
    <row r="32" spans="1:11" x14ac:dyDescent="0.25">
      <c r="A32" t="s">
        <v>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25">
      <c r="A33" t="s">
        <v>4</v>
      </c>
      <c r="B33" s="3">
        <v>90</v>
      </c>
      <c r="C33" s="3">
        <v>96</v>
      </c>
      <c r="D33" s="3">
        <v>96</v>
      </c>
      <c r="E33" s="3">
        <v>90</v>
      </c>
      <c r="F33" s="3">
        <v>90</v>
      </c>
      <c r="G33" s="3">
        <v>90</v>
      </c>
      <c r="H33" s="3">
        <v>90</v>
      </c>
      <c r="I33" s="3">
        <v>90</v>
      </c>
      <c r="J33" s="3">
        <v>90</v>
      </c>
      <c r="K33" s="3">
        <v>90</v>
      </c>
    </row>
    <row r="34" spans="1:11" x14ac:dyDescent="0.25">
      <c r="A34" t="s">
        <v>5</v>
      </c>
      <c r="B34" s="3">
        <v>1310</v>
      </c>
      <c r="C34" s="3">
        <v>1203</v>
      </c>
      <c r="D34" s="3">
        <v>753</v>
      </c>
      <c r="E34" s="3">
        <v>115</v>
      </c>
      <c r="F34" s="3">
        <v>144</v>
      </c>
      <c r="G34" s="3">
        <v>111</v>
      </c>
      <c r="H34" s="3">
        <v>111</v>
      </c>
      <c r="I34" s="3">
        <v>111</v>
      </c>
      <c r="J34" s="3">
        <v>111</v>
      </c>
      <c r="K34" s="3">
        <v>139</v>
      </c>
    </row>
    <row r="35" spans="1:11" x14ac:dyDescent="0.25">
      <c r="A35" t="s">
        <v>6</v>
      </c>
      <c r="B35" s="3">
        <v>120</v>
      </c>
      <c r="C35" s="3">
        <v>120</v>
      </c>
      <c r="D35" s="3">
        <v>120</v>
      </c>
      <c r="E35" s="3">
        <v>120</v>
      </c>
      <c r="F35" s="3">
        <v>120</v>
      </c>
      <c r="G35" s="3">
        <v>120</v>
      </c>
      <c r="H35" s="3">
        <v>120</v>
      </c>
      <c r="I35" s="3">
        <v>120</v>
      </c>
      <c r="J35" s="3">
        <v>120</v>
      </c>
      <c r="K35" s="3">
        <v>120</v>
      </c>
    </row>
    <row r="36" spans="1:11" x14ac:dyDescent="0.25">
      <c r="A36" t="s">
        <v>40</v>
      </c>
      <c r="B36" s="3">
        <v>-1152</v>
      </c>
      <c r="C36" s="3">
        <v>-953</v>
      </c>
      <c r="D36" s="3">
        <v>-603</v>
      </c>
      <c r="E36" s="3">
        <v>-422</v>
      </c>
      <c r="F36" s="3">
        <v>-442</v>
      </c>
      <c r="G36" s="3">
        <v>-228</v>
      </c>
      <c r="H36" s="3">
        <v>-489</v>
      </c>
      <c r="I36" s="3">
        <v>-504</v>
      </c>
      <c r="J36" s="3">
        <v>-263</v>
      </c>
      <c r="K36" s="3">
        <v>-415</v>
      </c>
    </row>
    <row r="37" spans="1:11" x14ac:dyDescent="0.25">
      <c r="A37" t="s">
        <v>15</v>
      </c>
      <c r="B37" s="3">
        <f>SUM(B30:B36)</f>
        <v>4233</v>
      </c>
      <c r="C37" s="3">
        <f t="shared" ref="C37:K37" si="6">SUM(C30:C36)</f>
        <v>4243</v>
      </c>
      <c r="D37" s="3">
        <f t="shared" si="6"/>
        <v>4150</v>
      </c>
      <c r="E37" s="3">
        <f t="shared" si="6"/>
        <v>3462</v>
      </c>
      <c r="F37" s="3">
        <f t="shared" si="6"/>
        <v>3512</v>
      </c>
      <c r="G37" s="3">
        <f t="shared" si="6"/>
        <v>3730</v>
      </c>
      <c r="H37" s="3">
        <f t="shared" si="6"/>
        <v>3580</v>
      </c>
      <c r="I37" s="3">
        <f t="shared" si="6"/>
        <v>3558</v>
      </c>
      <c r="J37" s="3">
        <f t="shared" si="6"/>
        <v>3784</v>
      </c>
      <c r="K37" s="3">
        <f t="shared" si="6"/>
        <v>3657</v>
      </c>
    </row>
    <row r="38" spans="1:1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t="s">
        <v>8</v>
      </c>
      <c r="B39" s="3">
        <v>3393</v>
      </c>
      <c r="C39" s="3">
        <v>3422</v>
      </c>
      <c r="D39" s="3">
        <v>3490</v>
      </c>
      <c r="E39" s="3">
        <v>3587</v>
      </c>
      <c r="F39" s="3">
        <v>3638</v>
      </c>
      <c r="G39" s="3">
        <v>3722</v>
      </c>
      <c r="H39" s="3">
        <v>3769</v>
      </c>
      <c r="I39" s="3">
        <v>3824</v>
      </c>
      <c r="J39" s="3">
        <v>3893</v>
      </c>
      <c r="K39" s="3">
        <v>3978</v>
      </c>
    </row>
    <row r="40" spans="1:11" x14ac:dyDescent="0.25">
      <c r="A40" t="s">
        <v>9</v>
      </c>
      <c r="B40" s="3">
        <v>499</v>
      </c>
      <c r="C40" s="3">
        <v>490</v>
      </c>
      <c r="D40" s="3">
        <v>290</v>
      </c>
      <c r="E40" s="3">
        <v>258</v>
      </c>
      <c r="F40" s="3">
        <v>258</v>
      </c>
      <c r="G40" s="3">
        <v>258</v>
      </c>
      <c r="H40" s="3">
        <v>158</v>
      </c>
      <c r="I40" s="3">
        <v>108</v>
      </c>
      <c r="J40" s="3">
        <v>108</v>
      </c>
      <c r="K40" s="3">
        <v>108</v>
      </c>
    </row>
    <row r="41" spans="1:11" x14ac:dyDescent="0.25">
      <c r="A41" t="s">
        <v>16</v>
      </c>
      <c r="B41" s="3">
        <f>+B40+B39</f>
        <v>3892</v>
      </c>
      <c r="C41" s="3">
        <f t="shared" ref="C41:K41" si="7">+C40+C39</f>
        <v>3912</v>
      </c>
      <c r="D41" s="3">
        <f t="shared" si="7"/>
        <v>3780</v>
      </c>
      <c r="E41" s="3">
        <f t="shared" si="7"/>
        <v>3845</v>
      </c>
      <c r="F41" s="3">
        <f t="shared" si="7"/>
        <v>3896</v>
      </c>
      <c r="G41" s="3">
        <f t="shared" si="7"/>
        <v>3980</v>
      </c>
      <c r="H41" s="3">
        <f t="shared" si="7"/>
        <v>3927</v>
      </c>
      <c r="I41" s="3">
        <f t="shared" si="7"/>
        <v>3932</v>
      </c>
      <c r="J41" s="3">
        <f t="shared" si="7"/>
        <v>4001</v>
      </c>
      <c r="K41" s="3">
        <f t="shared" si="7"/>
        <v>4086</v>
      </c>
    </row>
    <row r="42" spans="1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t="s">
        <v>30</v>
      </c>
      <c r="B43" s="3">
        <v>310</v>
      </c>
      <c r="C43" s="3">
        <v>325</v>
      </c>
      <c r="D43" s="3">
        <v>363</v>
      </c>
      <c r="E43" s="3">
        <v>448</v>
      </c>
      <c r="F43" s="3">
        <v>450</v>
      </c>
      <c r="G43" s="3">
        <v>464</v>
      </c>
      <c r="H43" s="3">
        <v>458</v>
      </c>
      <c r="I43" s="3">
        <v>459</v>
      </c>
      <c r="J43" s="3">
        <v>467</v>
      </c>
      <c r="K43" s="3">
        <v>474</v>
      </c>
    </row>
    <row r="44" spans="1:11" x14ac:dyDescent="0.25">
      <c r="A44" t="s">
        <v>31</v>
      </c>
      <c r="B44" s="3">
        <v>7</v>
      </c>
      <c r="C44" s="3">
        <v>7</v>
      </c>
      <c r="D44" s="3">
        <v>7</v>
      </c>
      <c r="E44" s="3">
        <v>7</v>
      </c>
      <c r="F44" s="3">
        <v>7</v>
      </c>
      <c r="G44" s="3">
        <v>7</v>
      </c>
      <c r="H44" s="3">
        <v>7</v>
      </c>
      <c r="I44" s="3">
        <v>7</v>
      </c>
      <c r="J44" s="3">
        <v>7</v>
      </c>
      <c r="K44" s="3">
        <v>7</v>
      </c>
    </row>
    <row r="45" spans="1:11" x14ac:dyDescent="0.25">
      <c r="A45" t="s">
        <v>17</v>
      </c>
      <c r="B45" s="3">
        <f>+B44+B43</f>
        <v>317</v>
      </c>
      <c r="C45" s="3">
        <f t="shared" ref="C45:K45" si="8">+C44+C43</f>
        <v>332</v>
      </c>
      <c r="D45" s="3">
        <f t="shared" si="8"/>
        <v>370</v>
      </c>
      <c r="E45" s="3">
        <f t="shared" si="8"/>
        <v>455</v>
      </c>
      <c r="F45" s="3">
        <f t="shared" si="8"/>
        <v>457</v>
      </c>
      <c r="G45" s="3">
        <f t="shared" si="8"/>
        <v>471</v>
      </c>
      <c r="H45" s="3">
        <f t="shared" si="8"/>
        <v>465</v>
      </c>
      <c r="I45" s="3">
        <f t="shared" si="8"/>
        <v>466</v>
      </c>
      <c r="J45" s="3">
        <f t="shared" si="8"/>
        <v>474</v>
      </c>
      <c r="K45" s="3">
        <f t="shared" si="8"/>
        <v>481</v>
      </c>
    </row>
    <row r="46" spans="1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t="s">
        <v>18</v>
      </c>
      <c r="B47" s="3">
        <f t="shared" ref="B47:J47" si="9">+B45+B41</f>
        <v>4209</v>
      </c>
      <c r="C47" s="3">
        <f t="shared" si="9"/>
        <v>4244</v>
      </c>
      <c r="D47" s="3">
        <f t="shared" si="9"/>
        <v>4150</v>
      </c>
      <c r="E47" s="3">
        <f t="shared" si="9"/>
        <v>4300</v>
      </c>
      <c r="F47" s="3">
        <f t="shared" si="9"/>
        <v>4353</v>
      </c>
      <c r="G47" s="3">
        <f t="shared" si="9"/>
        <v>4451</v>
      </c>
      <c r="H47" s="3">
        <f t="shared" si="9"/>
        <v>4392</v>
      </c>
      <c r="I47" s="3">
        <f t="shared" si="9"/>
        <v>4398</v>
      </c>
      <c r="J47" s="3">
        <f t="shared" si="9"/>
        <v>4475</v>
      </c>
      <c r="K47" s="3">
        <f>+K45+K41</f>
        <v>4567</v>
      </c>
    </row>
    <row r="48" spans="1:11" x14ac:dyDescent="0.25">
      <c r="A48" t="s">
        <v>19</v>
      </c>
      <c r="B48" s="3">
        <f t="shared" ref="B48:K48" si="10">+B37-B47</f>
        <v>24</v>
      </c>
      <c r="C48" s="3">
        <f t="shared" si="10"/>
        <v>-1</v>
      </c>
      <c r="D48" s="3">
        <f t="shared" si="10"/>
        <v>0</v>
      </c>
      <c r="E48" s="3">
        <f t="shared" si="10"/>
        <v>-838</v>
      </c>
      <c r="F48" s="3">
        <f t="shared" si="10"/>
        <v>-841</v>
      </c>
      <c r="G48" s="3">
        <f t="shared" si="10"/>
        <v>-721</v>
      </c>
      <c r="H48" s="3">
        <f t="shared" si="10"/>
        <v>-812</v>
      </c>
      <c r="I48" s="3">
        <f t="shared" si="10"/>
        <v>-840</v>
      </c>
      <c r="J48" s="3">
        <f t="shared" si="10"/>
        <v>-691</v>
      </c>
      <c r="K48" s="3">
        <f t="shared" si="10"/>
        <v>-910</v>
      </c>
    </row>
    <row r="49" spans="1:11" x14ac:dyDescent="0.25">
      <c r="A49" t="s">
        <v>20</v>
      </c>
      <c r="B49" s="5">
        <f>(B$37+(B$32+B$34)*Target_Margin-B$44)/B$41-1</f>
        <v>0.12620760534429598</v>
      </c>
      <c r="C49" s="5">
        <f t="shared" ref="C49:K49" si="11">(C$37+(C$32+C$34)*Target_Margin-C$44)/C$41-1</f>
        <v>0.119723926380368</v>
      </c>
      <c r="D49" s="5">
        <f t="shared" si="11"/>
        <v>0.11993650793650779</v>
      </c>
      <c r="E49" s="5">
        <f t="shared" si="11"/>
        <v>-9.7841352405721671E-2</v>
      </c>
      <c r="F49" s="5">
        <f t="shared" si="11"/>
        <v>-9.592402464065708E-2</v>
      </c>
      <c r="G49" s="5">
        <f t="shared" si="11"/>
        <v>-6.122613065326632E-2</v>
      </c>
      <c r="H49" s="5">
        <f t="shared" si="11"/>
        <v>-8.6753246753246693E-2</v>
      </c>
      <c r="I49" s="5">
        <f t="shared" si="11"/>
        <v>-9.3509664292980577E-2</v>
      </c>
      <c r="J49" s="5">
        <f t="shared" si="11"/>
        <v>-5.2656835791052181E-2</v>
      </c>
      <c r="K49" s="5">
        <f t="shared" si="11"/>
        <v>-0.10262359275575139</v>
      </c>
    </row>
    <row r="50" spans="1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8" t="s">
        <v>34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t="s">
        <v>21</v>
      </c>
      <c r="B52" s="3">
        <f t="shared" ref="B52:K52" si="12">+B15+B37</f>
        <v>13142</v>
      </c>
      <c r="C52" s="3">
        <f t="shared" si="12"/>
        <v>12814</v>
      </c>
      <c r="D52" s="3">
        <f t="shared" si="12"/>
        <v>12433</v>
      </c>
      <c r="E52" s="3">
        <f t="shared" si="12"/>
        <v>11436</v>
      </c>
      <c r="F52" s="3">
        <f t="shared" si="12"/>
        <v>11514</v>
      </c>
      <c r="G52" s="3">
        <f t="shared" si="12"/>
        <v>11544</v>
      </c>
      <c r="H52" s="3">
        <f t="shared" si="12"/>
        <v>11662</v>
      </c>
      <c r="I52" s="3">
        <f t="shared" si="12"/>
        <v>11651</v>
      </c>
      <c r="J52" s="3">
        <f t="shared" si="12"/>
        <v>11649</v>
      </c>
      <c r="K52" s="3">
        <f t="shared" si="12"/>
        <v>11456</v>
      </c>
    </row>
    <row r="53" spans="1:11" x14ac:dyDescent="0.25">
      <c r="A53" t="s">
        <v>35</v>
      </c>
      <c r="B53" s="3">
        <v>3</v>
      </c>
      <c r="C53" s="3">
        <v>2</v>
      </c>
      <c r="D53" s="3">
        <v>0</v>
      </c>
      <c r="E53" s="3">
        <v>2</v>
      </c>
      <c r="F53" s="3">
        <v>1</v>
      </c>
      <c r="G53" s="3">
        <v>-1</v>
      </c>
      <c r="H53" s="3">
        <v>0</v>
      </c>
      <c r="I53" s="3">
        <v>0</v>
      </c>
      <c r="J53" s="3">
        <v>-1</v>
      </c>
      <c r="K53" s="3">
        <v>1</v>
      </c>
    </row>
    <row r="54" spans="1:11" x14ac:dyDescent="0.25">
      <c r="A54" t="s">
        <v>36</v>
      </c>
      <c r="B54" s="3">
        <f t="shared" ref="B54:K54" si="13">+B41+B19</f>
        <v>11430</v>
      </c>
      <c r="C54" s="3">
        <f t="shared" si="13"/>
        <v>11629</v>
      </c>
      <c r="D54" s="3">
        <f t="shared" si="13"/>
        <v>11688</v>
      </c>
      <c r="E54" s="3">
        <f t="shared" si="13"/>
        <v>11996</v>
      </c>
      <c r="F54" s="3">
        <f t="shared" si="13"/>
        <v>12284</v>
      </c>
      <c r="G54" s="3">
        <f t="shared" si="13"/>
        <v>12504</v>
      </c>
      <c r="H54" s="3">
        <f t="shared" si="13"/>
        <v>12701</v>
      </c>
      <c r="I54" s="3">
        <f t="shared" si="13"/>
        <v>12980</v>
      </c>
      <c r="J54" s="3">
        <f t="shared" si="13"/>
        <v>13151</v>
      </c>
      <c r="K54" s="3">
        <f t="shared" si="13"/>
        <v>13441</v>
      </c>
    </row>
    <row r="55" spans="1:11" x14ac:dyDescent="0.25">
      <c r="A55" t="s">
        <v>22</v>
      </c>
      <c r="B55" s="3">
        <f t="shared" ref="B55:K55" si="14">+B23+B45</f>
        <v>1132</v>
      </c>
      <c r="C55" s="3">
        <f t="shared" si="14"/>
        <v>1187</v>
      </c>
      <c r="D55" s="3">
        <f t="shared" si="14"/>
        <v>1243</v>
      </c>
      <c r="E55" s="3">
        <f t="shared" si="14"/>
        <v>1378</v>
      </c>
      <c r="F55" s="3">
        <f t="shared" si="14"/>
        <v>1407</v>
      </c>
      <c r="G55" s="3">
        <f t="shared" si="14"/>
        <v>1436</v>
      </c>
      <c r="H55" s="3">
        <f t="shared" si="14"/>
        <v>1459</v>
      </c>
      <c r="I55" s="3">
        <f t="shared" si="14"/>
        <v>1494</v>
      </c>
      <c r="J55" s="3">
        <f t="shared" si="14"/>
        <v>1513</v>
      </c>
      <c r="K55" s="3">
        <f t="shared" si="14"/>
        <v>1544</v>
      </c>
    </row>
    <row r="56" spans="1:11" x14ac:dyDescent="0.25">
      <c r="A56" t="s">
        <v>37</v>
      </c>
      <c r="B56" s="3">
        <f t="shared" ref="B56:K56" si="15">+B55+B54</f>
        <v>12562</v>
      </c>
      <c r="C56" s="3">
        <f t="shared" si="15"/>
        <v>12816</v>
      </c>
      <c r="D56" s="3">
        <f t="shared" si="15"/>
        <v>12931</v>
      </c>
      <c r="E56" s="3">
        <f t="shared" si="15"/>
        <v>13374</v>
      </c>
      <c r="F56" s="3">
        <f t="shared" si="15"/>
        <v>13691</v>
      </c>
      <c r="G56" s="3">
        <f t="shared" si="15"/>
        <v>13940</v>
      </c>
      <c r="H56" s="3">
        <f t="shared" si="15"/>
        <v>14160</v>
      </c>
      <c r="I56" s="3">
        <f t="shared" si="15"/>
        <v>14474</v>
      </c>
      <c r="J56" s="3">
        <f t="shared" si="15"/>
        <v>14664</v>
      </c>
      <c r="K56" s="3">
        <f t="shared" si="15"/>
        <v>14985</v>
      </c>
    </row>
    <row r="57" spans="1:11" x14ac:dyDescent="0.25">
      <c r="A57" t="s">
        <v>38</v>
      </c>
      <c r="B57" s="3">
        <f t="shared" ref="B57:K57" si="16">+B52+B53-B56</f>
        <v>583</v>
      </c>
      <c r="C57" s="3">
        <f t="shared" si="16"/>
        <v>0</v>
      </c>
      <c r="D57" s="3">
        <f t="shared" si="16"/>
        <v>-498</v>
      </c>
      <c r="E57" s="3">
        <f t="shared" si="16"/>
        <v>-1936</v>
      </c>
      <c r="F57" s="3">
        <f t="shared" si="16"/>
        <v>-2176</v>
      </c>
      <c r="G57" s="3">
        <f t="shared" si="16"/>
        <v>-2397</v>
      </c>
      <c r="H57" s="3">
        <f t="shared" si="16"/>
        <v>-2498</v>
      </c>
      <c r="I57" s="3">
        <f t="shared" si="16"/>
        <v>-2823</v>
      </c>
      <c r="J57" s="3">
        <f t="shared" si="16"/>
        <v>-3016</v>
      </c>
      <c r="K57" s="3">
        <f t="shared" si="16"/>
        <v>-3528</v>
      </c>
    </row>
    <row r="58" spans="1:11" x14ac:dyDescent="0.25">
      <c r="A58" t="s">
        <v>23</v>
      </c>
      <c r="B58" s="5">
        <f>(B$52+(B$9+B$11+B$13+B$32+B$34)*Target_Margin-B$22-B$44)/B$54-1</f>
        <v>0.17079265091863505</v>
      </c>
      <c r="C58" s="5">
        <f t="shared" ref="C58:K58" si="17">(C$52+(C$9+C$11+C$13+C$32+C$34)*Target_Margin-C$22-C$44)/C$54-1</f>
        <v>0.1198486542265027</v>
      </c>
      <c r="D58" s="5">
        <f t="shared" si="17"/>
        <v>7.7337440109513933E-2</v>
      </c>
      <c r="E58" s="5">
        <f t="shared" si="17"/>
        <v>-4.1517172390796997E-2</v>
      </c>
      <c r="F58" s="5">
        <f t="shared" si="17"/>
        <v>-5.7258222077499199E-2</v>
      </c>
      <c r="G58" s="5">
        <f t="shared" si="17"/>
        <v>-7.1666666666666767E-2</v>
      </c>
      <c r="H58" s="5">
        <f t="shared" si="17"/>
        <v>-7.6680576332572192E-2</v>
      </c>
      <c r="I58" s="5">
        <f t="shared" si="17"/>
        <v>-9.7476117103235782E-2</v>
      </c>
      <c r="J58" s="5">
        <f t="shared" si="17"/>
        <v>-0.10927229868451072</v>
      </c>
      <c r="K58" s="5">
        <f t="shared" si="17"/>
        <v>-0.14251022989360906</v>
      </c>
    </row>
    <row r="59" spans="1:11" x14ac:dyDescent="0.25">
      <c r="B59" s="3"/>
      <c r="C59" s="3"/>
      <c r="D59" s="3"/>
      <c r="E59" s="3"/>
      <c r="F59" s="3"/>
      <c r="G59" s="3"/>
      <c r="H59" s="3"/>
      <c r="I59" s="3"/>
      <c r="J59" s="3"/>
    </row>
    <row r="61" spans="1:11" x14ac:dyDescent="0.25">
      <c r="B61" s="18"/>
      <c r="C61" s="18"/>
      <c r="D61" s="18"/>
      <c r="E61" s="18"/>
      <c r="F61" s="18"/>
    </row>
    <row r="70" spans="2:11" x14ac:dyDescent="0.25">
      <c r="B70" s="17" t="e">
        <f>+#REF!</f>
        <v>#REF!</v>
      </c>
      <c r="C70" s="17" t="e">
        <f>+#REF!</f>
        <v>#REF!</v>
      </c>
      <c r="D70" s="17" t="e">
        <f>+#REF!</f>
        <v>#REF!</v>
      </c>
      <c r="E70" s="17" t="e">
        <f>+#REF!</f>
        <v>#REF!</v>
      </c>
      <c r="F70" s="17" t="e">
        <f>+#REF!</f>
        <v>#REF!</v>
      </c>
      <c r="G70" s="17" t="e">
        <f>+#REF!</f>
        <v>#REF!</v>
      </c>
      <c r="H70" s="17" t="e">
        <f>+#REF!</f>
        <v>#REF!</v>
      </c>
      <c r="I70" s="17" t="e">
        <f>+#REF!</f>
        <v>#REF!</v>
      </c>
      <c r="J70" s="17" t="e">
        <f>+#REF!</f>
        <v>#REF!</v>
      </c>
      <c r="K70" s="17" t="e">
        <f>+#REF!</f>
        <v>#REF!</v>
      </c>
    </row>
    <row r="71" spans="2:11" x14ac:dyDescent="0.25">
      <c r="B71" s="17" t="e">
        <f>+B52-B70</f>
        <v>#REF!</v>
      </c>
      <c r="C71" s="17" t="e">
        <f t="shared" ref="C71:K71" si="18">+C52-C70</f>
        <v>#REF!</v>
      </c>
      <c r="D71" s="17" t="e">
        <f t="shared" si="18"/>
        <v>#REF!</v>
      </c>
      <c r="E71" s="17" t="e">
        <f t="shared" si="18"/>
        <v>#REF!</v>
      </c>
      <c r="F71" s="17" t="e">
        <f t="shared" si="18"/>
        <v>#REF!</v>
      </c>
      <c r="G71" s="17" t="e">
        <f t="shared" si="18"/>
        <v>#REF!</v>
      </c>
      <c r="H71" s="17" t="e">
        <f t="shared" si="18"/>
        <v>#REF!</v>
      </c>
      <c r="I71" s="17" t="e">
        <f t="shared" si="18"/>
        <v>#REF!</v>
      </c>
      <c r="J71" s="17" t="e">
        <f t="shared" si="18"/>
        <v>#REF!</v>
      </c>
      <c r="K71" s="17" t="e">
        <f t="shared" si="18"/>
        <v>#REF!</v>
      </c>
    </row>
  </sheetData>
  <mergeCells count="3">
    <mergeCell ref="A2:J2"/>
    <mergeCell ref="A3:J3"/>
    <mergeCell ref="A1:K1"/>
  </mergeCells>
  <pageMargins left="0.7" right="0.7" top="0.75" bottom="0.75" header="0.3" footer="0.3"/>
  <pageSetup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5"/>
  <sheetViews>
    <sheetView topLeftCell="W1" zoomScaleNormal="100" zoomScaleSheetLayoutView="110" workbookViewId="0">
      <selection activeCell="C39" sqref="C39"/>
    </sheetView>
  </sheetViews>
  <sheetFormatPr defaultRowHeight="15" x14ac:dyDescent="0.25"/>
  <cols>
    <col min="1" max="1" width="26.140625" customWidth="1"/>
    <col min="2" max="11" width="9.7109375" customWidth="1"/>
    <col min="16" max="16" width="10.5703125" bestFit="1" customWidth="1"/>
    <col min="26" max="26" width="13.140625" customWidth="1"/>
    <col min="27" max="27" width="12.85546875" customWidth="1"/>
    <col min="28" max="28" width="13.28515625" customWidth="1"/>
    <col min="29" max="34" width="12.85546875" customWidth="1"/>
    <col min="35" max="35" width="14.28515625" customWidth="1"/>
  </cols>
  <sheetData>
    <row r="1" spans="1:36" x14ac:dyDescent="0.25">
      <c r="A1" t="s">
        <v>64</v>
      </c>
      <c r="Z1" t="s">
        <v>70</v>
      </c>
    </row>
    <row r="2" spans="1:36" x14ac:dyDescent="0.25">
      <c r="J2" s="25">
        <v>0.12</v>
      </c>
      <c r="Z2">
        <v>2010</v>
      </c>
      <c r="AA2">
        <f>+Z2+1</f>
        <v>2011</v>
      </c>
      <c r="AB2">
        <f t="shared" ref="AB2:AH2" si="0">+AA2+1</f>
        <v>2012</v>
      </c>
      <c r="AC2">
        <f t="shared" si="0"/>
        <v>2013</v>
      </c>
      <c r="AD2">
        <f t="shared" si="0"/>
        <v>2014</v>
      </c>
      <c r="AE2">
        <f t="shared" si="0"/>
        <v>2015</v>
      </c>
      <c r="AF2">
        <f t="shared" si="0"/>
        <v>2016</v>
      </c>
      <c r="AG2">
        <f t="shared" si="0"/>
        <v>2017</v>
      </c>
      <c r="AH2">
        <f t="shared" si="0"/>
        <v>2018</v>
      </c>
      <c r="AI2">
        <f>+AH2+1</f>
        <v>2019</v>
      </c>
    </row>
    <row r="3" spans="1:36" ht="15.75" x14ac:dyDescent="0.25">
      <c r="A3" s="75" t="s">
        <v>65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36" ht="18.75" x14ac:dyDescent="0.3">
      <c r="A4" s="72" t="s">
        <v>39</v>
      </c>
      <c r="B4" s="72"/>
      <c r="C4" s="72"/>
      <c r="D4" s="72"/>
      <c r="E4" s="72"/>
      <c r="F4" s="72"/>
      <c r="G4" s="72"/>
      <c r="H4" s="72"/>
      <c r="I4" s="72"/>
      <c r="J4" s="72"/>
      <c r="K4" s="72"/>
      <c r="Z4" s="17">
        <v>59403758</v>
      </c>
      <c r="AA4" s="17">
        <v>61110064</v>
      </c>
      <c r="AB4" s="17">
        <v>63264583</v>
      </c>
      <c r="AC4" s="17">
        <v>65126386</v>
      </c>
      <c r="AD4" s="17">
        <v>66912337</v>
      </c>
      <c r="AE4" s="17">
        <v>68375219</v>
      </c>
      <c r="AF4" s="17">
        <v>69814947</v>
      </c>
      <c r="AG4" s="17">
        <v>70674381</v>
      </c>
      <c r="AH4" s="17">
        <v>71745215</v>
      </c>
      <c r="AI4" s="17">
        <v>72870856</v>
      </c>
      <c r="AJ4" s="18">
        <f>((+AI4-Z4)/Z4)/9</f>
        <v>2.5189386540532033E-2</v>
      </c>
    </row>
    <row r="5" spans="1:36" x14ac:dyDescent="0.25">
      <c r="A5" s="73" t="s">
        <v>26</v>
      </c>
      <c r="B5" s="73"/>
      <c r="C5" s="73"/>
      <c r="D5" s="73"/>
      <c r="E5" s="73"/>
      <c r="F5" s="73"/>
      <c r="G5" s="73"/>
      <c r="H5" s="73"/>
      <c r="I5" s="73"/>
      <c r="J5" s="73"/>
      <c r="K5" s="73"/>
      <c r="AA5" s="26">
        <f>+AA4-Z4</f>
        <v>1706306</v>
      </c>
      <c r="AB5" s="26">
        <f t="shared" ref="AB5:AI5" si="1">+AB4-AA4</f>
        <v>2154519</v>
      </c>
      <c r="AC5" s="26">
        <f t="shared" si="1"/>
        <v>1861803</v>
      </c>
      <c r="AD5" s="26">
        <f t="shared" si="1"/>
        <v>1785951</v>
      </c>
      <c r="AE5" s="26">
        <f t="shared" si="1"/>
        <v>1462882</v>
      </c>
      <c r="AF5" s="26">
        <f t="shared" si="1"/>
        <v>1439728</v>
      </c>
      <c r="AG5" s="26">
        <f t="shared" si="1"/>
        <v>859434</v>
      </c>
      <c r="AH5" s="26">
        <f t="shared" si="1"/>
        <v>1070834</v>
      </c>
      <c r="AI5" s="26">
        <f t="shared" si="1"/>
        <v>1125641</v>
      </c>
    </row>
    <row r="6" spans="1:36" x14ac:dyDescent="0.25">
      <c r="AA6" s="18">
        <f>(AA4-Z4)/Z4</f>
        <v>2.8723872991334994E-2</v>
      </c>
      <c r="AB6" s="18">
        <f t="shared" ref="AB6:AI6" si="2">(AB4-AA4)/AA4</f>
        <v>3.5256369556412183E-2</v>
      </c>
      <c r="AC6" s="18">
        <f t="shared" si="2"/>
        <v>2.9428835403846731E-2</v>
      </c>
      <c r="AD6" s="18">
        <f t="shared" si="2"/>
        <v>2.7422848244642348E-2</v>
      </c>
      <c r="AE6" s="18">
        <f t="shared" si="2"/>
        <v>2.1862664877479919E-2</v>
      </c>
      <c r="AF6" s="18">
        <f t="shared" si="2"/>
        <v>2.1056283563786464E-2</v>
      </c>
      <c r="AG6" s="18">
        <f t="shared" si="2"/>
        <v>1.2310171917769987E-2</v>
      </c>
      <c r="AH6" s="18">
        <f t="shared" si="2"/>
        <v>1.5151657288657399E-2</v>
      </c>
      <c r="AI6" s="18">
        <f t="shared" si="2"/>
        <v>1.5689422632575566E-2</v>
      </c>
      <c r="AJ6" s="25">
        <f>AVERAGE(AA6:AI6)</f>
        <v>2.2989125164056174E-2</v>
      </c>
    </row>
    <row r="7" spans="1:36" x14ac:dyDescent="0.25">
      <c r="A7" t="s">
        <v>0</v>
      </c>
      <c r="B7">
        <v>2010</v>
      </c>
      <c r="C7">
        <v>2011</v>
      </c>
      <c r="D7">
        <v>2012</v>
      </c>
      <c r="E7">
        <v>2013</v>
      </c>
      <c r="F7">
        <v>2014</v>
      </c>
      <c r="G7">
        <v>2015</v>
      </c>
      <c r="H7">
        <v>2016</v>
      </c>
      <c r="I7">
        <v>2017</v>
      </c>
      <c r="J7">
        <v>2018</v>
      </c>
      <c r="K7">
        <v>2019</v>
      </c>
    </row>
    <row r="8" spans="1:36" x14ac:dyDescent="0.25">
      <c r="A8" s="8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Z8" t="s">
        <v>71</v>
      </c>
    </row>
    <row r="9" spans="1:36" x14ac:dyDescent="0.25">
      <c r="A9" t="s">
        <v>1</v>
      </c>
      <c r="B9" s="3">
        <v>5989</v>
      </c>
      <c r="C9" s="3">
        <v>6009</v>
      </c>
      <c r="D9" s="3">
        <v>6009</v>
      </c>
      <c r="E9" s="3">
        <v>6011</v>
      </c>
      <c r="F9" s="3">
        <v>6011</v>
      </c>
      <c r="G9" s="3">
        <v>6022</v>
      </c>
      <c r="H9" s="3">
        <v>6059</v>
      </c>
      <c r="I9" s="3">
        <v>6059</v>
      </c>
      <c r="J9" s="3">
        <v>6059</v>
      </c>
      <c r="K9" s="3">
        <v>6059</v>
      </c>
    </row>
    <row r="10" spans="1:36" x14ac:dyDescent="0.25">
      <c r="A10" t="s">
        <v>2</v>
      </c>
      <c r="B10" s="3">
        <v>132</v>
      </c>
      <c r="C10" s="3">
        <v>132</v>
      </c>
      <c r="D10" s="3">
        <v>132</v>
      </c>
      <c r="E10" s="3">
        <v>132</v>
      </c>
      <c r="F10" s="3">
        <v>132</v>
      </c>
      <c r="G10" s="3">
        <v>132</v>
      </c>
      <c r="H10" s="3">
        <v>132</v>
      </c>
      <c r="I10" s="3">
        <v>132</v>
      </c>
      <c r="J10" s="3">
        <v>132</v>
      </c>
      <c r="K10" s="3">
        <v>132</v>
      </c>
    </row>
    <row r="11" spans="1:36" x14ac:dyDescent="0.25">
      <c r="A11" t="s">
        <v>3</v>
      </c>
      <c r="B11" s="3">
        <v>458</v>
      </c>
      <c r="C11" s="3">
        <v>463</v>
      </c>
      <c r="D11" s="3">
        <v>468</v>
      </c>
      <c r="E11" s="3">
        <v>468</v>
      </c>
      <c r="F11" s="3">
        <v>468</v>
      </c>
      <c r="G11" s="3">
        <v>468</v>
      </c>
      <c r="H11" s="3">
        <v>468</v>
      </c>
      <c r="I11" s="3">
        <v>468</v>
      </c>
      <c r="J11" s="3">
        <v>468</v>
      </c>
      <c r="K11" s="3">
        <v>468</v>
      </c>
    </row>
    <row r="12" spans="1:36" x14ac:dyDescent="0.25">
      <c r="A12" t="s">
        <v>4</v>
      </c>
      <c r="B12" s="3">
        <v>157</v>
      </c>
      <c r="C12" s="3">
        <v>157</v>
      </c>
      <c r="D12" s="3">
        <v>157</v>
      </c>
      <c r="E12" s="3">
        <v>157</v>
      </c>
      <c r="F12" s="3">
        <v>157</v>
      </c>
      <c r="G12" s="3">
        <v>154</v>
      </c>
      <c r="H12" s="3">
        <v>154</v>
      </c>
      <c r="I12" s="3">
        <v>154</v>
      </c>
      <c r="J12" s="3">
        <v>154</v>
      </c>
      <c r="K12" s="3">
        <v>154</v>
      </c>
    </row>
    <row r="13" spans="1:36" x14ac:dyDescent="0.25">
      <c r="A13" t="s">
        <v>5</v>
      </c>
      <c r="B13" s="34">
        <v>560</v>
      </c>
      <c r="C13" s="34">
        <v>655</v>
      </c>
      <c r="D13" s="34">
        <v>705</v>
      </c>
      <c r="E13" s="34">
        <v>604</v>
      </c>
      <c r="F13" s="3">
        <v>304</v>
      </c>
      <c r="G13" s="3">
        <v>304</v>
      </c>
      <c r="H13" s="3">
        <v>283</v>
      </c>
      <c r="I13" s="3">
        <v>283</v>
      </c>
      <c r="J13" s="3">
        <v>283</v>
      </c>
      <c r="K13" s="3">
        <v>283</v>
      </c>
    </row>
    <row r="14" spans="1:36" x14ac:dyDescent="0.25">
      <c r="A14" t="s">
        <v>6</v>
      </c>
      <c r="B14" s="3">
        <v>152</v>
      </c>
      <c r="C14" s="3">
        <v>152</v>
      </c>
      <c r="D14" s="3">
        <v>152</v>
      </c>
      <c r="E14" s="3">
        <v>152</v>
      </c>
      <c r="F14" s="3">
        <v>152</v>
      </c>
      <c r="G14" s="3">
        <v>152</v>
      </c>
      <c r="H14" s="3">
        <v>152</v>
      </c>
      <c r="I14" s="3">
        <v>152</v>
      </c>
      <c r="J14" s="3">
        <v>152</v>
      </c>
      <c r="K14" s="3">
        <v>152</v>
      </c>
    </row>
    <row r="15" spans="1:36" x14ac:dyDescent="0.25">
      <c r="A15" t="s">
        <v>29</v>
      </c>
      <c r="B15" s="3">
        <v>327</v>
      </c>
      <c r="C15" s="3">
        <v>327</v>
      </c>
      <c r="D15" s="3">
        <v>327</v>
      </c>
      <c r="E15" s="3">
        <v>327</v>
      </c>
      <c r="F15" s="3">
        <v>327</v>
      </c>
      <c r="G15" s="3">
        <v>327</v>
      </c>
      <c r="H15" s="3">
        <v>327</v>
      </c>
      <c r="I15" s="3">
        <v>327</v>
      </c>
      <c r="J15" s="3">
        <v>327</v>
      </c>
      <c r="K15" s="3">
        <v>327</v>
      </c>
    </row>
    <row r="16" spans="1:36" x14ac:dyDescent="0.25">
      <c r="A16" t="s">
        <v>40</v>
      </c>
      <c r="B16" s="3">
        <v>1000</v>
      </c>
      <c r="C16" s="3">
        <v>738</v>
      </c>
      <c r="D16" s="34">
        <v>218</v>
      </c>
      <c r="E16" s="3">
        <v>432</v>
      </c>
      <c r="F16" s="34">
        <v>330</v>
      </c>
      <c r="G16" s="3">
        <v>524</v>
      </c>
      <c r="H16" s="34">
        <v>260</v>
      </c>
      <c r="I16" s="3">
        <v>589</v>
      </c>
      <c r="J16" s="34">
        <v>323</v>
      </c>
      <c r="K16" s="3">
        <v>584</v>
      </c>
    </row>
    <row r="17" spans="1:11" x14ac:dyDescent="0.25">
      <c r="A17" t="s">
        <v>7</v>
      </c>
      <c r="B17" s="3">
        <f t="shared" ref="B17:J17" si="3">SUM(B9:B16)</f>
        <v>8775</v>
      </c>
      <c r="C17" s="3">
        <f t="shared" si="3"/>
        <v>8633</v>
      </c>
      <c r="D17" s="3">
        <f t="shared" si="3"/>
        <v>8168</v>
      </c>
      <c r="E17" s="3">
        <f t="shared" si="3"/>
        <v>8283</v>
      </c>
      <c r="F17" s="3">
        <f t="shared" si="3"/>
        <v>7881</v>
      </c>
      <c r="G17" s="3">
        <f t="shared" si="3"/>
        <v>8083</v>
      </c>
      <c r="H17" s="3">
        <f t="shared" si="3"/>
        <v>7835</v>
      </c>
      <c r="I17" s="3">
        <f t="shared" si="3"/>
        <v>8164</v>
      </c>
      <c r="J17" s="3">
        <f t="shared" si="3"/>
        <v>7898</v>
      </c>
      <c r="K17" s="3">
        <f>SUM(K9:K16)</f>
        <v>8159</v>
      </c>
    </row>
    <row r="18" spans="1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t="s">
        <v>8</v>
      </c>
      <c r="B19" s="3">
        <v>6753</v>
      </c>
      <c r="C19" s="3">
        <v>7036</v>
      </c>
      <c r="D19" s="3">
        <v>7292</v>
      </c>
      <c r="E19" s="3">
        <v>7577</v>
      </c>
      <c r="F19" s="3">
        <v>7846</v>
      </c>
      <c r="G19" s="3">
        <v>8070</v>
      </c>
      <c r="H19" s="3">
        <v>8295</v>
      </c>
      <c r="I19" s="3">
        <v>8461</v>
      </c>
      <c r="J19" s="3">
        <v>8628</v>
      </c>
      <c r="K19" s="3">
        <v>8804</v>
      </c>
    </row>
    <row r="20" spans="1:11" x14ac:dyDescent="0.25">
      <c r="A20" t="s">
        <v>9</v>
      </c>
      <c r="B20" s="3">
        <v>768</v>
      </c>
      <c r="C20" s="3">
        <v>758</v>
      </c>
      <c r="D20" s="34">
        <v>997</v>
      </c>
      <c r="E20" s="34">
        <v>1045</v>
      </c>
      <c r="F20" s="3">
        <v>745</v>
      </c>
      <c r="G20" s="3">
        <v>745</v>
      </c>
      <c r="H20" s="3">
        <v>745</v>
      </c>
      <c r="I20" s="3">
        <v>659</v>
      </c>
      <c r="J20" s="3">
        <v>659</v>
      </c>
      <c r="K20" s="3">
        <v>659</v>
      </c>
    </row>
    <row r="21" spans="1:11" x14ac:dyDescent="0.25">
      <c r="A21" t="s">
        <v>10</v>
      </c>
      <c r="B21" s="3">
        <f t="shared" ref="B21:J21" si="4">+B20+B19</f>
        <v>7521</v>
      </c>
      <c r="C21" s="3">
        <f t="shared" si="4"/>
        <v>7794</v>
      </c>
      <c r="D21" s="3">
        <f t="shared" si="4"/>
        <v>8289</v>
      </c>
      <c r="E21" s="3">
        <f t="shared" si="4"/>
        <v>8622</v>
      </c>
      <c r="F21" s="3">
        <f t="shared" si="4"/>
        <v>8591</v>
      </c>
      <c r="G21" s="3">
        <f t="shared" si="4"/>
        <v>8815</v>
      </c>
      <c r="H21" s="3">
        <f t="shared" si="4"/>
        <v>9040</v>
      </c>
      <c r="I21" s="3">
        <f t="shared" si="4"/>
        <v>9120</v>
      </c>
      <c r="J21" s="3">
        <f t="shared" si="4"/>
        <v>9287</v>
      </c>
      <c r="K21" s="3">
        <f>+K20+K19</f>
        <v>9463</v>
      </c>
    </row>
    <row r="22" spans="1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t="s">
        <v>30</v>
      </c>
      <c r="B23" s="3">
        <v>741</v>
      </c>
      <c r="C23" s="3">
        <v>762</v>
      </c>
      <c r="D23" s="3">
        <v>815</v>
      </c>
      <c r="E23" s="3">
        <v>867</v>
      </c>
      <c r="F23" s="3">
        <v>899</v>
      </c>
      <c r="G23" s="3">
        <v>926</v>
      </c>
      <c r="H23" s="3">
        <v>955</v>
      </c>
      <c r="I23" s="3">
        <v>965</v>
      </c>
      <c r="J23" s="3">
        <v>985</v>
      </c>
      <c r="K23" s="3">
        <v>1006</v>
      </c>
    </row>
    <row r="24" spans="1:11" x14ac:dyDescent="0.25">
      <c r="A24" t="s">
        <v>31</v>
      </c>
      <c r="B24" s="3">
        <v>70</v>
      </c>
      <c r="C24" s="3">
        <v>70</v>
      </c>
      <c r="D24" s="3">
        <v>70</v>
      </c>
      <c r="E24" s="3">
        <v>70</v>
      </c>
      <c r="F24" s="3">
        <v>70</v>
      </c>
      <c r="G24" s="3">
        <v>70</v>
      </c>
      <c r="H24" s="3">
        <v>70</v>
      </c>
      <c r="I24" s="3">
        <v>70</v>
      </c>
      <c r="J24" s="3">
        <v>70</v>
      </c>
      <c r="K24" s="3">
        <v>70</v>
      </c>
    </row>
    <row r="25" spans="1:11" x14ac:dyDescent="0.25">
      <c r="A25" t="s">
        <v>11</v>
      </c>
      <c r="B25" s="3">
        <f t="shared" ref="B25:J25" si="5">+B24+B23</f>
        <v>811</v>
      </c>
      <c r="C25" s="3">
        <f t="shared" si="5"/>
        <v>832</v>
      </c>
      <c r="D25" s="3">
        <f t="shared" si="5"/>
        <v>885</v>
      </c>
      <c r="E25" s="3">
        <f t="shared" si="5"/>
        <v>937</v>
      </c>
      <c r="F25" s="3">
        <f t="shared" si="5"/>
        <v>969</v>
      </c>
      <c r="G25" s="3">
        <f t="shared" si="5"/>
        <v>996</v>
      </c>
      <c r="H25" s="3">
        <f t="shared" si="5"/>
        <v>1025</v>
      </c>
      <c r="I25" s="3">
        <f t="shared" si="5"/>
        <v>1035</v>
      </c>
      <c r="J25" s="3">
        <f t="shared" si="5"/>
        <v>1055</v>
      </c>
      <c r="K25" s="3">
        <f>+K24+K23</f>
        <v>1076</v>
      </c>
    </row>
    <row r="26" spans="1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t="s">
        <v>12</v>
      </c>
      <c r="B27" s="3">
        <f t="shared" ref="B27:J27" si="6">+B25+B21</f>
        <v>8332</v>
      </c>
      <c r="C27" s="3">
        <f t="shared" si="6"/>
        <v>8626</v>
      </c>
      <c r="D27" s="3">
        <f t="shared" si="6"/>
        <v>9174</v>
      </c>
      <c r="E27" s="3">
        <f t="shared" si="6"/>
        <v>9559</v>
      </c>
      <c r="F27" s="3">
        <f t="shared" si="6"/>
        <v>9560</v>
      </c>
      <c r="G27" s="3">
        <f t="shared" si="6"/>
        <v>9811</v>
      </c>
      <c r="H27" s="3">
        <f t="shared" si="6"/>
        <v>10065</v>
      </c>
      <c r="I27" s="3">
        <f t="shared" si="6"/>
        <v>10155</v>
      </c>
      <c r="J27" s="3">
        <f t="shared" si="6"/>
        <v>10342</v>
      </c>
      <c r="K27" s="3">
        <f>+K25+K21</f>
        <v>10539</v>
      </c>
    </row>
    <row r="28" spans="1:11" x14ac:dyDescent="0.25">
      <c r="A28" t="s">
        <v>13</v>
      </c>
      <c r="B28" s="3">
        <f t="shared" ref="B28:J28" si="7">+B17-B27</f>
        <v>443</v>
      </c>
      <c r="C28" s="3">
        <f t="shared" si="7"/>
        <v>7</v>
      </c>
      <c r="D28" s="3">
        <f t="shared" si="7"/>
        <v>-1006</v>
      </c>
      <c r="E28" s="3">
        <f t="shared" si="7"/>
        <v>-1276</v>
      </c>
      <c r="F28" s="3">
        <f t="shared" si="7"/>
        <v>-1679</v>
      </c>
      <c r="G28" s="3">
        <f t="shared" si="7"/>
        <v>-1728</v>
      </c>
      <c r="H28" s="3">
        <f t="shared" si="7"/>
        <v>-2230</v>
      </c>
      <c r="I28" s="3">
        <f t="shared" si="7"/>
        <v>-1991</v>
      </c>
      <c r="J28" s="3">
        <f t="shared" si="7"/>
        <v>-2444</v>
      </c>
      <c r="K28" s="3">
        <f>+K17-K27</f>
        <v>-2380</v>
      </c>
    </row>
    <row r="29" spans="1:11" x14ac:dyDescent="0.25">
      <c r="A29" t="s">
        <v>14</v>
      </c>
      <c r="B29" s="5">
        <f t="shared" ref="B29:K29" si="8">(B$17+(B$11+B$13+B$15)*$J$2-B$24)/B$21-1</f>
        <v>0.17888578646456588</v>
      </c>
      <c r="C29" s="5">
        <f t="shared" si="8"/>
        <v>0.12091352322299209</v>
      </c>
      <c r="D29" s="5">
        <f t="shared" si="8"/>
        <v>-1.3270599589817467E-3</v>
      </c>
      <c r="E29" s="5">
        <f t="shared" si="8"/>
        <v>-2.7965669218278921E-2</v>
      </c>
      <c r="F29" s="5">
        <f t="shared" si="8"/>
        <v>-7.5441741357234249E-2</v>
      </c>
      <c r="G29" s="5">
        <f t="shared" si="8"/>
        <v>-7.6020419739081246E-2</v>
      </c>
      <c r="H29" s="5">
        <f t="shared" si="8"/>
        <v>-0.12673008849557521</v>
      </c>
      <c r="I29" s="5">
        <f t="shared" si="8"/>
        <v>-9.8315789473684134E-2</v>
      </c>
      <c r="J29" s="5">
        <f t="shared" si="8"/>
        <v>-0.14317217616022404</v>
      </c>
      <c r="K29" s="5">
        <f t="shared" si="8"/>
        <v>-0.13152699989432526</v>
      </c>
    </row>
    <row r="30" spans="1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8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t="s">
        <v>1</v>
      </c>
      <c r="B32" s="3">
        <v>2554</v>
      </c>
      <c r="C32" s="3">
        <v>2554</v>
      </c>
      <c r="D32" s="3">
        <v>2554</v>
      </c>
      <c r="E32" s="3">
        <v>2554</v>
      </c>
      <c r="F32" s="3">
        <v>2554</v>
      </c>
      <c r="G32" s="3">
        <v>2554</v>
      </c>
      <c r="H32" s="3">
        <v>2566</v>
      </c>
      <c r="I32" s="3">
        <v>2564</v>
      </c>
      <c r="J32" s="3">
        <v>2572</v>
      </c>
      <c r="K32" s="3">
        <v>2584</v>
      </c>
    </row>
    <row r="33" spans="1:24" x14ac:dyDescent="0.25">
      <c r="A33" t="s">
        <v>2</v>
      </c>
      <c r="B33" s="3">
        <v>1128</v>
      </c>
      <c r="C33" s="3">
        <v>1135</v>
      </c>
      <c r="D33" s="3">
        <v>977</v>
      </c>
      <c r="E33" s="3">
        <v>976</v>
      </c>
      <c r="F33" s="3">
        <v>976</v>
      </c>
      <c r="G33" s="3">
        <v>982</v>
      </c>
      <c r="H33" s="3">
        <v>982</v>
      </c>
      <c r="I33" s="3">
        <v>982</v>
      </c>
      <c r="J33" s="3">
        <v>978</v>
      </c>
      <c r="K33" s="3">
        <v>925</v>
      </c>
    </row>
    <row r="34" spans="1:24" x14ac:dyDescent="0.25">
      <c r="A34" t="s">
        <v>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24" x14ac:dyDescent="0.25">
      <c r="A35" t="s">
        <v>4</v>
      </c>
      <c r="B35" s="3">
        <v>77</v>
      </c>
      <c r="C35" s="3">
        <v>77</v>
      </c>
      <c r="D35" s="3">
        <v>71</v>
      </c>
      <c r="E35" s="3">
        <v>71</v>
      </c>
      <c r="F35" s="3">
        <v>71</v>
      </c>
      <c r="G35" s="3">
        <v>71</v>
      </c>
      <c r="H35" s="3">
        <v>71</v>
      </c>
      <c r="I35" s="3">
        <v>71</v>
      </c>
      <c r="J35" s="3">
        <v>71</v>
      </c>
      <c r="K35" s="3">
        <v>71</v>
      </c>
    </row>
    <row r="36" spans="1:24" x14ac:dyDescent="0.25">
      <c r="A36" t="s">
        <v>5</v>
      </c>
      <c r="B36" s="34">
        <v>1297</v>
      </c>
      <c r="C36" s="34">
        <v>856</v>
      </c>
      <c r="D36" s="3">
        <v>247</v>
      </c>
      <c r="E36" s="3">
        <v>281</v>
      </c>
      <c r="F36" s="3">
        <v>226</v>
      </c>
      <c r="G36" s="3">
        <v>221</v>
      </c>
      <c r="H36" s="3">
        <v>225</v>
      </c>
      <c r="I36" s="3">
        <v>255</v>
      </c>
      <c r="J36" s="3">
        <v>269</v>
      </c>
      <c r="K36" s="3">
        <v>285</v>
      </c>
    </row>
    <row r="37" spans="1:24" x14ac:dyDescent="0.25">
      <c r="A37" t="s">
        <v>6</v>
      </c>
      <c r="B37" s="3">
        <v>144</v>
      </c>
      <c r="C37" s="3">
        <v>138</v>
      </c>
      <c r="D37" s="3">
        <v>135</v>
      </c>
      <c r="E37" s="3">
        <v>135</v>
      </c>
      <c r="F37" s="3">
        <v>135</v>
      </c>
      <c r="G37" s="3">
        <v>135</v>
      </c>
      <c r="H37" s="3">
        <v>135</v>
      </c>
      <c r="I37" s="3">
        <v>135</v>
      </c>
      <c r="J37" s="3">
        <v>135</v>
      </c>
      <c r="K37" s="3">
        <v>135</v>
      </c>
    </row>
    <row r="38" spans="1:24" x14ac:dyDescent="0.25">
      <c r="A38" t="s">
        <v>40</v>
      </c>
      <c r="B38" s="3">
        <v>-1000</v>
      </c>
      <c r="C38" s="3">
        <v>-739</v>
      </c>
      <c r="D38" s="3">
        <v>-219</v>
      </c>
      <c r="E38" s="3">
        <v>-432</v>
      </c>
      <c r="F38" s="3">
        <v>-329</v>
      </c>
      <c r="G38" s="3">
        <v>-523</v>
      </c>
      <c r="H38" s="34">
        <v>-260</v>
      </c>
      <c r="I38" s="3">
        <v>-588</v>
      </c>
      <c r="J38" s="3">
        <v>-323</v>
      </c>
      <c r="K38" s="3">
        <v>-585</v>
      </c>
    </row>
    <row r="39" spans="1:24" x14ac:dyDescent="0.25">
      <c r="A39" t="s">
        <v>15</v>
      </c>
      <c r="B39" s="3">
        <f t="shared" ref="B39:J39" si="9">SUM(B32:B38)</f>
        <v>4200</v>
      </c>
      <c r="C39" s="3">
        <f t="shared" si="9"/>
        <v>4021</v>
      </c>
      <c r="D39" s="3">
        <f t="shared" si="9"/>
        <v>3765</v>
      </c>
      <c r="E39" s="3">
        <f t="shared" si="9"/>
        <v>3585</v>
      </c>
      <c r="F39" s="3">
        <f t="shared" si="9"/>
        <v>3633</v>
      </c>
      <c r="G39" s="3">
        <f t="shared" si="9"/>
        <v>3440</v>
      </c>
      <c r="H39" s="3">
        <f t="shared" si="9"/>
        <v>3719</v>
      </c>
      <c r="I39" s="3">
        <f t="shared" si="9"/>
        <v>3419</v>
      </c>
      <c r="J39" s="3">
        <f t="shared" si="9"/>
        <v>3702</v>
      </c>
      <c r="K39" s="3">
        <f>SUM(K32:K38)</f>
        <v>3415</v>
      </c>
    </row>
    <row r="40" spans="1:24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24" x14ac:dyDescent="0.25">
      <c r="A41" t="s">
        <v>8</v>
      </c>
      <c r="B41" s="3">
        <v>3166</v>
      </c>
      <c r="C41" s="3">
        <v>3236</v>
      </c>
      <c r="D41" s="3">
        <v>3355</v>
      </c>
      <c r="E41" s="3">
        <v>3400</v>
      </c>
      <c r="F41" s="3">
        <v>3459</v>
      </c>
      <c r="G41" s="3">
        <v>3504</v>
      </c>
      <c r="H41" s="3">
        <v>3546</v>
      </c>
      <c r="I41" s="3">
        <v>3588</v>
      </c>
      <c r="J41" s="3">
        <v>3653</v>
      </c>
      <c r="K41" s="3">
        <v>3674</v>
      </c>
    </row>
    <row r="42" spans="1:24" x14ac:dyDescent="0.25">
      <c r="A42" t="s">
        <v>9</v>
      </c>
      <c r="B42" s="34">
        <v>490</v>
      </c>
      <c r="C42" s="3">
        <v>290</v>
      </c>
      <c r="D42" s="3">
        <v>258</v>
      </c>
      <c r="E42" s="3">
        <v>258</v>
      </c>
      <c r="F42" s="3">
        <v>258</v>
      </c>
      <c r="G42" s="3">
        <v>158</v>
      </c>
      <c r="H42" s="3">
        <v>108</v>
      </c>
      <c r="I42" s="3">
        <v>108</v>
      </c>
      <c r="J42" s="3">
        <v>108</v>
      </c>
      <c r="K42" s="3">
        <v>108</v>
      </c>
    </row>
    <row r="43" spans="1:24" x14ac:dyDescent="0.25">
      <c r="A43" t="s">
        <v>16</v>
      </c>
      <c r="B43" s="3">
        <f t="shared" ref="B43:J43" si="10">+B42+B41</f>
        <v>3656</v>
      </c>
      <c r="C43" s="3">
        <f t="shared" si="10"/>
        <v>3526</v>
      </c>
      <c r="D43" s="3">
        <f t="shared" si="10"/>
        <v>3613</v>
      </c>
      <c r="E43" s="3">
        <f t="shared" si="10"/>
        <v>3658</v>
      </c>
      <c r="F43" s="3">
        <f t="shared" si="10"/>
        <v>3717</v>
      </c>
      <c r="G43" s="3">
        <f t="shared" si="10"/>
        <v>3662</v>
      </c>
      <c r="H43" s="3">
        <f t="shared" si="10"/>
        <v>3654</v>
      </c>
      <c r="I43" s="3">
        <f t="shared" si="10"/>
        <v>3696</v>
      </c>
      <c r="J43" s="3">
        <f t="shared" si="10"/>
        <v>3761</v>
      </c>
      <c r="K43" s="3">
        <f>+K42+K41</f>
        <v>3782</v>
      </c>
    </row>
    <row r="44" spans="1:24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O44">
        <f>+B7</f>
        <v>2010</v>
      </c>
      <c r="P44">
        <f t="shared" ref="P44:W44" si="11">+C7</f>
        <v>2011</v>
      </c>
      <c r="Q44">
        <f t="shared" si="11"/>
        <v>2012</v>
      </c>
      <c r="R44">
        <f t="shared" si="11"/>
        <v>2013</v>
      </c>
      <c r="S44">
        <f t="shared" si="11"/>
        <v>2014</v>
      </c>
      <c r="T44">
        <f t="shared" si="11"/>
        <v>2015</v>
      </c>
      <c r="U44">
        <f t="shared" si="11"/>
        <v>2016</v>
      </c>
      <c r="V44">
        <f t="shared" si="11"/>
        <v>2017</v>
      </c>
      <c r="W44">
        <f t="shared" si="11"/>
        <v>2018</v>
      </c>
      <c r="X44">
        <f>+K7</f>
        <v>2019</v>
      </c>
    </row>
    <row r="45" spans="1:24" x14ac:dyDescent="0.25">
      <c r="A45" t="s">
        <v>30</v>
      </c>
      <c r="B45" s="3">
        <v>283</v>
      </c>
      <c r="C45" s="3">
        <v>320</v>
      </c>
      <c r="D45" s="3">
        <v>404</v>
      </c>
      <c r="E45" s="3">
        <v>405</v>
      </c>
      <c r="F45" s="3">
        <v>419</v>
      </c>
      <c r="G45" s="3">
        <v>413</v>
      </c>
      <c r="H45" s="3">
        <v>412</v>
      </c>
      <c r="I45" s="3">
        <v>413</v>
      </c>
      <c r="J45" s="3">
        <v>419</v>
      </c>
      <c r="K45" s="3">
        <v>420</v>
      </c>
      <c r="L45" t="str">
        <f>+A27</f>
        <v>East Obligation + Reserves</v>
      </c>
      <c r="O45" s="6">
        <f>+B27</f>
        <v>8332</v>
      </c>
      <c r="P45" s="6">
        <f t="shared" ref="P45:W45" si="12">+C27</f>
        <v>8626</v>
      </c>
      <c r="Q45" s="6">
        <f t="shared" si="12"/>
        <v>9174</v>
      </c>
      <c r="R45" s="6">
        <f t="shared" si="12"/>
        <v>9559</v>
      </c>
      <c r="S45" s="6">
        <f t="shared" si="12"/>
        <v>9560</v>
      </c>
      <c r="T45" s="6">
        <f t="shared" si="12"/>
        <v>9811</v>
      </c>
      <c r="U45" s="6">
        <f t="shared" si="12"/>
        <v>10065</v>
      </c>
      <c r="V45" s="6">
        <f t="shared" si="12"/>
        <v>10155</v>
      </c>
      <c r="W45" s="6">
        <f t="shared" si="12"/>
        <v>10342</v>
      </c>
      <c r="X45" s="6">
        <f>+K27</f>
        <v>10539</v>
      </c>
    </row>
    <row r="46" spans="1:24" x14ac:dyDescent="0.25">
      <c r="A46" t="s">
        <v>31</v>
      </c>
      <c r="B46" s="3">
        <v>7</v>
      </c>
      <c r="C46" s="3">
        <v>7</v>
      </c>
      <c r="D46" s="3">
        <v>7</v>
      </c>
      <c r="E46" s="3">
        <v>7</v>
      </c>
      <c r="F46" s="3">
        <v>7</v>
      </c>
      <c r="G46" s="3">
        <v>7</v>
      </c>
      <c r="H46" s="3">
        <v>7</v>
      </c>
      <c r="I46" s="3">
        <v>7</v>
      </c>
      <c r="J46" s="3">
        <v>7</v>
      </c>
      <c r="K46" s="3">
        <v>7</v>
      </c>
      <c r="P46" s="33">
        <f>(P45-O45)/O45</f>
        <v>3.5285645703312531E-2</v>
      </c>
      <c r="Q46" s="33">
        <f t="shared" ref="Q46:X46" si="13">(Q45-P45)/P45</f>
        <v>6.352886621840946E-2</v>
      </c>
      <c r="R46" s="33">
        <f t="shared" si="13"/>
        <v>4.1966426858513192E-2</v>
      </c>
      <c r="S46" s="29">
        <f t="shared" si="13"/>
        <v>1.0461345329009311E-4</v>
      </c>
      <c r="T46" s="29">
        <f t="shared" si="13"/>
        <v>2.6255230125523013E-2</v>
      </c>
      <c r="U46" s="29">
        <f t="shared" si="13"/>
        <v>2.5889307919681991E-2</v>
      </c>
      <c r="V46" s="29">
        <f t="shared" si="13"/>
        <v>8.9418777943368107E-3</v>
      </c>
      <c r="W46" s="29">
        <f t="shared" si="13"/>
        <v>1.8414574101427869E-2</v>
      </c>
      <c r="X46" s="29">
        <f t="shared" si="13"/>
        <v>1.9048539934248696E-2</v>
      </c>
    </row>
    <row r="47" spans="1:24" x14ac:dyDescent="0.25">
      <c r="A47" t="s">
        <v>17</v>
      </c>
      <c r="B47" s="3">
        <f t="shared" ref="B47:J47" si="14">+B46+B45</f>
        <v>290</v>
      </c>
      <c r="C47" s="3">
        <f t="shared" si="14"/>
        <v>327</v>
      </c>
      <c r="D47" s="3">
        <f t="shared" si="14"/>
        <v>411</v>
      </c>
      <c r="E47" s="3">
        <f t="shared" si="14"/>
        <v>412</v>
      </c>
      <c r="F47" s="3">
        <f t="shared" si="14"/>
        <v>426</v>
      </c>
      <c r="G47" s="3">
        <f t="shared" si="14"/>
        <v>420</v>
      </c>
      <c r="H47" s="3">
        <f t="shared" si="14"/>
        <v>419</v>
      </c>
      <c r="I47" s="3">
        <f t="shared" si="14"/>
        <v>420</v>
      </c>
      <c r="J47" s="3">
        <f t="shared" si="14"/>
        <v>426</v>
      </c>
      <c r="K47" s="3">
        <f>+K46+K45</f>
        <v>427</v>
      </c>
    </row>
    <row r="48" spans="1:24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t="str">
        <f>+A49</f>
        <v>West Obligation + Reserves</v>
      </c>
      <c r="O48" s="6">
        <f>+B49</f>
        <v>3946</v>
      </c>
      <c r="P48" s="6">
        <f t="shared" ref="P48:W48" si="15">+C49</f>
        <v>3853</v>
      </c>
      <c r="Q48" s="6">
        <f t="shared" si="15"/>
        <v>4024</v>
      </c>
      <c r="R48" s="6">
        <f t="shared" si="15"/>
        <v>4070</v>
      </c>
      <c r="S48" s="6">
        <f t="shared" si="15"/>
        <v>4143</v>
      </c>
      <c r="T48" s="6">
        <f t="shared" si="15"/>
        <v>4082</v>
      </c>
      <c r="U48" s="6">
        <f t="shared" si="15"/>
        <v>4073</v>
      </c>
      <c r="V48" s="6">
        <f t="shared" si="15"/>
        <v>4116</v>
      </c>
      <c r="W48" s="6">
        <f t="shared" si="15"/>
        <v>4187</v>
      </c>
      <c r="X48" s="6">
        <f>+K49</f>
        <v>4209</v>
      </c>
    </row>
    <row r="49" spans="1:26" x14ac:dyDescent="0.25">
      <c r="A49" t="s">
        <v>18</v>
      </c>
      <c r="B49" s="3">
        <f t="shared" ref="B49:J49" si="16">+B47+B43</f>
        <v>3946</v>
      </c>
      <c r="C49" s="3">
        <f t="shared" si="16"/>
        <v>3853</v>
      </c>
      <c r="D49" s="3">
        <f t="shared" si="16"/>
        <v>4024</v>
      </c>
      <c r="E49" s="3">
        <f t="shared" si="16"/>
        <v>4070</v>
      </c>
      <c r="F49" s="3">
        <f t="shared" si="16"/>
        <v>4143</v>
      </c>
      <c r="G49" s="3">
        <f t="shared" si="16"/>
        <v>4082</v>
      </c>
      <c r="H49" s="3">
        <f t="shared" si="16"/>
        <v>4073</v>
      </c>
      <c r="I49" s="3">
        <f t="shared" si="16"/>
        <v>4116</v>
      </c>
      <c r="J49" s="3">
        <f t="shared" si="16"/>
        <v>4187</v>
      </c>
      <c r="K49" s="3">
        <f>+K47+K43</f>
        <v>4209</v>
      </c>
      <c r="P49" s="29">
        <f>(P48-O48)/O48</f>
        <v>-2.3568170299036999E-2</v>
      </c>
      <c r="Q49" s="33">
        <f t="shared" ref="Q49:X49" si="17">(Q48-P48)/P48</f>
        <v>4.4381001816766158E-2</v>
      </c>
      <c r="R49" s="29">
        <f t="shared" si="17"/>
        <v>1.143141153081511E-2</v>
      </c>
      <c r="S49" s="29">
        <f t="shared" si="17"/>
        <v>1.7936117936117935E-2</v>
      </c>
      <c r="T49" s="29">
        <f t="shared" si="17"/>
        <v>-1.4723630219647598E-2</v>
      </c>
      <c r="U49" s="29">
        <f t="shared" si="17"/>
        <v>-2.2048015678588929E-3</v>
      </c>
      <c r="V49" s="29">
        <f t="shared" si="17"/>
        <v>1.0557328750306899E-2</v>
      </c>
      <c r="W49" s="29">
        <f t="shared" si="17"/>
        <v>1.7249757045675412E-2</v>
      </c>
      <c r="X49" s="29">
        <f t="shared" si="17"/>
        <v>5.2543587294005259E-3</v>
      </c>
    </row>
    <row r="50" spans="1:26" x14ac:dyDescent="0.25">
      <c r="A50" t="s">
        <v>19</v>
      </c>
      <c r="B50" s="3">
        <f t="shared" ref="B50:J50" si="18">+B39-B49</f>
        <v>254</v>
      </c>
      <c r="C50" s="3">
        <f t="shared" si="18"/>
        <v>168</v>
      </c>
      <c r="D50" s="3">
        <f t="shared" si="18"/>
        <v>-259</v>
      </c>
      <c r="E50" s="3">
        <f t="shared" si="18"/>
        <v>-485</v>
      </c>
      <c r="F50" s="3">
        <f t="shared" si="18"/>
        <v>-510</v>
      </c>
      <c r="G50" s="3">
        <f t="shared" si="18"/>
        <v>-642</v>
      </c>
      <c r="H50" s="3">
        <f t="shared" si="18"/>
        <v>-354</v>
      </c>
      <c r="I50" s="3">
        <f t="shared" si="18"/>
        <v>-697</v>
      </c>
      <c r="J50" s="3">
        <f t="shared" si="18"/>
        <v>-485</v>
      </c>
      <c r="K50" s="3">
        <f>+K39-K49</f>
        <v>-794</v>
      </c>
    </row>
    <row r="51" spans="1:26" x14ac:dyDescent="0.25">
      <c r="A51" t="s">
        <v>20</v>
      </c>
      <c r="B51" s="5">
        <f t="shared" ref="B51:K51" si="19">(B$39+(B$34+B$36)*$J$2-B$46)/B$43-1</f>
        <v>0.18945295404814022</v>
      </c>
      <c r="C51" s="5">
        <f t="shared" si="19"/>
        <v>0.16753261486103233</v>
      </c>
      <c r="D51" s="5">
        <f t="shared" si="19"/>
        <v>4.8336562413506812E-2</v>
      </c>
      <c r="E51" s="5">
        <f t="shared" si="19"/>
        <v>-1.2651722252597142E-2</v>
      </c>
      <c r="F51" s="5">
        <f t="shared" si="19"/>
        <v>-1.7185902609631487E-2</v>
      </c>
      <c r="G51" s="5">
        <f t="shared" si="19"/>
        <v>-5.5292190060076463E-2</v>
      </c>
      <c r="H51" s="35">
        <f t="shared" si="19"/>
        <v>2.3262178434592329E-2</v>
      </c>
      <c r="I51" s="5">
        <f t="shared" si="19"/>
        <v>-6.85606060606061E-2</v>
      </c>
      <c r="J51" s="5">
        <f t="shared" si="19"/>
        <v>-8.9657006115394511E-3</v>
      </c>
      <c r="K51" s="5">
        <f t="shared" si="19"/>
        <v>-8.9846641988366005E-2</v>
      </c>
      <c r="L51" t="str">
        <f>+A58</f>
        <v>Obligation + Reserves</v>
      </c>
      <c r="O51" s="6">
        <f>+B58</f>
        <v>12278</v>
      </c>
      <c r="P51" s="6">
        <f t="shared" ref="P51:W51" si="20">+C58</f>
        <v>12479</v>
      </c>
      <c r="Q51" s="6">
        <f t="shared" si="20"/>
        <v>13198</v>
      </c>
      <c r="R51" s="6">
        <f t="shared" si="20"/>
        <v>13629</v>
      </c>
      <c r="S51" s="6">
        <f t="shared" si="20"/>
        <v>13703</v>
      </c>
      <c r="T51" s="6">
        <f t="shared" si="20"/>
        <v>13893</v>
      </c>
      <c r="U51" s="6">
        <f t="shared" si="20"/>
        <v>14138</v>
      </c>
      <c r="V51" s="6">
        <f t="shared" si="20"/>
        <v>14271</v>
      </c>
      <c r="W51" s="6">
        <f t="shared" si="20"/>
        <v>14529</v>
      </c>
      <c r="X51" s="6">
        <f>+K58</f>
        <v>14748</v>
      </c>
    </row>
    <row r="52" spans="1:26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P52" s="29">
        <f>(P51-O51)/O51</f>
        <v>1.6370744420915458E-2</v>
      </c>
      <c r="Q52" s="33">
        <f t="shared" ref="Q52:X52" si="21">(Q51-P51)/P51</f>
        <v>5.7616796217645642E-2</v>
      </c>
      <c r="R52" s="33">
        <f t="shared" si="21"/>
        <v>3.2656463100469768E-2</v>
      </c>
      <c r="S52" s="29">
        <f t="shared" si="21"/>
        <v>5.4295986499376331E-3</v>
      </c>
      <c r="T52" s="29">
        <f t="shared" si="21"/>
        <v>1.3865576880974969E-2</v>
      </c>
      <c r="U52" s="29">
        <f t="shared" si="21"/>
        <v>1.7634780105088895E-2</v>
      </c>
      <c r="V52" s="29">
        <f t="shared" si="21"/>
        <v>9.4072711840430048E-3</v>
      </c>
      <c r="W52" s="29">
        <f t="shared" si="21"/>
        <v>1.8078620979608998E-2</v>
      </c>
      <c r="X52" s="29">
        <f t="shared" si="21"/>
        <v>1.5073301672517034E-2</v>
      </c>
      <c r="Z52" s="31">
        <f>AVERAGE(P52:X52)</f>
        <v>2.0681461467911263E-2</v>
      </c>
    </row>
    <row r="53" spans="1:26" x14ac:dyDescent="0.25">
      <c r="A53" s="8" t="s">
        <v>34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26" x14ac:dyDescent="0.25">
      <c r="A54" t="s">
        <v>21</v>
      </c>
      <c r="B54" s="3">
        <f t="shared" ref="B54:J54" si="22">+B17+B39</f>
        <v>12975</v>
      </c>
      <c r="C54" s="3">
        <f t="shared" si="22"/>
        <v>12654</v>
      </c>
      <c r="D54" s="3">
        <f t="shared" si="22"/>
        <v>11933</v>
      </c>
      <c r="E54" s="3">
        <f t="shared" si="22"/>
        <v>11868</v>
      </c>
      <c r="F54" s="3">
        <f t="shared" si="22"/>
        <v>11514</v>
      </c>
      <c r="G54" s="3">
        <f t="shared" si="22"/>
        <v>11523</v>
      </c>
      <c r="H54" s="3">
        <f t="shared" si="22"/>
        <v>11554</v>
      </c>
      <c r="I54" s="3">
        <f t="shared" si="22"/>
        <v>11583</v>
      </c>
      <c r="J54" s="3">
        <f t="shared" si="22"/>
        <v>11600</v>
      </c>
      <c r="K54" s="3">
        <f>+K17+K39</f>
        <v>11574</v>
      </c>
    </row>
    <row r="55" spans="1:26" x14ac:dyDescent="0.25">
      <c r="A55" t="s">
        <v>35</v>
      </c>
      <c r="B55" s="3">
        <v>2</v>
      </c>
      <c r="C55" s="3">
        <v>0</v>
      </c>
      <c r="D55" s="3">
        <v>2</v>
      </c>
      <c r="E55" s="3">
        <v>1</v>
      </c>
      <c r="F55" s="3">
        <v>-1</v>
      </c>
      <c r="G55" s="3">
        <v>0</v>
      </c>
      <c r="H55" s="3">
        <v>0</v>
      </c>
      <c r="I55" s="3">
        <v>-1</v>
      </c>
      <c r="J55" s="3">
        <v>1</v>
      </c>
      <c r="K55" s="3">
        <v>1</v>
      </c>
    </row>
    <row r="56" spans="1:26" x14ac:dyDescent="0.25">
      <c r="A56" t="s">
        <v>36</v>
      </c>
      <c r="B56" s="3">
        <f t="shared" ref="B56:J56" si="23">+B43+B21</f>
        <v>11177</v>
      </c>
      <c r="C56" s="3">
        <f t="shared" si="23"/>
        <v>11320</v>
      </c>
      <c r="D56" s="3">
        <f t="shared" si="23"/>
        <v>11902</v>
      </c>
      <c r="E56" s="3">
        <f t="shared" si="23"/>
        <v>12280</v>
      </c>
      <c r="F56" s="3">
        <f t="shared" si="23"/>
        <v>12308</v>
      </c>
      <c r="G56" s="3">
        <f t="shared" si="23"/>
        <v>12477</v>
      </c>
      <c r="H56" s="3">
        <f t="shared" si="23"/>
        <v>12694</v>
      </c>
      <c r="I56" s="3">
        <f t="shared" si="23"/>
        <v>12816</v>
      </c>
      <c r="J56" s="3">
        <f t="shared" si="23"/>
        <v>13048</v>
      </c>
      <c r="K56" s="3">
        <f>+K43+K21</f>
        <v>13245</v>
      </c>
      <c r="L56" t="s">
        <v>73</v>
      </c>
      <c r="O56" s="6">
        <f>+O51</f>
        <v>12278</v>
      </c>
      <c r="P56" s="17">
        <f>+O56*(1+P57)</f>
        <v>12462.169999999998</v>
      </c>
      <c r="Q56" s="17">
        <f>+P56*(1+Q57)</f>
        <v>12649.102549999998</v>
      </c>
      <c r="R56" s="17">
        <f t="shared" ref="R56:X56" si="24">+Q56*(1+R57)</f>
        <v>12838.839088249997</v>
      </c>
      <c r="S56" s="17">
        <f t="shared" si="24"/>
        <v>13031.421674573745</v>
      </c>
      <c r="T56" s="17">
        <f t="shared" si="24"/>
        <v>13226.892999692349</v>
      </c>
      <c r="U56" s="17">
        <f t="shared" si="24"/>
        <v>13425.296394687733</v>
      </c>
      <c r="V56" s="17">
        <f t="shared" si="24"/>
        <v>13626.675840608048</v>
      </c>
      <c r="W56" s="17">
        <f t="shared" si="24"/>
        <v>13831.075978217168</v>
      </c>
      <c r="X56" s="17">
        <f t="shared" si="24"/>
        <v>14038.542117890423</v>
      </c>
    </row>
    <row r="57" spans="1:26" x14ac:dyDescent="0.25">
      <c r="A57" t="s">
        <v>22</v>
      </c>
      <c r="B57" s="3">
        <f t="shared" ref="B57:J57" si="25">+B25+B47</f>
        <v>1101</v>
      </c>
      <c r="C57" s="3">
        <f t="shared" si="25"/>
        <v>1159</v>
      </c>
      <c r="D57" s="3">
        <f t="shared" si="25"/>
        <v>1296</v>
      </c>
      <c r="E57" s="3">
        <f t="shared" si="25"/>
        <v>1349</v>
      </c>
      <c r="F57" s="3">
        <f t="shared" si="25"/>
        <v>1395</v>
      </c>
      <c r="G57" s="3">
        <f t="shared" si="25"/>
        <v>1416</v>
      </c>
      <c r="H57" s="3">
        <f t="shared" si="25"/>
        <v>1444</v>
      </c>
      <c r="I57" s="3">
        <f t="shared" si="25"/>
        <v>1455</v>
      </c>
      <c r="J57" s="3">
        <f t="shared" si="25"/>
        <v>1481</v>
      </c>
      <c r="K57" s="3">
        <f>+K25+K47</f>
        <v>1503</v>
      </c>
      <c r="P57" s="29">
        <v>1.4999999999999999E-2</v>
      </c>
      <c r="Q57" s="29">
        <f>+P57</f>
        <v>1.4999999999999999E-2</v>
      </c>
      <c r="R57" s="29">
        <f t="shared" ref="R57:X57" si="26">+Q57</f>
        <v>1.4999999999999999E-2</v>
      </c>
      <c r="S57" s="29">
        <f t="shared" si="26"/>
        <v>1.4999999999999999E-2</v>
      </c>
      <c r="T57" s="29">
        <f t="shared" si="26"/>
        <v>1.4999999999999999E-2</v>
      </c>
      <c r="U57" s="29">
        <f t="shared" si="26"/>
        <v>1.4999999999999999E-2</v>
      </c>
      <c r="V57" s="29">
        <f t="shared" si="26"/>
        <v>1.4999999999999999E-2</v>
      </c>
      <c r="W57" s="29">
        <f t="shared" si="26"/>
        <v>1.4999999999999999E-2</v>
      </c>
      <c r="X57" s="29">
        <f t="shared" si="26"/>
        <v>1.4999999999999999E-2</v>
      </c>
    </row>
    <row r="58" spans="1:26" x14ac:dyDescent="0.25">
      <c r="A58" t="s">
        <v>37</v>
      </c>
      <c r="B58" s="3">
        <f t="shared" ref="B58:J58" si="27">+B57+B56</f>
        <v>12278</v>
      </c>
      <c r="C58" s="3">
        <f t="shared" si="27"/>
        <v>12479</v>
      </c>
      <c r="D58" s="3">
        <f t="shared" si="27"/>
        <v>13198</v>
      </c>
      <c r="E58" s="3">
        <f t="shared" si="27"/>
        <v>13629</v>
      </c>
      <c r="F58" s="3">
        <f t="shared" si="27"/>
        <v>13703</v>
      </c>
      <c r="G58" s="3">
        <f t="shared" si="27"/>
        <v>13893</v>
      </c>
      <c r="H58" s="3">
        <f t="shared" si="27"/>
        <v>14138</v>
      </c>
      <c r="I58" s="3">
        <f t="shared" si="27"/>
        <v>14271</v>
      </c>
      <c r="J58" s="3">
        <f t="shared" si="27"/>
        <v>14529</v>
      </c>
      <c r="K58" s="3">
        <f>+K57+K56</f>
        <v>14748</v>
      </c>
    </row>
    <row r="59" spans="1:26" x14ac:dyDescent="0.25">
      <c r="A59" t="s">
        <v>38</v>
      </c>
      <c r="B59" s="3">
        <f t="shared" ref="B59:J59" si="28">+B54+B55-B58</f>
        <v>699</v>
      </c>
      <c r="C59" s="3">
        <f t="shared" si="28"/>
        <v>175</v>
      </c>
      <c r="D59" s="3">
        <f t="shared" si="28"/>
        <v>-1263</v>
      </c>
      <c r="E59" s="3">
        <f t="shared" si="28"/>
        <v>-1760</v>
      </c>
      <c r="F59" s="3">
        <f t="shared" si="28"/>
        <v>-2190</v>
      </c>
      <c r="G59" s="3">
        <f t="shared" si="28"/>
        <v>-2370</v>
      </c>
      <c r="H59" s="3">
        <f t="shared" si="28"/>
        <v>-2584</v>
      </c>
      <c r="I59" s="3">
        <f t="shared" si="28"/>
        <v>-2689</v>
      </c>
      <c r="J59" s="3">
        <f t="shared" si="28"/>
        <v>-2928</v>
      </c>
      <c r="K59" s="3">
        <f>+K54+K55-K58</f>
        <v>-3173</v>
      </c>
    </row>
    <row r="60" spans="1:26" x14ac:dyDescent="0.25">
      <c r="A60" t="s">
        <v>23</v>
      </c>
      <c r="B60" s="5">
        <f t="shared" ref="B60:K60" si="29">(B$54+(B$11+B$13+B$15+B$34+B$36)*$J$2-B$24-B$46)/B$56-1</f>
        <v>0.18234231010110058</v>
      </c>
      <c r="C60" s="5">
        <f t="shared" si="29"/>
        <v>0.13543462897526504</v>
      </c>
      <c r="D60" s="5">
        <f t="shared" si="29"/>
        <v>1.3748949756343443E-2</v>
      </c>
      <c r="E60" s="5">
        <f t="shared" si="29"/>
        <v>-2.3403908794788264E-2</v>
      </c>
      <c r="F60" s="5">
        <f t="shared" si="29"/>
        <v>-5.7848553786155388E-2</v>
      </c>
      <c r="G60" s="5">
        <f t="shared" si="29"/>
        <v>-6.993668349763571E-2</v>
      </c>
      <c r="H60" s="5">
        <f t="shared" si="29"/>
        <v>-8.3554435166220187E-2</v>
      </c>
      <c r="I60" s="5">
        <f t="shared" si="29"/>
        <v>-8.973470661672911E-2</v>
      </c>
      <c r="J60" s="5">
        <f t="shared" si="29"/>
        <v>-0.10448804414469659</v>
      </c>
      <c r="K60" s="5">
        <f t="shared" si="29"/>
        <v>-0.1196255190637977</v>
      </c>
      <c r="Q60" s="31"/>
      <c r="R60" s="31"/>
      <c r="S60" s="31"/>
      <c r="T60" s="31"/>
    </row>
    <row r="61" spans="1:26" x14ac:dyDescent="0.25">
      <c r="B61" s="3"/>
      <c r="C61" s="3"/>
      <c r="D61" s="3"/>
      <c r="E61" s="3"/>
      <c r="F61" s="3"/>
      <c r="G61" s="3"/>
      <c r="H61" s="3"/>
      <c r="I61" s="3"/>
    </row>
    <row r="62" spans="1:26" x14ac:dyDescent="0.25">
      <c r="A62" t="s">
        <v>68</v>
      </c>
      <c r="C62" s="32">
        <f>+C82</f>
        <v>-2.4739884393063585E-2</v>
      </c>
      <c r="D62" s="32">
        <f t="shared" ref="D62:K62" si="30">+D82</f>
        <v>-5.6978030662241191E-2</v>
      </c>
      <c r="E62" s="31">
        <f t="shared" si="30"/>
        <v>-5.4470795273610997E-3</v>
      </c>
      <c r="F62" s="32">
        <f t="shared" si="30"/>
        <v>-2.9828109201213347E-2</v>
      </c>
      <c r="G62" s="31">
        <f t="shared" si="30"/>
        <v>7.8165711307972901E-4</v>
      </c>
      <c r="H62" s="31">
        <f t="shared" si="30"/>
        <v>2.6902716306517402E-3</v>
      </c>
      <c r="I62" s="31">
        <f t="shared" si="30"/>
        <v>2.5099532629392417E-3</v>
      </c>
      <c r="J62" s="31">
        <f t="shared" si="30"/>
        <v>1.467668134334801E-3</v>
      </c>
      <c r="K62" s="31">
        <f t="shared" si="30"/>
        <v>-2.2413793103448275E-3</v>
      </c>
    </row>
    <row r="63" spans="1:26" x14ac:dyDescent="0.25">
      <c r="B63" s="18"/>
      <c r="C63" s="18"/>
      <c r="D63" s="18"/>
      <c r="E63" s="18"/>
    </row>
    <row r="64" spans="1:26" x14ac:dyDescent="0.25">
      <c r="A64" t="s">
        <v>69</v>
      </c>
      <c r="C64" s="31">
        <f>+C86</f>
        <v>1.6370744420915458E-2</v>
      </c>
      <c r="D64" s="32">
        <f t="shared" ref="D64:K64" si="31">+D86</f>
        <v>5.7616796217645642E-2</v>
      </c>
      <c r="E64" s="32">
        <f t="shared" si="31"/>
        <v>3.2656463100469768E-2</v>
      </c>
      <c r="F64" s="31">
        <f t="shared" si="31"/>
        <v>5.4295986499376331E-3</v>
      </c>
      <c r="G64" s="31">
        <f t="shared" si="31"/>
        <v>1.3865576880974969E-2</v>
      </c>
      <c r="H64" s="31">
        <f t="shared" si="31"/>
        <v>1.7634780105088895E-2</v>
      </c>
      <c r="I64" s="31">
        <f t="shared" si="31"/>
        <v>9.4072711840430048E-3</v>
      </c>
      <c r="J64" s="31">
        <f t="shared" si="31"/>
        <v>1.8078620979608998E-2</v>
      </c>
      <c r="K64" s="31">
        <f t="shared" si="31"/>
        <v>1.5073301672517034E-2</v>
      </c>
    </row>
    <row r="69" spans="1:11" x14ac:dyDescent="0.25">
      <c r="A69" t="str">
        <f>+A17</f>
        <v>East Existing Resources</v>
      </c>
      <c r="B69" s="17">
        <f t="shared" ref="B69:K69" si="32">+B17</f>
        <v>8775</v>
      </c>
      <c r="C69" s="17">
        <f t="shared" si="32"/>
        <v>8633</v>
      </c>
      <c r="D69" s="17">
        <f t="shared" si="32"/>
        <v>8168</v>
      </c>
      <c r="E69" s="17">
        <f t="shared" si="32"/>
        <v>8283</v>
      </c>
      <c r="F69" s="17">
        <f t="shared" si="32"/>
        <v>7881</v>
      </c>
      <c r="G69" s="17">
        <f t="shared" si="32"/>
        <v>8083</v>
      </c>
      <c r="H69" s="17">
        <f t="shared" si="32"/>
        <v>7835</v>
      </c>
      <c r="I69" s="17">
        <f t="shared" si="32"/>
        <v>8164</v>
      </c>
      <c r="J69" s="17">
        <f t="shared" si="32"/>
        <v>7898</v>
      </c>
      <c r="K69" s="17">
        <f t="shared" si="32"/>
        <v>8159</v>
      </c>
    </row>
    <row r="70" spans="1:11" x14ac:dyDescent="0.25">
      <c r="B70" s="17"/>
      <c r="C70" s="29">
        <f>(C69-B69)/B69</f>
        <v>-1.6182336182336183E-2</v>
      </c>
      <c r="D70" s="29">
        <f t="shared" ref="D70:K70" si="33">(D69-C69)/C69</f>
        <v>-5.3863083516738096E-2</v>
      </c>
      <c r="E70" s="29">
        <f t="shared" si="33"/>
        <v>1.4079333986287954E-2</v>
      </c>
      <c r="F70" s="29">
        <f t="shared" si="33"/>
        <v>-4.8533140166606301E-2</v>
      </c>
      <c r="G70" s="29">
        <f t="shared" si="33"/>
        <v>2.5631265067884785E-2</v>
      </c>
      <c r="H70" s="29">
        <f t="shared" si="33"/>
        <v>-3.068167759495237E-2</v>
      </c>
      <c r="I70" s="29">
        <f t="shared" si="33"/>
        <v>4.1991065730695595E-2</v>
      </c>
      <c r="J70" s="29">
        <f t="shared" si="33"/>
        <v>-3.2582067613914745E-2</v>
      </c>
      <c r="K70" s="29">
        <f t="shared" si="33"/>
        <v>3.3046340845783742E-2</v>
      </c>
    </row>
    <row r="71" spans="1:1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t="str">
        <f>+A27</f>
        <v>East Obligation + Reserves</v>
      </c>
      <c r="B72" s="17">
        <f t="shared" ref="B72:K72" si="34">+B27</f>
        <v>8332</v>
      </c>
      <c r="C72" s="17">
        <f t="shared" si="34"/>
        <v>8626</v>
      </c>
      <c r="D72" s="17">
        <f t="shared" si="34"/>
        <v>9174</v>
      </c>
      <c r="E72" s="17">
        <f t="shared" si="34"/>
        <v>9559</v>
      </c>
      <c r="F72" s="17">
        <f t="shared" si="34"/>
        <v>9560</v>
      </c>
      <c r="G72" s="17">
        <f t="shared" si="34"/>
        <v>9811</v>
      </c>
      <c r="H72" s="17">
        <f t="shared" si="34"/>
        <v>10065</v>
      </c>
      <c r="I72" s="17">
        <f t="shared" si="34"/>
        <v>10155</v>
      </c>
      <c r="J72" s="17">
        <f t="shared" si="34"/>
        <v>10342</v>
      </c>
      <c r="K72" s="17">
        <f t="shared" si="34"/>
        <v>10539</v>
      </c>
    </row>
    <row r="73" spans="1:11" x14ac:dyDescent="0.25">
      <c r="B73" s="17"/>
      <c r="C73" s="29">
        <f t="shared" ref="C73:K73" si="35">(C72-B72)/B72</f>
        <v>3.5285645703312531E-2</v>
      </c>
      <c r="D73" s="29">
        <f t="shared" si="35"/>
        <v>6.352886621840946E-2</v>
      </c>
      <c r="E73" s="29">
        <f t="shared" si="35"/>
        <v>4.1966426858513192E-2</v>
      </c>
      <c r="F73" s="29">
        <f t="shared" si="35"/>
        <v>1.0461345329009311E-4</v>
      </c>
      <c r="G73" s="29">
        <f t="shared" si="35"/>
        <v>2.6255230125523013E-2</v>
      </c>
      <c r="H73" s="29">
        <f t="shared" si="35"/>
        <v>2.5889307919681991E-2</v>
      </c>
      <c r="I73" s="29">
        <f t="shared" si="35"/>
        <v>8.9418777943368107E-3</v>
      </c>
      <c r="J73" s="29">
        <f t="shared" si="35"/>
        <v>1.8414574101427869E-2</v>
      </c>
      <c r="K73" s="29">
        <f t="shared" si="35"/>
        <v>1.9048539934248696E-2</v>
      </c>
    </row>
    <row r="74" spans="1:11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5">
      <c r="A75" t="str">
        <f>+A39</f>
        <v>West Existing Resources</v>
      </c>
      <c r="B75" s="17">
        <f t="shared" ref="B75:K75" si="36">+B39</f>
        <v>4200</v>
      </c>
      <c r="C75" s="17">
        <f t="shared" si="36"/>
        <v>4021</v>
      </c>
      <c r="D75" s="17">
        <f t="shared" si="36"/>
        <v>3765</v>
      </c>
      <c r="E75" s="17">
        <f t="shared" si="36"/>
        <v>3585</v>
      </c>
      <c r="F75" s="17">
        <f t="shared" si="36"/>
        <v>3633</v>
      </c>
      <c r="G75" s="17">
        <f t="shared" si="36"/>
        <v>3440</v>
      </c>
      <c r="H75" s="17">
        <f t="shared" si="36"/>
        <v>3719</v>
      </c>
      <c r="I75" s="17">
        <f t="shared" si="36"/>
        <v>3419</v>
      </c>
      <c r="J75" s="17">
        <f t="shared" si="36"/>
        <v>3702</v>
      </c>
      <c r="K75" s="17">
        <f t="shared" si="36"/>
        <v>3415</v>
      </c>
    </row>
    <row r="76" spans="1:11" x14ac:dyDescent="0.25">
      <c r="B76" s="17"/>
      <c r="C76" s="29">
        <f t="shared" ref="C76:K76" si="37">(C75-B75)/B75</f>
        <v>-4.2619047619047619E-2</v>
      </c>
      <c r="D76" s="29">
        <f t="shared" si="37"/>
        <v>-6.366575478736633E-2</v>
      </c>
      <c r="E76" s="29">
        <f t="shared" si="37"/>
        <v>-4.7808764940239043E-2</v>
      </c>
      <c r="F76" s="29">
        <f t="shared" si="37"/>
        <v>1.3389121338912133E-2</v>
      </c>
      <c r="G76" s="29">
        <f t="shared" si="37"/>
        <v>-5.3124139829342144E-2</v>
      </c>
      <c r="H76" s="29">
        <f t="shared" si="37"/>
        <v>8.1104651162790697E-2</v>
      </c>
      <c r="I76" s="29">
        <f t="shared" si="37"/>
        <v>-8.0666845926324282E-2</v>
      </c>
      <c r="J76" s="29">
        <f t="shared" si="37"/>
        <v>8.2772740567417374E-2</v>
      </c>
      <c r="K76" s="29">
        <f t="shared" si="37"/>
        <v>-7.7525661804430032E-2</v>
      </c>
    </row>
    <row r="77" spans="1:1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t="str">
        <f>+A49</f>
        <v>West Obligation + Reserves</v>
      </c>
      <c r="B78" s="17">
        <f t="shared" ref="B78:K78" si="38">+B49</f>
        <v>3946</v>
      </c>
      <c r="C78" s="17">
        <f t="shared" si="38"/>
        <v>3853</v>
      </c>
      <c r="D78" s="17">
        <f t="shared" si="38"/>
        <v>4024</v>
      </c>
      <c r="E78" s="17">
        <f t="shared" si="38"/>
        <v>4070</v>
      </c>
      <c r="F78" s="17">
        <f t="shared" si="38"/>
        <v>4143</v>
      </c>
      <c r="G78" s="17">
        <f t="shared" si="38"/>
        <v>4082</v>
      </c>
      <c r="H78" s="17">
        <f t="shared" si="38"/>
        <v>4073</v>
      </c>
      <c r="I78" s="17">
        <f t="shared" si="38"/>
        <v>4116</v>
      </c>
      <c r="J78" s="17">
        <f t="shared" si="38"/>
        <v>4187</v>
      </c>
      <c r="K78" s="17">
        <f t="shared" si="38"/>
        <v>4209</v>
      </c>
    </row>
    <row r="79" spans="1:11" x14ac:dyDescent="0.25">
      <c r="B79" s="17"/>
      <c r="C79" s="29">
        <f t="shared" ref="C79:K79" si="39">(C78-B78)/B78</f>
        <v>-2.3568170299036999E-2</v>
      </c>
      <c r="D79" s="29">
        <f t="shared" si="39"/>
        <v>4.4381001816766158E-2</v>
      </c>
      <c r="E79" s="29">
        <f t="shared" si="39"/>
        <v>1.143141153081511E-2</v>
      </c>
      <c r="F79" s="29">
        <f t="shared" si="39"/>
        <v>1.7936117936117935E-2</v>
      </c>
      <c r="G79" s="29">
        <f t="shared" si="39"/>
        <v>-1.4723630219647598E-2</v>
      </c>
      <c r="H79" s="29">
        <f t="shared" si="39"/>
        <v>-2.2048015678588929E-3</v>
      </c>
      <c r="I79" s="29">
        <f t="shared" si="39"/>
        <v>1.0557328750306899E-2</v>
      </c>
      <c r="J79" s="29">
        <f t="shared" si="39"/>
        <v>1.7249757045675412E-2</v>
      </c>
      <c r="K79" s="29">
        <f t="shared" si="39"/>
        <v>5.2543587294005259E-3</v>
      </c>
    </row>
    <row r="80" spans="1:1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3" x14ac:dyDescent="0.25">
      <c r="A81" t="str">
        <f>+A54</f>
        <v>Total Resources</v>
      </c>
      <c r="B81" s="17">
        <f t="shared" ref="B81:K81" si="40">+B54</f>
        <v>12975</v>
      </c>
      <c r="C81" s="17">
        <f t="shared" si="40"/>
        <v>12654</v>
      </c>
      <c r="D81" s="17">
        <f t="shared" si="40"/>
        <v>11933</v>
      </c>
      <c r="E81" s="17">
        <f t="shared" si="40"/>
        <v>11868</v>
      </c>
      <c r="F81" s="17">
        <f t="shared" si="40"/>
        <v>11514</v>
      </c>
      <c r="G81" s="17">
        <f t="shared" si="40"/>
        <v>11523</v>
      </c>
      <c r="H81" s="17">
        <f t="shared" si="40"/>
        <v>11554</v>
      </c>
      <c r="I81" s="17">
        <f t="shared" si="40"/>
        <v>11583</v>
      </c>
      <c r="J81" s="17">
        <f t="shared" si="40"/>
        <v>11600</v>
      </c>
      <c r="K81" s="17">
        <f t="shared" si="40"/>
        <v>11574</v>
      </c>
    </row>
    <row r="82" spans="1:13" x14ac:dyDescent="0.25">
      <c r="B82" s="17"/>
      <c r="C82" s="29">
        <f t="shared" ref="C82:K82" si="41">(C81-B81)/B81</f>
        <v>-2.4739884393063585E-2</v>
      </c>
      <c r="D82" s="29">
        <f t="shared" si="41"/>
        <v>-5.6978030662241191E-2</v>
      </c>
      <c r="E82" s="29">
        <f t="shared" si="41"/>
        <v>-5.4470795273610997E-3</v>
      </c>
      <c r="F82" s="29">
        <f t="shared" si="41"/>
        <v>-2.9828109201213347E-2</v>
      </c>
      <c r="G82" s="29">
        <f t="shared" si="41"/>
        <v>7.8165711307972901E-4</v>
      </c>
      <c r="H82" s="29">
        <f t="shared" si="41"/>
        <v>2.6902716306517402E-3</v>
      </c>
      <c r="I82" s="29">
        <f t="shared" si="41"/>
        <v>2.5099532629392417E-3</v>
      </c>
      <c r="J82" s="29">
        <f t="shared" si="41"/>
        <v>1.467668134334801E-3</v>
      </c>
      <c r="K82" s="29">
        <f t="shared" si="41"/>
        <v>-2.2413793103448275E-3</v>
      </c>
    </row>
    <row r="83" spans="1:13" x14ac:dyDescent="0.25">
      <c r="B83" s="17"/>
      <c r="C83" s="17">
        <f>+C81-B81</f>
        <v>-321</v>
      </c>
      <c r="D83" s="17">
        <f t="shared" ref="D83:K83" si="42">+D81-C81</f>
        <v>-721</v>
      </c>
      <c r="E83" s="17">
        <f t="shared" si="42"/>
        <v>-65</v>
      </c>
      <c r="F83" s="17">
        <f t="shared" si="42"/>
        <v>-354</v>
      </c>
      <c r="G83" s="17">
        <f t="shared" si="42"/>
        <v>9</v>
      </c>
      <c r="H83" s="17">
        <f t="shared" si="42"/>
        <v>31</v>
      </c>
      <c r="I83" s="17">
        <f t="shared" si="42"/>
        <v>29</v>
      </c>
      <c r="J83" s="17">
        <f t="shared" si="42"/>
        <v>17</v>
      </c>
      <c r="K83" s="17">
        <f t="shared" si="42"/>
        <v>-26</v>
      </c>
    </row>
    <row r="84" spans="1:13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3" x14ac:dyDescent="0.25">
      <c r="A85" t="str">
        <f>+A58</f>
        <v>Obligation + Reserves</v>
      </c>
      <c r="B85" s="17">
        <f t="shared" ref="B85:K85" si="43">+B58</f>
        <v>12278</v>
      </c>
      <c r="C85" s="17">
        <f t="shared" si="43"/>
        <v>12479</v>
      </c>
      <c r="D85" s="17">
        <f t="shared" si="43"/>
        <v>13198</v>
      </c>
      <c r="E85" s="17">
        <f t="shared" si="43"/>
        <v>13629</v>
      </c>
      <c r="F85" s="17">
        <f t="shared" si="43"/>
        <v>13703</v>
      </c>
      <c r="G85" s="17">
        <f t="shared" si="43"/>
        <v>13893</v>
      </c>
      <c r="H85" s="17">
        <f t="shared" si="43"/>
        <v>14138</v>
      </c>
      <c r="I85" s="17">
        <f t="shared" si="43"/>
        <v>14271</v>
      </c>
      <c r="J85" s="17">
        <f t="shared" si="43"/>
        <v>14529</v>
      </c>
      <c r="K85" s="17">
        <f t="shared" si="43"/>
        <v>14748</v>
      </c>
    </row>
    <row r="86" spans="1:13" x14ac:dyDescent="0.25">
      <c r="C86" s="29">
        <f t="shared" ref="C86:K86" si="44">(C85-B85)/B85</f>
        <v>1.6370744420915458E-2</v>
      </c>
      <c r="D86" s="29">
        <f t="shared" si="44"/>
        <v>5.7616796217645642E-2</v>
      </c>
      <c r="E86" s="29">
        <f t="shared" si="44"/>
        <v>3.2656463100469768E-2</v>
      </c>
      <c r="F86" s="29">
        <f t="shared" si="44"/>
        <v>5.4295986499376331E-3</v>
      </c>
      <c r="G86" s="29">
        <f t="shared" si="44"/>
        <v>1.3865576880974969E-2</v>
      </c>
      <c r="H86" s="29">
        <f t="shared" si="44"/>
        <v>1.7634780105088895E-2</v>
      </c>
      <c r="I86" s="29">
        <f t="shared" si="44"/>
        <v>9.4072711840430048E-3</v>
      </c>
      <c r="J86" s="29">
        <f t="shared" si="44"/>
        <v>1.8078620979608998E-2</v>
      </c>
      <c r="K86" s="29">
        <f t="shared" si="44"/>
        <v>1.5073301672517034E-2</v>
      </c>
    </row>
    <row r="87" spans="1:13" x14ac:dyDescent="0.25">
      <c r="C87" s="17">
        <f t="shared" ref="C87:K87" si="45">+C85-B85</f>
        <v>201</v>
      </c>
      <c r="D87" s="17">
        <f t="shared" si="45"/>
        <v>719</v>
      </c>
      <c r="E87" s="17">
        <f t="shared" si="45"/>
        <v>431</v>
      </c>
      <c r="F87" s="17">
        <f t="shared" si="45"/>
        <v>74</v>
      </c>
      <c r="G87" s="17">
        <f t="shared" si="45"/>
        <v>190</v>
      </c>
      <c r="H87" s="17">
        <f t="shared" si="45"/>
        <v>245</v>
      </c>
      <c r="I87" s="17">
        <f t="shared" si="45"/>
        <v>133</v>
      </c>
      <c r="J87" s="17">
        <f t="shared" si="45"/>
        <v>258</v>
      </c>
      <c r="K87" s="17">
        <f t="shared" si="45"/>
        <v>219</v>
      </c>
    </row>
    <row r="89" spans="1:13" x14ac:dyDescent="0.25">
      <c r="C89" s="26">
        <f>+C87+C83</f>
        <v>-120</v>
      </c>
      <c r="D89" s="26">
        <f>+D87+D83</f>
        <v>-2</v>
      </c>
      <c r="E89" s="26">
        <f t="shared" ref="E89:K89" si="46">+E87+E83</f>
        <v>366</v>
      </c>
      <c r="F89" s="26">
        <f t="shared" si="46"/>
        <v>-280</v>
      </c>
      <c r="G89" s="26">
        <f t="shared" si="46"/>
        <v>199</v>
      </c>
      <c r="H89" s="26">
        <f t="shared" si="46"/>
        <v>276</v>
      </c>
      <c r="I89" s="26">
        <f t="shared" si="46"/>
        <v>162</v>
      </c>
      <c r="J89" s="26">
        <f t="shared" si="46"/>
        <v>275</v>
      </c>
      <c r="K89" s="26">
        <f t="shared" si="46"/>
        <v>193</v>
      </c>
    </row>
    <row r="91" spans="1:13" x14ac:dyDescent="0.25">
      <c r="A91" t="s">
        <v>8</v>
      </c>
      <c r="B91" s="6">
        <f>+B19+B41</f>
        <v>9919</v>
      </c>
      <c r="C91" s="6">
        <f t="shared" ref="C91:K91" si="47">+C19+C41</f>
        <v>10272</v>
      </c>
      <c r="D91" s="6">
        <f t="shared" si="47"/>
        <v>10647</v>
      </c>
      <c r="E91" s="6">
        <f t="shared" si="47"/>
        <v>10977</v>
      </c>
      <c r="F91" s="6">
        <f t="shared" si="47"/>
        <v>11305</v>
      </c>
      <c r="G91" s="6">
        <f t="shared" si="47"/>
        <v>11574</v>
      </c>
      <c r="H91" s="6">
        <f t="shared" si="47"/>
        <v>11841</v>
      </c>
      <c r="I91" s="6">
        <f t="shared" si="47"/>
        <v>12049</v>
      </c>
      <c r="J91" s="6">
        <f t="shared" si="47"/>
        <v>12281</v>
      </c>
      <c r="K91" s="6">
        <f t="shared" si="47"/>
        <v>12478</v>
      </c>
      <c r="M91" s="18">
        <f>((K91-B91)/B91)/9</f>
        <v>2.8665524078368112E-2</v>
      </c>
    </row>
    <row r="92" spans="1:13" x14ac:dyDescent="0.25">
      <c r="C92" s="18">
        <f>(C91-B91)/B91</f>
        <v>3.5588264946063111E-2</v>
      </c>
      <c r="D92" s="18">
        <f t="shared" ref="D92:K92" si="48">(D91-C91)/C91</f>
        <v>3.6507009345794393E-2</v>
      </c>
      <c r="E92" s="18">
        <f t="shared" si="48"/>
        <v>3.0994646379261765E-2</v>
      </c>
      <c r="F92" s="18">
        <f t="shared" si="48"/>
        <v>2.9880659560900063E-2</v>
      </c>
      <c r="G92" s="18">
        <f t="shared" si="48"/>
        <v>2.3794781070322867E-2</v>
      </c>
      <c r="H92" s="18">
        <f t="shared" si="48"/>
        <v>2.3068947641264905E-2</v>
      </c>
      <c r="I92" s="18">
        <f t="shared" si="48"/>
        <v>1.7566083945612702E-2</v>
      </c>
      <c r="J92" s="18">
        <f t="shared" si="48"/>
        <v>1.9254709934434393E-2</v>
      </c>
      <c r="K92" s="18">
        <f t="shared" si="48"/>
        <v>1.6041039003338489E-2</v>
      </c>
      <c r="M92" s="25">
        <f>AVERAGE(C92:K92)</f>
        <v>2.5855126869665859E-2</v>
      </c>
    </row>
    <row r="94" spans="1:13" x14ac:dyDescent="0.25">
      <c r="C94" s="18">
        <v>2.87239071427755E-2</v>
      </c>
      <c r="D94" s="18">
        <v>3.5256368979479896E-2</v>
      </c>
      <c r="E94" s="18">
        <v>2.9428803325411892E-2</v>
      </c>
      <c r="F94" s="18">
        <v>2.7422864020473423E-2</v>
      </c>
      <c r="G94" s="18">
        <v>2.1862679822407041E-2</v>
      </c>
      <c r="H94" s="18">
        <v>2.1056254005471575E-2</v>
      </c>
      <c r="I94" s="18">
        <v>1.2310186417676238E-2</v>
      </c>
      <c r="J94" s="18">
        <v>1.5151671438056175E-2</v>
      </c>
      <c r="K94" s="18">
        <v>1.56894084756815E-2</v>
      </c>
    </row>
    <row r="96" spans="1:13" x14ac:dyDescent="0.25">
      <c r="C96" s="25">
        <f>+C92-C94</f>
        <v>6.8643578032876115E-3</v>
      </c>
      <c r="D96" s="25">
        <f t="shared" ref="D96:K96" si="49">+D92-D94</f>
        <v>1.2506403663144969E-3</v>
      </c>
      <c r="E96" s="25">
        <f t="shared" si="49"/>
        <v>1.5658430538498733E-3</v>
      </c>
      <c r="F96" s="25">
        <f t="shared" si="49"/>
        <v>2.4577955404266397E-3</v>
      </c>
      <c r="G96" s="25">
        <f t="shared" si="49"/>
        <v>1.9321012479158253E-3</v>
      </c>
      <c r="H96" s="25">
        <f t="shared" si="49"/>
        <v>2.0126936357933306E-3</v>
      </c>
      <c r="I96" s="25">
        <f t="shared" si="49"/>
        <v>5.2558975279364643E-3</v>
      </c>
      <c r="J96" s="25">
        <f t="shared" si="49"/>
        <v>4.1030384963782179E-3</v>
      </c>
      <c r="K96" s="25">
        <f t="shared" si="49"/>
        <v>3.5163052765698963E-4</v>
      </c>
    </row>
    <row r="99" spans="1:12" x14ac:dyDescent="0.25">
      <c r="A99" s="36" t="s">
        <v>74</v>
      </c>
      <c r="B99" s="37">
        <f>+B57/B56</f>
        <v>9.8505860248725055E-2</v>
      </c>
      <c r="C99" s="37">
        <f t="shared" ref="C99:K99" si="50">+C57/C56</f>
        <v>0.1023851590106007</v>
      </c>
      <c r="D99" s="37">
        <f t="shared" si="50"/>
        <v>0.10888926230885565</v>
      </c>
      <c r="E99" s="37">
        <f t="shared" si="50"/>
        <v>0.10985342019543974</v>
      </c>
      <c r="F99" s="37">
        <f t="shared" si="50"/>
        <v>0.11334091647708808</v>
      </c>
      <c r="G99" s="37">
        <f t="shared" si="50"/>
        <v>0.11348881942774705</v>
      </c>
      <c r="H99" s="37">
        <f t="shared" si="50"/>
        <v>0.11375452969907043</v>
      </c>
      <c r="I99" s="37">
        <f t="shared" si="50"/>
        <v>0.11352996254681648</v>
      </c>
      <c r="J99" s="37">
        <f t="shared" si="50"/>
        <v>0.11350398528510117</v>
      </c>
      <c r="K99" s="37">
        <f t="shared" si="50"/>
        <v>0.11347678369195922</v>
      </c>
    </row>
    <row r="101" spans="1:12" x14ac:dyDescent="0.25">
      <c r="A101" t="s">
        <v>72</v>
      </c>
      <c r="B101" s="6">
        <f>+B56</f>
        <v>11177</v>
      </c>
      <c r="C101" s="17">
        <f>+B101*1.01</f>
        <v>11288.77</v>
      </c>
      <c r="D101" s="17">
        <f t="shared" ref="D101:K101" si="51">+C101*1.01</f>
        <v>11401.6577</v>
      </c>
      <c r="E101" s="17">
        <f t="shared" si="51"/>
        <v>11515.674277</v>
      </c>
      <c r="F101" s="17">
        <f t="shared" si="51"/>
        <v>11630.831019769999</v>
      </c>
      <c r="G101" s="17">
        <f t="shared" si="51"/>
        <v>11747.1393299677</v>
      </c>
      <c r="H101" s="17">
        <f t="shared" si="51"/>
        <v>11864.610723267377</v>
      </c>
      <c r="I101" s="17">
        <f t="shared" si="51"/>
        <v>11983.256830500051</v>
      </c>
      <c r="J101" s="17">
        <f t="shared" si="51"/>
        <v>12103.089398805052</v>
      </c>
      <c r="K101" s="17">
        <f t="shared" si="51"/>
        <v>12224.120292793103</v>
      </c>
    </row>
    <row r="102" spans="1:12" x14ac:dyDescent="0.25">
      <c r="B102" s="6">
        <f>+B57</f>
        <v>1101</v>
      </c>
      <c r="C102" s="6">
        <f>+C101*C99</f>
        <v>1155.8025114840989</v>
      </c>
      <c r="D102" s="6">
        <f t="shared" ref="D102:K102" si="52">+D101*D99</f>
        <v>1241.5180960510838</v>
      </c>
      <c r="E102" s="6">
        <f t="shared" si="52"/>
        <v>1265.0362051850977</v>
      </c>
      <c r="F102" s="6">
        <f t="shared" si="52"/>
        <v>1318.2490471708766</v>
      </c>
      <c r="G102" s="6">
        <f t="shared" si="52"/>
        <v>1333.1689742112899</v>
      </c>
      <c r="H102" s="6">
        <f t="shared" si="52"/>
        <v>1349.6532128878284</v>
      </c>
      <c r="I102" s="6">
        <f t="shared" si="52"/>
        <v>1360.4586991555536</v>
      </c>
      <c r="J102" s="6">
        <f t="shared" si="52"/>
        <v>1373.7488810262325</v>
      </c>
      <c r="K102" s="6">
        <f t="shared" si="52"/>
        <v>1387.1538542897722</v>
      </c>
      <c r="L102" s="6"/>
    </row>
    <row r="103" spans="1:12" x14ac:dyDescent="0.25">
      <c r="B103" s="6">
        <f>+B102+B101</f>
        <v>12278</v>
      </c>
      <c r="C103" s="6">
        <f t="shared" ref="C103:K103" si="53">+C102+C101</f>
        <v>12444.572511484099</v>
      </c>
      <c r="D103" s="6">
        <f t="shared" si="53"/>
        <v>12643.175796051084</v>
      </c>
      <c r="E103" s="6">
        <f t="shared" si="53"/>
        <v>12780.710482185097</v>
      </c>
      <c r="F103" s="6">
        <f t="shared" si="53"/>
        <v>12949.080066940876</v>
      </c>
      <c r="G103" s="6">
        <f t="shared" si="53"/>
        <v>13080.308304178991</v>
      </c>
      <c r="H103" s="6">
        <f t="shared" si="53"/>
        <v>13214.263936155205</v>
      </c>
      <c r="I103" s="6">
        <f t="shared" si="53"/>
        <v>13343.715529655605</v>
      </c>
      <c r="J103" s="6">
        <f t="shared" si="53"/>
        <v>13476.838279831285</v>
      </c>
      <c r="K103" s="6">
        <f t="shared" si="53"/>
        <v>13611.274147082875</v>
      </c>
    </row>
    <row r="104" spans="1:12" x14ac:dyDescent="0.25">
      <c r="B104" s="6"/>
      <c r="C104" s="6"/>
      <c r="D104" s="6"/>
      <c r="E104" s="6"/>
      <c r="F104" s="6"/>
      <c r="G104" s="6"/>
      <c r="H104" s="6"/>
      <c r="I104" s="6"/>
      <c r="J104" s="6"/>
    </row>
    <row r="105" spans="1:12" x14ac:dyDescent="0.25">
      <c r="A105" t="str">
        <f>+A101</f>
        <v>My Estimates</v>
      </c>
      <c r="B105" s="6">
        <f>+B54-B103</f>
        <v>697</v>
      </c>
      <c r="C105" s="6">
        <f t="shared" ref="C105:K105" si="54">+C54-C103</f>
        <v>209.42748851590113</v>
      </c>
      <c r="D105" s="6">
        <f t="shared" si="54"/>
        <v>-710.17579605108403</v>
      </c>
      <c r="E105" s="6">
        <f t="shared" si="54"/>
        <v>-912.71048218509713</v>
      </c>
      <c r="F105" s="6">
        <f t="shared" si="54"/>
        <v>-1435.0800669408763</v>
      </c>
      <c r="G105" s="6">
        <f t="shared" si="54"/>
        <v>-1557.3083041789905</v>
      </c>
      <c r="H105" s="6">
        <f t="shared" si="54"/>
        <v>-1660.2639361552046</v>
      </c>
      <c r="I105" s="6">
        <f t="shared" si="54"/>
        <v>-1760.7155296556048</v>
      </c>
      <c r="J105" s="6">
        <f t="shared" si="54"/>
        <v>-1876.838279831285</v>
      </c>
      <c r="K105" s="6">
        <f t="shared" si="54"/>
        <v>-2037.2741470828751</v>
      </c>
    </row>
    <row r="106" spans="1:12" x14ac:dyDescent="0.25">
      <c r="A106" t="str">
        <f>+A59</f>
        <v>System Position</v>
      </c>
      <c r="B106" s="3">
        <f t="shared" ref="B106:K106" si="55">+B59</f>
        <v>699</v>
      </c>
      <c r="C106" s="3">
        <f t="shared" si="55"/>
        <v>175</v>
      </c>
      <c r="D106" s="3">
        <f t="shared" si="55"/>
        <v>-1263</v>
      </c>
      <c r="E106" s="3">
        <f t="shared" si="55"/>
        <v>-1760</v>
      </c>
      <c r="F106" s="3">
        <f t="shared" si="55"/>
        <v>-2190</v>
      </c>
      <c r="G106" s="3">
        <f t="shared" si="55"/>
        <v>-2370</v>
      </c>
      <c r="H106" s="3">
        <f t="shared" si="55"/>
        <v>-2584</v>
      </c>
      <c r="I106" s="3">
        <f t="shared" si="55"/>
        <v>-2689</v>
      </c>
      <c r="J106" s="3">
        <f t="shared" si="55"/>
        <v>-2928</v>
      </c>
      <c r="K106" s="3">
        <f t="shared" si="55"/>
        <v>-3173</v>
      </c>
    </row>
    <row r="107" spans="1:12" x14ac:dyDescent="0.25">
      <c r="B107" s="6">
        <f>+B105-B106</f>
        <v>-2</v>
      </c>
      <c r="C107" s="6">
        <f>+C105-C106</f>
        <v>34.427488515901132</v>
      </c>
      <c r="D107" s="6">
        <f t="shared" ref="D107:K107" si="56">+D105-D106</f>
        <v>552.82420394891597</v>
      </c>
      <c r="E107" s="6">
        <f t="shared" si="56"/>
        <v>847.28951781490287</v>
      </c>
      <c r="F107" s="6">
        <f t="shared" si="56"/>
        <v>754.91993305912365</v>
      </c>
      <c r="G107" s="6">
        <f t="shared" si="56"/>
        <v>812.69169582100949</v>
      </c>
      <c r="H107" s="6">
        <f t="shared" si="56"/>
        <v>923.73606384479535</v>
      </c>
      <c r="I107" s="6">
        <f t="shared" si="56"/>
        <v>928.28447034439523</v>
      </c>
      <c r="J107" s="6">
        <f t="shared" si="56"/>
        <v>1051.161720168715</v>
      </c>
      <c r="K107" s="6">
        <f t="shared" si="56"/>
        <v>1135.7258529171249</v>
      </c>
    </row>
    <row r="108" spans="1:12" x14ac:dyDescent="0.25">
      <c r="B108" s="6"/>
      <c r="C108" s="6"/>
      <c r="D108" s="6"/>
      <c r="E108" s="6"/>
      <c r="F108" s="6"/>
      <c r="G108" s="6"/>
      <c r="H108" s="6"/>
      <c r="I108" s="6"/>
      <c r="J108" s="6"/>
    </row>
    <row r="109" spans="1:12" x14ac:dyDescent="0.25">
      <c r="B109" s="6"/>
      <c r="C109" s="6"/>
      <c r="D109" s="6"/>
      <c r="E109" s="6"/>
      <c r="F109" s="6"/>
      <c r="G109" s="6"/>
      <c r="H109" s="6"/>
      <c r="I109" s="6"/>
      <c r="J109" s="6"/>
    </row>
    <row r="110" spans="1:12" x14ac:dyDescent="0.25">
      <c r="B110" s="6"/>
      <c r="C110" s="6"/>
      <c r="D110" s="6"/>
      <c r="E110" s="6"/>
      <c r="F110" s="6"/>
      <c r="G110" s="6"/>
      <c r="H110" s="6"/>
      <c r="I110" s="6"/>
      <c r="J110" s="6"/>
    </row>
    <row r="113" spans="2:10" x14ac:dyDescent="0.25">
      <c r="B113" s="6"/>
      <c r="C113" s="6"/>
      <c r="D113" s="6"/>
      <c r="E113" s="6"/>
      <c r="F113" s="6"/>
      <c r="G113" s="6"/>
      <c r="H113" s="6"/>
      <c r="I113" s="6"/>
      <c r="J113" s="6"/>
    </row>
    <row r="129" spans="2:10" x14ac:dyDescent="0.25">
      <c r="B129" s="6"/>
      <c r="C129" s="6"/>
      <c r="D129" s="6"/>
      <c r="E129" s="6"/>
      <c r="F129" s="6"/>
      <c r="G129" s="6"/>
      <c r="H129" s="6"/>
      <c r="I129" s="6"/>
      <c r="J129" s="6"/>
    </row>
    <row r="135" spans="2:10" x14ac:dyDescent="0.25">
      <c r="B135" s="6"/>
      <c r="C135" s="6"/>
      <c r="D135" s="6"/>
      <c r="E135" s="6"/>
      <c r="F135" s="6"/>
      <c r="G135" s="6"/>
      <c r="H135" s="6"/>
      <c r="I135" s="6"/>
      <c r="J135" s="6"/>
    </row>
  </sheetData>
  <mergeCells count="3">
    <mergeCell ref="A3:K3"/>
    <mergeCell ref="A4:K4"/>
    <mergeCell ref="A5:K5"/>
  </mergeCells>
  <pageMargins left="0.7" right="0.7" top="0.75" bottom="0.75" header="0.3" footer="0.3"/>
  <pageSetup scale="73" orientation="portrait" r:id="rId1"/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view="pageBreakPreview" topLeftCell="A40" zoomScaleNormal="100" zoomScaleSheetLayoutView="100" workbookViewId="0">
      <selection activeCell="G59" sqref="G59"/>
    </sheetView>
  </sheetViews>
  <sheetFormatPr defaultRowHeight="15" x14ac:dyDescent="0.25"/>
  <cols>
    <col min="1" max="1" width="26.140625" customWidth="1"/>
  </cols>
  <sheetData>
    <row r="1" spans="1:11" x14ac:dyDescent="0.25">
      <c r="A1" t="s">
        <v>79</v>
      </c>
    </row>
    <row r="2" spans="1:11" x14ac:dyDescent="0.25">
      <c r="J2" s="25">
        <v>0.13</v>
      </c>
    </row>
    <row r="3" spans="1:11" ht="15.75" x14ac:dyDescent="0.25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 x14ac:dyDescent="0.3">
      <c r="A4" s="72" t="s">
        <v>39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x14ac:dyDescent="0.25">
      <c r="A5" s="73" t="s">
        <v>77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7" spans="1:11" x14ac:dyDescent="0.25">
      <c r="A7" t="s">
        <v>0</v>
      </c>
      <c r="B7">
        <v>2011</v>
      </c>
      <c r="C7">
        <f>+B7+1</f>
        <v>2012</v>
      </c>
      <c r="D7">
        <f t="shared" ref="D7:K7" si="0">+C7+1</f>
        <v>2013</v>
      </c>
      <c r="E7">
        <f t="shared" si="0"/>
        <v>2014</v>
      </c>
      <c r="F7">
        <f t="shared" si="0"/>
        <v>2015</v>
      </c>
      <c r="G7">
        <f t="shared" si="0"/>
        <v>2016</v>
      </c>
      <c r="H7">
        <f t="shared" si="0"/>
        <v>2017</v>
      </c>
      <c r="I7">
        <f t="shared" si="0"/>
        <v>2018</v>
      </c>
      <c r="J7">
        <f t="shared" si="0"/>
        <v>2019</v>
      </c>
      <c r="K7">
        <f t="shared" si="0"/>
        <v>2020</v>
      </c>
    </row>
    <row r="8" spans="1:11" x14ac:dyDescent="0.25">
      <c r="A8" s="8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t="s">
        <v>1</v>
      </c>
      <c r="B9" s="3">
        <v>6019</v>
      </c>
      <c r="C9" s="3">
        <v>6026</v>
      </c>
      <c r="D9" s="3">
        <v>6028</v>
      </c>
      <c r="E9" s="3">
        <v>6028</v>
      </c>
      <c r="F9" s="3">
        <v>6029</v>
      </c>
      <c r="G9" s="3">
        <v>6046</v>
      </c>
      <c r="H9" s="3">
        <v>6046</v>
      </c>
      <c r="I9" s="3">
        <v>6046</v>
      </c>
      <c r="J9" s="3">
        <v>6046</v>
      </c>
      <c r="K9" s="3">
        <v>6046</v>
      </c>
    </row>
    <row r="10" spans="1:11" x14ac:dyDescent="0.25">
      <c r="A10" t="s">
        <v>2</v>
      </c>
      <c r="B10" s="3">
        <v>133</v>
      </c>
      <c r="C10" s="3">
        <v>133</v>
      </c>
      <c r="D10" s="3">
        <v>133</v>
      </c>
      <c r="E10" s="3">
        <v>133</v>
      </c>
      <c r="F10" s="3">
        <v>133</v>
      </c>
      <c r="G10" s="3">
        <v>129</v>
      </c>
      <c r="H10" s="3">
        <v>129</v>
      </c>
      <c r="I10" s="3">
        <v>129</v>
      </c>
      <c r="J10" s="3">
        <v>129</v>
      </c>
      <c r="K10" s="3">
        <v>129</v>
      </c>
    </row>
    <row r="11" spans="1:11" x14ac:dyDescent="0.25">
      <c r="A11" t="s">
        <v>3</v>
      </c>
      <c r="B11" s="3">
        <v>324</v>
      </c>
      <c r="C11" s="3">
        <v>329</v>
      </c>
      <c r="D11" s="3">
        <v>329</v>
      </c>
      <c r="E11" s="3">
        <v>329</v>
      </c>
      <c r="F11" s="3">
        <v>329</v>
      </c>
      <c r="G11" s="3">
        <v>329</v>
      </c>
      <c r="H11" s="3">
        <v>329</v>
      </c>
      <c r="I11" s="3">
        <v>329</v>
      </c>
      <c r="J11" s="3">
        <v>329</v>
      </c>
      <c r="K11" s="3">
        <v>329</v>
      </c>
    </row>
    <row r="12" spans="1:11" x14ac:dyDescent="0.25">
      <c r="A12" t="s">
        <v>4</v>
      </c>
      <c r="B12" s="3">
        <v>179</v>
      </c>
      <c r="C12" s="3">
        <v>179</v>
      </c>
      <c r="D12" s="3">
        <v>179</v>
      </c>
      <c r="E12" s="3">
        <v>178</v>
      </c>
      <c r="F12" s="3">
        <v>176</v>
      </c>
      <c r="G12" s="3">
        <v>176</v>
      </c>
      <c r="H12" s="3">
        <v>176</v>
      </c>
      <c r="I12" s="3">
        <v>176</v>
      </c>
      <c r="J12" s="3">
        <v>176</v>
      </c>
      <c r="K12" s="3">
        <v>176</v>
      </c>
    </row>
    <row r="13" spans="1:11" x14ac:dyDescent="0.25">
      <c r="A13" t="s">
        <v>5</v>
      </c>
      <c r="B13" s="38">
        <v>655</v>
      </c>
      <c r="C13" s="38">
        <v>705</v>
      </c>
      <c r="D13" s="38">
        <v>604</v>
      </c>
      <c r="E13" s="38">
        <v>304</v>
      </c>
      <c r="F13" s="38">
        <v>304</v>
      </c>
      <c r="G13" s="38">
        <v>283</v>
      </c>
      <c r="H13" s="38">
        <v>283</v>
      </c>
      <c r="I13" s="38">
        <v>283</v>
      </c>
      <c r="J13" s="38">
        <v>283</v>
      </c>
      <c r="K13" s="3">
        <v>283</v>
      </c>
    </row>
    <row r="14" spans="1:11" x14ac:dyDescent="0.25">
      <c r="A14" t="s">
        <v>6</v>
      </c>
      <c r="B14" s="38">
        <v>152</v>
      </c>
      <c r="C14" s="38">
        <v>187</v>
      </c>
      <c r="D14" s="38">
        <v>206</v>
      </c>
      <c r="E14" s="38">
        <v>206</v>
      </c>
      <c r="F14" s="38">
        <v>206</v>
      </c>
      <c r="G14" s="38">
        <v>206</v>
      </c>
      <c r="H14" s="38">
        <v>207</v>
      </c>
      <c r="I14" s="38">
        <v>207</v>
      </c>
      <c r="J14" s="38">
        <v>206</v>
      </c>
      <c r="K14" s="38">
        <v>206</v>
      </c>
    </row>
    <row r="15" spans="1:11" x14ac:dyDescent="0.25">
      <c r="A15" t="s">
        <v>29</v>
      </c>
      <c r="B15" s="38">
        <v>281</v>
      </c>
      <c r="C15" s="38">
        <v>281</v>
      </c>
      <c r="D15" s="38">
        <v>281</v>
      </c>
      <c r="E15" s="38">
        <v>281</v>
      </c>
      <c r="F15" s="38">
        <v>281</v>
      </c>
      <c r="G15" s="38">
        <v>281</v>
      </c>
      <c r="H15" s="38">
        <v>281</v>
      </c>
      <c r="I15" s="38">
        <v>281</v>
      </c>
      <c r="J15" s="38">
        <v>281</v>
      </c>
      <c r="K15" s="38">
        <v>281</v>
      </c>
    </row>
    <row r="16" spans="1:11" x14ac:dyDescent="0.25">
      <c r="A16" t="s">
        <v>40</v>
      </c>
      <c r="B16" s="38">
        <v>810</v>
      </c>
      <c r="C16" s="38">
        <v>451</v>
      </c>
      <c r="D16" s="38">
        <v>414</v>
      </c>
      <c r="E16" s="38">
        <v>456</v>
      </c>
      <c r="F16" s="38">
        <v>311</v>
      </c>
      <c r="G16" s="38">
        <v>499</v>
      </c>
      <c r="H16" s="38">
        <v>547</v>
      </c>
      <c r="I16" s="38">
        <v>299</v>
      </c>
      <c r="J16" s="38">
        <v>361</v>
      </c>
      <c r="K16" s="3">
        <v>328</v>
      </c>
    </row>
    <row r="17" spans="1:11" x14ac:dyDescent="0.25">
      <c r="A17" t="s">
        <v>7</v>
      </c>
      <c r="B17" s="38">
        <f t="shared" ref="B17:K17" si="1">SUM(B9:B16)</f>
        <v>8553</v>
      </c>
      <c r="C17" s="38">
        <f t="shared" si="1"/>
        <v>8291</v>
      </c>
      <c r="D17" s="38">
        <f t="shared" si="1"/>
        <v>8174</v>
      </c>
      <c r="E17" s="38">
        <f t="shared" si="1"/>
        <v>7915</v>
      </c>
      <c r="F17" s="38">
        <f t="shared" si="1"/>
        <v>7769</v>
      </c>
      <c r="G17" s="38">
        <f t="shared" si="1"/>
        <v>7949</v>
      </c>
      <c r="H17" s="38">
        <f t="shared" si="1"/>
        <v>7998</v>
      </c>
      <c r="I17" s="38">
        <f t="shared" si="1"/>
        <v>7750</v>
      </c>
      <c r="J17" s="38">
        <f t="shared" si="1"/>
        <v>7811</v>
      </c>
      <c r="K17" s="3">
        <f t="shared" si="1"/>
        <v>7778</v>
      </c>
    </row>
    <row r="18" spans="1:1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"/>
    </row>
    <row r="19" spans="1:11" x14ac:dyDescent="0.25">
      <c r="A19" t="s">
        <v>8</v>
      </c>
      <c r="B19" s="45">
        <f>7112+72</f>
        <v>7184</v>
      </c>
      <c r="C19" s="38">
        <v>7344</v>
      </c>
      <c r="D19" s="38">
        <v>7566</v>
      </c>
      <c r="E19" s="38">
        <v>7805</v>
      </c>
      <c r="F19" s="38">
        <v>8009</v>
      </c>
      <c r="G19" s="38">
        <v>8201</v>
      </c>
      <c r="H19" s="38">
        <v>8377</v>
      </c>
      <c r="I19" s="38">
        <v>8544</v>
      </c>
      <c r="J19" s="38">
        <v>8712</v>
      </c>
      <c r="K19" s="3">
        <v>8896</v>
      </c>
    </row>
    <row r="20" spans="1:11" x14ac:dyDescent="0.25">
      <c r="A20" t="s">
        <v>9</v>
      </c>
      <c r="B20" s="38">
        <v>758</v>
      </c>
      <c r="C20" s="38">
        <v>997</v>
      </c>
      <c r="D20" s="38">
        <v>1045</v>
      </c>
      <c r="E20" s="38">
        <v>745</v>
      </c>
      <c r="F20" s="38">
        <v>745</v>
      </c>
      <c r="G20" s="38">
        <v>745</v>
      </c>
      <c r="H20" s="38">
        <v>659</v>
      </c>
      <c r="I20" s="38">
        <v>659</v>
      </c>
      <c r="J20" s="38">
        <v>659</v>
      </c>
      <c r="K20" s="3">
        <v>659</v>
      </c>
    </row>
    <row r="21" spans="1:11" x14ac:dyDescent="0.25">
      <c r="A21" t="s">
        <v>10</v>
      </c>
      <c r="B21" s="3">
        <f t="shared" ref="B21:K21" si="2">+B20+B19</f>
        <v>7942</v>
      </c>
      <c r="C21" s="3">
        <f t="shared" si="2"/>
        <v>8341</v>
      </c>
      <c r="D21" s="3">
        <f t="shared" si="2"/>
        <v>8611</v>
      </c>
      <c r="E21" s="3">
        <f t="shared" si="2"/>
        <v>8550</v>
      </c>
      <c r="F21" s="3">
        <f t="shared" si="2"/>
        <v>8754</v>
      </c>
      <c r="G21" s="3">
        <f t="shared" si="2"/>
        <v>8946</v>
      </c>
      <c r="H21" s="3">
        <f t="shared" si="2"/>
        <v>9036</v>
      </c>
      <c r="I21" s="3">
        <f t="shared" si="2"/>
        <v>9203</v>
      </c>
      <c r="J21" s="3">
        <f t="shared" si="2"/>
        <v>9371</v>
      </c>
      <c r="K21" s="3">
        <f t="shared" si="2"/>
        <v>9555</v>
      </c>
    </row>
    <row r="22" spans="1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t="s">
        <v>30</v>
      </c>
      <c r="B23" s="45">
        <f>846+9</f>
        <v>855</v>
      </c>
      <c r="C23" s="34">
        <v>886</v>
      </c>
      <c r="D23" s="34">
        <v>929</v>
      </c>
      <c r="E23" s="34">
        <v>957</v>
      </c>
      <c r="F23" s="34">
        <v>981</v>
      </c>
      <c r="G23" s="34">
        <v>1005</v>
      </c>
      <c r="H23" s="34">
        <v>1016</v>
      </c>
      <c r="I23" s="34">
        <v>1036</v>
      </c>
      <c r="J23" s="34">
        <v>1056</v>
      </c>
      <c r="K23" s="34">
        <v>1076</v>
      </c>
    </row>
    <row r="24" spans="1:11" x14ac:dyDescent="0.25">
      <c r="A24" t="s">
        <v>31</v>
      </c>
      <c r="B24" s="34">
        <v>84</v>
      </c>
      <c r="C24" s="34">
        <v>98</v>
      </c>
      <c r="D24" s="34">
        <v>103</v>
      </c>
      <c r="E24" s="34">
        <v>106</v>
      </c>
      <c r="F24" s="34">
        <v>109</v>
      </c>
      <c r="G24" s="34">
        <v>112</v>
      </c>
      <c r="H24" s="34">
        <v>113</v>
      </c>
      <c r="I24" s="34">
        <v>115</v>
      </c>
      <c r="J24" s="34">
        <v>117</v>
      </c>
      <c r="K24" s="34">
        <v>120</v>
      </c>
    </row>
    <row r="25" spans="1:11" x14ac:dyDescent="0.25">
      <c r="A25" t="s">
        <v>11</v>
      </c>
      <c r="B25" s="34">
        <f t="shared" ref="B25:K25" si="3">+B24+B23</f>
        <v>939</v>
      </c>
      <c r="C25" s="34">
        <f t="shared" si="3"/>
        <v>984</v>
      </c>
      <c r="D25" s="34">
        <f t="shared" si="3"/>
        <v>1032</v>
      </c>
      <c r="E25" s="34">
        <f t="shared" si="3"/>
        <v>1063</v>
      </c>
      <c r="F25" s="34">
        <f t="shared" si="3"/>
        <v>1090</v>
      </c>
      <c r="G25" s="34">
        <f t="shared" si="3"/>
        <v>1117</v>
      </c>
      <c r="H25" s="34">
        <f t="shared" si="3"/>
        <v>1129</v>
      </c>
      <c r="I25" s="34">
        <f t="shared" si="3"/>
        <v>1151</v>
      </c>
      <c r="J25" s="34">
        <f t="shared" si="3"/>
        <v>1173</v>
      </c>
      <c r="K25" s="34">
        <f t="shared" si="3"/>
        <v>1196</v>
      </c>
    </row>
    <row r="26" spans="1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t="s">
        <v>12</v>
      </c>
      <c r="B27" s="3">
        <f t="shared" ref="B27:K27" si="4">+B25+B21</f>
        <v>8881</v>
      </c>
      <c r="C27" s="3">
        <f t="shared" si="4"/>
        <v>9325</v>
      </c>
      <c r="D27" s="3">
        <f t="shared" si="4"/>
        <v>9643</v>
      </c>
      <c r="E27" s="3">
        <f t="shared" si="4"/>
        <v>9613</v>
      </c>
      <c r="F27" s="3">
        <f t="shared" si="4"/>
        <v>9844</v>
      </c>
      <c r="G27" s="3">
        <f t="shared" si="4"/>
        <v>10063</v>
      </c>
      <c r="H27" s="3">
        <f t="shared" si="4"/>
        <v>10165</v>
      </c>
      <c r="I27" s="3">
        <f t="shared" si="4"/>
        <v>10354</v>
      </c>
      <c r="J27" s="3">
        <f t="shared" si="4"/>
        <v>10544</v>
      </c>
      <c r="K27" s="3">
        <f t="shared" si="4"/>
        <v>10751</v>
      </c>
    </row>
    <row r="28" spans="1:11" x14ac:dyDescent="0.25">
      <c r="A28" t="s">
        <v>13</v>
      </c>
      <c r="B28" s="3">
        <f t="shared" ref="B28:K28" si="5">+B17-B27</f>
        <v>-328</v>
      </c>
      <c r="C28" s="3">
        <f t="shared" si="5"/>
        <v>-1034</v>
      </c>
      <c r="D28" s="3">
        <f t="shared" si="5"/>
        <v>-1469</v>
      </c>
      <c r="E28" s="3">
        <f t="shared" si="5"/>
        <v>-1698</v>
      </c>
      <c r="F28" s="3">
        <f t="shared" si="5"/>
        <v>-2075</v>
      </c>
      <c r="G28" s="3">
        <f t="shared" si="5"/>
        <v>-2114</v>
      </c>
      <c r="H28" s="3">
        <f t="shared" si="5"/>
        <v>-2167</v>
      </c>
      <c r="I28" s="3">
        <f t="shared" si="5"/>
        <v>-2604</v>
      </c>
      <c r="J28" s="3">
        <f t="shared" si="5"/>
        <v>-2733</v>
      </c>
      <c r="K28" s="3">
        <f t="shared" si="5"/>
        <v>-2973</v>
      </c>
    </row>
    <row r="29" spans="1:11" x14ac:dyDescent="0.25">
      <c r="A29" t="s">
        <v>14</v>
      </c>
      <c r="B29" s="35">
        <f t="shared" ref="B29:K29" si="6">(B$17+(B$11+B$13+B$15)*$J$2-B$24)/B$21-1</f>
        <v>8.6980609418282562E-2</v>
      </c>
      <c r="C29" s="35">
        <f t="shared" si="6"/>
        <v>2.7514686488432361E-3</v>
      </c>
      <c r="D29" s="35">
        <f t="shared" si="6"/>
        <v>-4.4382766229241755E-2</v>
      </c>
      <c r="E29" s="35">
        <f t="shared" si="6"/>
        <v>-7.2769590643274928E-2</v>
      </c>
      <c r="F29" s="35">
        <f t="shared" si="6"/>
        <v>-0.11139821795750515</v>
      </c>
      <c r="G29" s="35">
        <f t="shared" si="6"/>
        <v>-0.11098926894701544</v>
      </c>
      <c r="H29" s="35">
        <f t="shared" si="6"/>
        <v>-0.11453187250996011</v>
      </c>
      <c r="I29" s="35">
        <f t="shared" si="6"/>
        <v>-0.15776485928501571</v>
      </c>
      <c r="J29" s="35">
        <f t="shared" si="6"/>
        <v>-0.16656813573791485</v>
      </c>
      <c r="K29" s="35">
        <f t="shared" si="6"/>
        <v>-0.18638513867085293</v>
      </c>
    </row>
    <row r="30" spans="1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8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t="s">
        <v>1</v>
      </c>
      <c r="B32" s="3">
        <v>2552</v>
      </c>
      <c r="C32" s="3">
        <v>2552</v>
      </c>
      <c r="D32" s="3">
        <v>2556</v>
      </c>
      <c r="E32" s="3">
        <v>2556</v>
      </c>
      <c r="F32" s="3">
        <v>2556</v>
      </c>
      <c r="G32" s="38">
        <v>2556</v>
      </c>
      <c r="H32" s="38">
        <v>2541</v>
      </c>
      <c r="I32" s="38">
        <v>2550</v>
      </c>
      <c r="J32" s="38">
        <v>2550</v>
      </c>
      <c r="K32" s="38">
        <v>2550</v>
      </c>
    </row>
    <row r="33" spans="1:24" x14ac:dyDescent="0.25">
      <c r="A33" t="s">
        <v>2</v>
      </c>
      <c r="B33" s="3">
        <v>1103</v>
      </c>
      <c r="C33" s="3">
        <v>958</v>
      </c>
      <c r="D33" s="3">
        <v>958</v>
      </c>
      <c r="E33" s="3">
        <v>957</v>
      </c>
      <c r="F33" s="3">
        <v>958</v>
      </c>
      <c r="G33" s="38">
        <v>959</v>
      </c>
      <c r="H33" s="38">
        <v>958</v>
      </c>
      <c r="I33" s="38">
        <v>958</v>
      </c>
      <c r="J33" s="38">
        <v>902</v>
      </c>
      <c r="K33" s="38">
        <v>745</v>
      </c>
    </row>
    <row r="34" spans="1:24" x14ac:dyDescent="0.25">
      <c r="A34" t="s">
        <v>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24" x14ac:dyDescent="0.25">
      <c r="A35" t="s">
        <v>4</v>
      </c>
      <c r="B35" s="3">
        <v>77</v>
      </c>
      <c r="C35" s="3">
        <v>71</v>
      </c>
      <c r="D35" s="3">
        <v>71</v>
      </c>
      <c r="E35" s="3">
        <v>71</v>
      </c>
      <c r="F35" s="3">
        <v>71</v>
      </c>
      <c r="G35" s="38">
        <v>71</v>
      </c>
      <c r="H35" s="38">
        <v>71</v>
      </c>
      <c r="I35" s="38">
        <v>71</v>
      </c>
      <c r="J35" s="38">
        <v>71</v>
      </c>
      <c r="K35" s="38">
        <v>71</v>
      </c>
    </row>
    <row r="36" spans="1:24" x14ac:dyDescent="0.25">
      <c r="A36" t="s">
        <v>5</v>
      </c>
      <c r="B36" s="38">
        <v>856</v>
      </c>
      <c r="C36" s="38">
        <v>247</v>
      </c>
      <c r="D36" s="38">
        <v>331</v>
      </c>
      <c r="E36" s="38">
        <v>226</v>
      </c>
      <c r="F36" s="38">
        <v>221</v>
      </c>
      <c r="G36" s="38">
        <v>225</v>
      </c>
      <c r="H36" s="38">
        <v>255</v>
      </c>
      <c r="I36" s="38">
        <v>269</v>
      </c>
      <c r="J36" s="38">
        <v>285</v>
      </c>
      <c r="K36" s="38">
        <v>242</v>
      </c>
    </row>
    <row r="37" spans="1:24" x14ac:dyDescent="0.25">
      <c r="A37" t="s">
        <v>6</v>
      </c>
      <c r="B37" s="38">
        <v>136</v>
      </c>
      <c r="C37" s="38">
        <v>136</v>
      </c>
      <c r="D37" s="38">
        <v>136</v>
      </c>
      <c r="E37" s="38">
        <v>136</v>
      </c>
      <c r="F37" s="38">
        <v>136</v>
      </c>
      <c r="G37" s="38">
        <v>136</v>
      </c>
      <c r="H37" s="38">
        <v>136</v>
      </c>
      <c r="I37" s="38">
        <v>136</v>
      </c>
      <c r="J37" s="38">
        <v>136</v>
      </c>
      <c r="K37" s="38">
        <v>136</v>
      </c>
    </row>
    <row r="38" spans="1:24" x14ac:dyDescent="0.25">
      <c r="A38" t="s">
        <v>40</v>
      </c>
      <c r="B38" s="38">
        <v>-809</v>
      </c>
      <c r="C38" s="38">
        <v>-452</v>
      </c>
      <c r="D38" s="38">
        <v>-416</v>
      </c>
      <c r="E38" s="38">
        <v>-457</v>
      </c>
      <c r="F38" s="38">
        <v>-311</v>
      </c>
      <c r="G38" s="38">
        <v>-499</v>
      </c>
      <c r="H38" s="38">
        <v>-547</v>
      </c>
      <c r="I38" s="38">
        <v>-300</v>
      </c>
      <c r="J38" s="38">
        <v>-360</v>
      </c>
      <c r="K38" s="38">
        <v>-330</v>
      </c>
    </row>
    <row r="39" spans="1:24" x14ac:dyDescent="0.25">
      <c r="A39" t="s">
        <v>15</v>
      </c>
      <c r="B39" s="38">
        <f t="shared" ref="B39:K39" si="7">SUM(B32:B38)</f>
        <v>3915</v>
      </c>
      <c r="C39" s="38">
        <f t="shared" si="7"/>
        <v>3512</v>
      </c>
      <c r="D39" s="38">
        <f t="shared" si="7"/>
        <v>3636</v>
      </c>
      <c r="E39" s="38">
        <f t="shared" si="7"/>
        <v>3489</v>
      </c>
      <c r="F39" s="38">
        <f t="shared" si="7"/>
        <v>3631</v>
      </c>
      <c r="G39" s="38">
        <f t="shared" si="7"/>
        <v>3448</v>
      </c>
      <c r="H39" s="38">
        <f t="shared" si="7"/>
        <v>3414</v>
      </c>
      <c r="I39" s="38">
        <f t="shared" si="7"/>
        <v>3684</v>
      </c>
      <c r="J39" s="38">
        <f t="shared" si="7"/>
        <v>3584</v>
      </c>
      <c r="K39" s="38">
        <f t="shared" si="7"/>
        <v>3414</v>
      </c>
    </row>
    <row r="40" spans="1:24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24" x14ac:dyDescent="0.25">
      <c r="A41" t="s">
        <v>8</v>
      </c>
      <c r="B41" s="38">
        <v>3266</v>
      </c>
      <c r="C41" s="38">
        <v>3374</v>
      </c>
      <c r="D41" s="38">
        <v>3395</v>
      </c>
      <c r="E41" s="38">
        <v>3448</v>
      </c>
      <c r="F41" s="38">
        <v>3491</v>
      </c>
      <c r="G41" s="38">
        <v>3541</v>
      </c>
      <c r="H41" s="38">
        <v>3583</v>
      </c>
      <c r="I41" s="38">
        <v>3650</v>
      </c>
      <c r="J41" s="38">
        <v>3666</v>
      </c>
      <c r="K41" s="38">
        <v>3712</v>
      </c>
    </row>
    <row r="42" spans="1:24" x14ac:dyDescent="0.25">
      <c r="A42" t="s">
        <v>9</v>
      </c>
      <c r="B42" s="38">
        <v>290</v>
      </c>
      <c r="C42" s="38">
        <v>258</v>
      </c>
      <c r="D42" s="38">
        <v>258</v>
      </c>
      <c r="E42" s="38">
        <v>258</v>
      </c>
      <c r="F42" s="38">
        <v>158</v>
      </c>
      <c r="G42" s="38">
        <v>108</v>
      </c>
      <c r="H42" s="38">
        <v>108</v>
      </c>
      <c r="I42" s="38">
        <v>108</v>
      </c>
      <c r="J42" s="38">
        <v>108</v>
      </c>
      <c r="K42" s="38">
        <v>108</v>
      </c>
    </row>
    <row r="43" spans="1:24" x14ac:dyDescent="0.25">
      <c r="A43" t="s">
        <v>16</v>
      </c>
      <c r="B43" s="38">
        <f t="shared" ref="B43:K43" si="8">+B42+B41</f>
        <v>3556</v>
      </c>
      <c r="C43" s="38">
        <f t="shared" si="8"/>
        <v>3632</v>
      </c>
      <c r="D43" s="38">
        <f t="shared" si="8"/>
        <v>3653</v>
      </c>
      <c r="E43" s="38">
        <f t="shared" si="8"/>
        <v>3706</v>
      </c>
      <c r="F43" s="38">
        <f t="shared" si="8"/>
        <v>3649</v>
      </c>
      <c r="G43" s="38">
        <f t="shared" si="8"/>
        <v>3649</v>
      </c>
      <c r="H43" s="38">
        <f t="shared" si="8"/>
        <v>3691</v>
      </c>
      <c r="I43" s="38">
        <f t="shared" si="8"/>
        <v>3758</v>
      </c>
      <c r="J43" s="38">
        <f t="shared" si="8"/>
        <v>3774</v>
      </c>
      <c r="K43" s="38">
        <f t="shared" si="8"/>
        <v>3820</v>
      </c>
    </row>
    <row r="44" spans="1:24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O44">
        <f>+B7</f>
        <v>2011</v>
      </c>
      <c r="P44">
        <f t="shared" ref="P44:W44" si="9">+C7</f>
        <v>2012</v>
      </c>
      <c r="Q44">
        <f t="shared" si="9"/>
        <v>2013</v>
      </c>
      <c r="R44">
        <f t="shared" si="9"/>
        <v>2014</v>
      </c>
      <c r="S44">
        <f t="shared" si="9"/>
        <v>2015</v>
      </c>
      <c r="T44">
        <f t="shared" si="9"/>
        <v>2016</v>
      </c>
      <c r="U44">
        <f t="shared" si="9"/>
        <v>2017</v>
      </c>
      <c r="V44">
        <f t="shared" si="9"/>
        <v>2018</v>
      </c>
      <c r="W44">
        <f t="shared" si="9"/>
        <v>2019</v>
      </c>
      <c r="X44">
        <f>+K7</f>
        <v>2020</v>
      </c>
    </row>
    <row r="45" spans="1:24" x14ac:dyDescent="0.25">
      <c r="A45" t="s">
        <v>30</v>
      </c>
      <c r="B45" s="38">
        <v>351</v>
      </c>
      <c r="C45" s="38">
        <v>440</v>
      </c>
      <c r="D45" s="38">
        <v>432</v>
      </c>
      <c r="E45" s="38">
        <v>452</v>
      </c>
      <c r="F45" s="38">
        <v>446</v>
      </c>
      <c r="G45" s="38">
        <v>445</v>
      </c>
      <c r="H45" s="38">
        <v>447</v>
      </c>
      <c r="I45" s="38">
        <v>454</v>
      </c>
      <c r="J45" s="38">
        <v>454</v>
      </c>
      <c r="K45" s="38">
        <v>465</v>
      </c>
      <c r="L45" t="str">
        <f>+A27</f>
        <v>East Obligation + Reserves</v>
      </c>
      <c r="O45" s="6">
        <f>+B27</f>
        <v>8881</v>
      </c>
      <c r="P45" s="6">
        <f t="shared" ref="P45:W45" si="10">+C27</f>
        <v>9325</v>
      </c>
      <c r="Q45" s="6">
        <f t="shared" si="10"/>
        <v>9643</v>
      </c>
      <c r="R45" s="6">
        <f t="shared" si="10"/>
        <v>9613</v>
      </c>
      <c r="S45" s="6">
        <f t="shared" si="10"/>
        <v>9844</v>
      </c>
      <c r="T45" s="6">
        <f t="shared" si="10"/>
        <v>10063</v>
      </c>
      <c r="U45" s="6">
        <f t="shared" si="10"/>
        <v>10165</v>
      </c>
      <c r="V45" s="6">
        <f t="shared" si="10"/>
        <v>10354</v>
      </c>
      <c r="W45" s="6">
        <f t="shared" si="10"/>
        <v>10544</v>
      </c>
      <c r="X45" s="6">
        <f>+K27</f>
        <v>10751</v>
      </c>
    </row>
    <row r="46" spans="1:24" x14ac:dyDescent="0.25">
      <c r="A46" t="s">
        <v>31</v>
      </c>
      <c r="B46" s="38">
        <v>7</v>
      </c>
      <c r="C46" s="38">
        <v>7</v>
      </c>
      <c r="D46" s="38">
        <v>7</v>
      </c>
      <c r="E46" s="38">
        <v>7</v>
      </c>
      <c r="F46" s="38">
        <v>7</v>
      </c>
      <c r="G46" s="38">
        <v>7</v>
      </c>
      <c r="H46" s="38">
        <v>7</v>
      </c>
      <c r="I46" s="38">
        <v>7</v>
      </c>
      <c r="J46" s="38">
        <v>7</v>
      </c>
      <c r="K46" s="38">
        <v>7</v>
      </c>
      <c r="P46" s="43">
        <f>(P45-O45)/O45</f>
        <v>4.9994370003377996E-2</v>
      </c>
      <c r="Q46" s="43">
        <f t="shared" ref="Q46:X46" si="11">(Q45-P45)/P45</f>
        <v>3.4101876675603215E-2</v>
      </c>
      <c r="R46" s="43">
        <f t="shared" si="11"/>
        <v>-3.1110650212589444E-3</v>
      </c>
      <c r="S46" s="43">
        <f t="shared" si="11"/>
        <v>2.4029959429938626E-2</v>
      </c>
      <c r="T46" s="29">
        <f t="shared" si="11"/>
        <v>2.2247054043071923E-2</v>
      </c>
      <c r="U46" s="29">
        <f t="shared" si="11"/>
        <v>1.0136142303488025E-2</v>
      </c>
      <c r="V46" s="29">
        <f t="shared" si="11"/>
        <v>1.8593212001967535E-2</v>
      </c>
      <c r="W46" s="29">
        <f t="shared" si="11"/>
        <v>1.8350395982229092E-2</v>
      </c>
      <c r="X46" s="29">
        <f t="shared" si="11"/>
        <v>1.9632018209408193E-2</v>
      </c>
    </row>
    <row r="47" spans="1:24" x14ac:dyDescent="0.25">
      <c r="A47" t="s">
        <v>17</v>
      </c>
      <c r="B47" s="38">
        <f t="shared" ref="B47:K47" si="12">+B46+B45</f>
        <v>358</v>
      </c>
      <c r="C47" s="38">
        <f t="shared" si="12"/>
        <v>447</v>
      </c>
      <c r="D47" s="38">
        <f t="shared" si="12"/>
        <v>439</v>
      </c>
      <c r="E47" s="38">
        <f t="shared" si="12"/>
        <v>459</v>
      </c>
      <c r="F47" s="38">
        <f t="shared" si="12"/>
        <v>453</v>
      </c>
      <c r="G47" s="38">
        <f t="shared" si="12"/>
        <v>452</v>
      </c>
      <c r="H47" s="38">
        <f t="shared" si="12"/>
        <v>454</v>
      </c>
      <c r="I47" s="38">
        <f t="shared" si="12"/>
        <v>461</v>
      </c>
      <c r="J47" s="38">
        <f t="shared" si="12"/>
        <v>461</v>
      </c>
      <c r="K47" s="38">
        <f t="shared" si="12"/>
        <v>472</v>
      </c>
      <c r="P47" s="42"/>
      <c r="Q47" s="42"/>
      <c r="R47" s="42"/>
      <c r="S47" s="42"/>
    </row>
    <row r="48" spans="1:24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t="str">
        <f>+A49</f>
        <v>West Obligation + Reserves</v>
      </c>
      <c r="O48" s="6">
        <f>+B49</f>
        <v>3914</v>
      </c>
      <c r="P48" s="24">
        <f t="shared" ref="P48:W48" si="13">+C49</f>
        <v>4079</v>
      </c>
      <c r="Q48" s="24">
        <f t="shared" si="13"/>
        <v>4092</v>
      </c>
      <c r="R48" s="24">
        <f t="shared" si="13"/>
        <v>4165</v>
      </c>
      <c r="S48" s="24">
        <f t="shared" si="13"/>
        <v>4102</v>
      </c>
      <c r="T48" s="6">
        <f t="shared" si="13"/>
        <v>4101</v>
      </c>
      <c r="U48" s="6">
        <f t="shared" si="13"/>
        <v>4145</v>
      </c>
      <c r="V48" s="6">
        <f t="shared" si="13"/>
        <v>4219</v>
      </c>
      <c r="W48" s="6">
        <f t="shared" si="13"/>
        <v>4235</v>
      </c>
      <c r="X48" s="6">
        <f>+K49</f>
        <v>4292</v>
      </c>
    </row>
    <row r="49" spans="1:24" x14ac:dyDescent="0.25">
      <c r="A49" t="s">
        <v>18</v>
      </c>
      <c r="B49" s="38">
        <f t="shared" ref="B49:K49" si="14">+B47+B43</f>
        <v>3914</v>
      </c>
      <c r="C49" s="38">
        <f t="shared" si="14"/>
        <v>4079</v>
      </c>
      <c r="D49" s="38">
        <f t="shared" si="14"/>
        <v>4092</v>
      </c>
      <c r="E49" s="38">
        <f t="shared" si="14"/>
        <v>4165</v>
      </c>
      <c r="F49" s="38">
        <f t="shared" si="14"/>
        <v>4102</v>
      </c>
      <c r="G49" s="38">
        <f t="shared" si="14"/>
        <v>4101</v>
      </c>
      <c r="H49" s="38">
        <f t="shared" si="14"/>
        <v>4145</v>
      </c>
      <c r="I49" s="38">
        <f t="shared" si="14"/>
        <v>4219</v>
      </c>
      <c r="J49" s="38">
        <f t="shared" si="14"/>
        <v>4235</v>
      </c>
      <c r="K49" s="38">
        <f t="shared" si="14"/>
        <v>4292</v>
      </c>
      <c r="P49" s="43">
        <f>(P48-O48)/O48</f>
        <v>4.2156361778231989E-2</v>
      </c>
      <c r="Q49" s="43">
        <f t="shared" ref="Q49:X49" si="15">(Q48-P48)/P48</f>
        <v>3.187055650894827E-3</v>
      </c>
      <c r="R49" s="43">
        <f t="shared" si="15"/>
        <v>1.7839687194525906E-2</v>
      </c>
      <c r="S49" s="43">
        <f t="shared" si="15"/>
        <v>-1.5126050420168067E-2</v>
      </c>
      <c r="T49" s="29">
        <f t="shared" si="15"/>
        <v>-2.4378352023403217E-4</v>
      </c>
      <c r="U49" s="29">
        <f t="shared" si="15"/>
        <v>1.0729090465740063E-2</v>
      </c>
      <c r="V49" s="29">
        <f t="shared" si="15"/>
        <v>1.7852834740651389E-2</v>
      </c>
      <c r="W49" s="29">
        <f t="shared" si="15"/>
        <v>3.7923678596823891E-3</v>
      </c>
      <c r="X49" s="29">
        <f t="shared" si="15"/>
        <v>1.345926800472255E-2</v>
      </c>
    </row>
    <row r="50" spans="1:24" x14ac:dyDescent="0.25">
      <c r="A50" t="s">
        <v>19</v>
      </c>
      <c r="B50" s="38">
        <f t="shared" ref="B50:K50" si="16">+B39-B49</f>
        <v>1</v>
      </c>
      <c r="C50" s="38">
        <f t="shared" si="16"/>
        <v>-567</v>
      </c>
      <c r="D50" s="38">
        <f t="shared" si="16"/>
        <v>-456</v>
      </c>
      <c r="E50" s="38">
        <f t="shared" si="16"/>
        <v>-676</v>
      </c>
      <c r="F50" s="38">
        <f t="shared" si="16"/>
        <v>-471</v>
      </c>
      <c r="G50" s="38">
        <f t="shared" si="16"/>
        <v>-653</v>
      </c>
      <c r="H50" s="38">
        <f t="shared" si="16"/>
        <v>-731</v>
      </c>
      <c r="I50" s="38">
        <f t="shared" si="16"/>
        <v>-535</v>
      </c>
      <c r="J50" s="38">
        <f t="shared" si="16"/>
        <v>-651</v>
      </c>
      <c r="K50" s="38">
        <f t="shared" si="16"/>
        <v>-878</v>
      </c>
      <c r="P50" s="42"/>
      <c r="Q50" s="42"/>
      <c r="R50" s="42"/>
      <c r="S50" s="42"/>
    </row>
    <row r="51" spans="1:24" x14ac:dyDescent="0.25">
      <c r="A51" t="s">
        <v>20</v>
      </c>
      <c r="B51" s="39">
        <f t="shared" ref="B51:K51" si="17">(B$39+(B$34+B$36)*$J$2-B$46)/B$43-1</f>
        <v>0.13028121484814403</v>
      </c>
      <c r="C51" s="39">
        <f t="shared" si="17"/>
        <v>-2.6126101321585882E-2</v>
      </c>
      <c r="D51" s="39">
        <f t="shared" si="17"/>
        <v>5.2094169176020166E-3</v>
      </c>
      <c r="E51" s="39">
        <f t="shared" si="17"/>
        <v>-5.2514840798704721E-2</v>
      </c>
      <c r="F51" s="39">
        <f t="shared" si="17"/>
        <v>1.0221978624280759E-3</v>
      </c>
      <c r="G51" s="39">
        <f t="shared" si="17"/>
        <v>-4.8986023568100889E-2</v>
      </c>
      <c r="H51" s="39">
        <f t="shared" si="17"/>
        <v>-6.7962611758331071E-2</v>
      </c>
      <c r="I51" s="5">
        <f t="shared" si="17"/>
        <v>-1.2248536455561565E-2</v>
      </c>
      <c r="J51" s="5">
        <f t="shared" si="17"/>
        <v>-4.2382087970323168E-2</v>
      </c>
      <c r="K51" s="5">
        <f t="shared" si="17"/>
        <v>-9.9879581151832486E-2</v>
      </c>
      <c r="L51" t="str">
        <f>+A58</f>
        <v>Obligation + Reserves</v>
      </c>
      <c r="O51" s="6">
        <f>+B58</f>
        <v>12795</v>
      </c>
      <c r="P51" s="24">
        <f t="shared" ref="P51:W51" si="18">+C58</f>
        <v>13404</v>
      </c>
      <c r="Q51" s="24">
        <f t="shared" si="18"/>
        <v>13735</v>
      </c>
      <c r="R51" s="24">
        <f t="shared" si="18"/>
        <v>13778</v>
      </c>
      <c r="S51" s="24">
        <f t="shared" si="18"/>
        <v>13946</v>
      </c>
      <c r="T51" s="6">
        <f t="shared" si="18"/>
        <v>14164</v>
      </c>
      <c r="U51" s="6">
        <f t="shared" si="18"/>
        <v>14310</v>
      </c>
      <c r="V51" s="6">
        <f t="shared" si="18"/>
        <v>14573</v>
      </c>
      <c r="W51" s="6">
        <f t="shared" si="18"/>
        <v>14779</v>
      </c>
      <c r="X51" s="6">
        <f>+K58</f>
        <v>15043</v>
      </c>
    </row>
    <row r="52" spans="1:24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P52" s="43">
        <f>(P51-O51)/O51</f>
        <v>4.7596717467760841E-2</v>
      </c>
      <c r="Q52" s="43">
        <f t="shared" ref="Q52:X52" si="19">(Q51-P51)/P51</f>
        <v>2.4694121157863326E-2</v>
      </c>
      <c r="R52" s="43">
        <f t="shared" si="19"/>
        <v>3.1306880232981433E-3</v>
      </c>
      <c r="S52" s="43">
        <f t="shared" si="19"/>
        <v>1.2193351720133546E-2</v>
      </c>
      <c r="T52" s="29">
        <f t="shared" si="19"/>
        <v>1.563172235766528E-2</v>
      </c>
      <c r="U52" s="29">
        <f t="shared" si="19"/>
        <v>1.0307822648969218E-2</v>
      </c>
      <c r="V52" s="29">
        <f t="shared" si="19"/>
        <v>1.8378756114605172E-2</v>
      </c>
      <c r="W52" s="29">
        <f t="shared" si="19"/>
        <v>1.4135730460440541E-2</v>
      </c>
      <c r="X52" s="29">
        <f t="shared" si="19"/>
        <v>1.7863184247919345E-2</v>
      </c>
    </row>
    <row r="53" spans="1:24" x14ac:dyDescent="0.25">
      <c r="A53" s="8" t="s">
        <v>34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24" x14ac:dyDescent="0.25">
      <c r="A54" t="s">
        <v>21</v>
      </c>
      <c r="B54" s="3">
        <f t="shared" ref="B54:K54" si="20">+B17+B39</f>
        <v>12468</v>
      </c>
      <c r="C54" s="3">
        <f t="shared" si="20"/>
        <v>11803</v>
      </c>
      <c r="D54" s="3">
        <f t="shared" si="20"/>
        <v>11810</v>
      </c>
      <c r="E54" s="3">
        <f t="shared" si="20"/>
        <v>11404</v>
      </c>
      <c r="F54" s="3">
        <f t="shared" si="20"/>
        <v>11400</v>
      </c>
      <c r="G54" s="3">
        <f>+G17+G39</f>
        <v>11397</v>
      </c>
      <c r="H54" s="3">
        <f t="shared" si="20"/>
        <v>11412</v>
      </c>
      <c r="I54" s="3">
        <f t="shared" si="20"/>
        <v>11434</v>
      </c>
      <c r="J54" s="3">
        <f t="shared" si="20"/>
        <v>11395</v>
      </c>
      <c r="K54" s="3">
        <f t="shared" si="20"/>
        <v>11192</v>
      </c>
    </row>
    <row r="55" spans="1:24" x14ac:dyDescent="0.25">
      <c r="A55" t="s">
        <v>35</v>
      </c>
      <c r="B55" s="3">
        <v>2</v>
      </c>
      <c r="C55" s="3">
        <v>0</v>
      </c>
      <c r="D55" s="3">
        <v>2</v>
      </c>
      <c r="E55" s="3">
        <v>1</v>
      </c>
      <c r="F55" s="3">
        <v>-1</v>
      </c>
      <c r="G55" s="3">
        <v>0</v>
      </c>
      <c r="H55" s="3">
        <v>0</v>
      </c>
      <c r="I55" s="3">
        <v>-1</v>
      </c>
      <c r="J55" s="3">
        <v>1</v>
      </c>
      <c r="K55" s="3">
        <v>1</v>
      </c>
    </row>
    <row r="56" spans="1:24" x14ac:dyDescent="0.25">
      <c r="A56" t="s">
        <v>36</v>
      </c>
      <c r="B56" s="3">
        <f t="shared" ref="B56:K56" si="21">+B43+B21</f>
        <v>11498</v>
      </c>
      <c r="C56" s="3">
        <f t="shared" si="21"/>
        <v>11973</v>
      </c>
      <c r="D56" s="3">
        <f t="shared" si="21"/>
        <v>12264</v>
      </c>
      <c r="E56" s="3">
        <f t="shared" si="21"/>
        <v>12256</v>
      </c>
      <c r="F56" s="3">
        <f t="shared" si="21"/>
        <v>12403</v>
      </c>
      <c r="G56" s="3">
        <f t="shared" si="21"/>
        <v>12595</v>
      </c>
      <c r="H56" s="3">
        <f t="shared" si="21"/>
        <v>12727</v>
      </c>
      <c r="I56" s="3">
        <f t="shared" si="21"/>
        <v>12961</v>
      </c>
      <c r="J56" s="3">
        <f t="shared" si="21"/>
        <v>13145</v>
      </c>
      <c r="K56" s="3">
        <f t="shared" si="21"/>
        <v>13375</v>
      </c>
    </row>
    <row r="57" spans="1:24" x14ac:dyDescent="0.25">
      <c r="A57" t="s">
        <v>22</v>
      </c>
      <c r="B57" s="3">
        <f t="shared" ref="B57:K57" si="22">+B25+B47</f>
        <v>1297</v>
      </c>
      <c r="C57" s="3">
        <f t="shared" si="22"/>
        <v>1431</v>
      </c>
      <c r="D57" s="3">
        <f t="shared" si="22"/>
        <v>1471</v>
      </c>
      <c r="E57" s="3">
        <f t="shared" si="22"/>
        <v>1522</v>
      </c>
      <c r="F57" s="3">
        <f t="shared" si="22"/>
        <v>1543</v>
      </c>
      <c r="G57" s="3">
        <f t="shared" si="22"/>
        <v>1569</v>
      </c>
      <c r="H57" s="3">
        <f t="shared" si="22"/>
        <v>1583</v>
      </c>
      <c r="I57" s="3">
        <f t="shared" si="22"/>
        <v>1612</v>
      </c>
      <c r="J57" s="3">
        <f t="shared" si="22"/>
        <v>1634</v>
      </c>
      <c r="K57" s="3">
        <f t="shared" si="22"/>
        <v>1668</v>
      </c>
    </row>
    <row r="58" spans="1:24" x14ac:dyDescent="0.25">
      <c r="A58" t="s">
        <v>37</v>
      </c>
      <c r="B58" s="3">
        <f t="shared" ref="B58:K58" si="23">+B57+B56</f>
        <v>12795</v>
      </c>
      <c r="C58" s="3">
        <f t="shared" si="23"/>
        <v>13404</v>
      </c>
      <c r="D58" s="3">
        <f t="shared" si="23"/>
        <v>13735</v>
      </c>
      <c r="E58" s="3">
        <f t="shared" si="23"/>
        <v>13778</v>
      </c>
      <c r="F58" s="3">
        <f t="shared" si="23"/>
        <v>13946</v>
      </c>
      <c r="G58" s="3">
        <f t="shared" si="23"/>
        <v>14164</v>
      </c>
      <c r="H58" s="3">
        <f t="shared" si="23"/>
        <v>14310</v>
      </c>
      <c r="I58" s="3">
        <f t="shared" si="23"/>
        <v>14573</v>
      </c>
      <c r="J58" s="3">
        <f t="shared" si="23"/>
        <v>14779</v>
      </c>
      <c r="K58" s="3">
        <f t="shared" si="23"/>
        <v>15043</v>
      </c>
    </row>
    <row r="59" spans="1:24" x14ac:dyDescent="0.25">
      <c r="A59" t="s">
        <v>38</v>
      </c>
      <c r="B59" s="3">
        <f t="shared" ref="B59:K59" si="24">+B54+B55-B58</f>
        <v>-325</v>
      </c>
      <c r="C59" s="3">
        <f t="shared" si="24"/>
        <v>-1601</v>
      </c>
      <c r="D59" s="3">
        <f t="shared" si="24"/>
        <v>-1923</v>
      </c>
      <c r="E59" s="3">
        <f t="shared" si="24"/>
        <v>-2373</v>
      </c>
      <c r="F59" s="3">
        <f t="shared" si="24"/>
        <v>-2547</v>
      </c>
      <c r="G59" s="3">
        <f t="shared" si="24"/>
        <v>-2767</v>
      </c>
      <c r="H59" s="3">
        <f t="shared" si="24"/>
        <v>-2898</v>
      </c>
      <c r="I59" s="3">
        <f t="shared" si="24"/>
        <v>-3140</v>
      </c>
      <c r="J59" s="3">
        <f t="shared" si="24"/>
        <v>-3383</v>
      </c>
      <c r="K59" s="3">
        <f t="shared" si="24"/>
        <v>-3850</v>
      </c>
    </row>
    <row r="60" spans="1:24" x14ac:dyDescent="0.25">
      <c r="A60" t="s">
        <v>23</v>
      </c>
      <c r="B60" s="5">
        <f t="shared" ref="B60:K60" si="25">(B$54+(B$11+B$13+B$15+B$34+B$36)*$J$2-B$24-B$46)/B$56-1</f>
        <v>0.10037223865019995</v>
      </c>
      <c r="C60" s="5">
        <f t="shared" si="25"/>
        <v>-6.008519168128279E-3</v>
      </c>
      <c r="D60" s="5">
        <f t="shared" si="25"/>
        <v>-2.961105675146769E-2</v>
      </c>
      <c r="E60" s="5">
        <f t="shared" si="25"/>
        <v>-6.6644908616187881E-2</v>
      </c>
      <c r="F60" s="5">
        <f t="shared" si="25"/>
        <v>-7.8323792630815237E-2</v>
      </c>
      <c r="G60" s="5">
        <f t="shared" si="25"/>
        <v>-9.302580389043269E-2</v>
      </c>
      <c r="H60" s="5">
        <f t="shared" si="25"/>
        <v>-0.1010261648463896</v>
      </c>
      <c r="I60" s="5">
        <f t="shared" si="25"/>
        <v>-0.11557287246354453</v>
      </c>
      <c r="J60" s="5">
        <f t="shared" si="25"/>
        <v>-0.13091365538227462</v>
      </c>
      <c r="K60" s="5">
        <f t="shared" si="25"/>
        <v>-0.16167850467289724</v>
      </c>
      <c r="Q60" s="31"/>
      <c r="R60" s="31"/>
      <c r="S60" s="31"/>
      <c r="T60" s="31"/>
    </row>
    <row r="61" spans="1:24" x14ac:dyDescent="0.25">
      <c r="B61" s="3"/>
      <c r="C61" s="3"/>
      <c r="D61" s="3"/>
      <c r="E61" s="3"/>
      <c r="F61" s="3"/>
      <c r="G61" s="3"/>
      <c r="H61" s="3"/>
      <c r="I61" s="3"/>
    </row>
    <row r="62" spans="1:24" x14ac:dyDescent="0.25">
      <c r="A62" t="s">
        <v>68</v>
      </c>
      <c r="C62" s="40">
        <f>+C82</f>
        <v>-5.3336541546358675E-2</v>
      </c>
      <c r="D62" s="40">
        <f t="shared" ref="D62:K62" si="26">+D82</f>
        <v>5.9306955858679997E-4</v>
      </c>
      <c r="E62" s="40">
        <f t="shared" si="26"/>
        <v>-3.4377646062658765E-2</v>
      </c>
      <c r="F62" s="40">
        <f t="shared" si="26"/>
        <v>-3.5075412136092597E-4</v>
      </c>
      <c r="G62" s="31">
        <f t="shared" si="26"/>
        <v>-2.631578947368421E-4</v>
      </c>
      <c r="H62" s="31">
        <f t="shared" si="26"/>
        <v>1.3161358252171624E-3</v>
      </c>
      <c r="I62" s="31">
        <f t="shared" si="26"/>
        <v>1.927795303189625E-3</v>
      </c>
      <c r="J62" s="31">
        <f t="shared" si="26"/>
        <v>-3.4108798320797622E-3</v>
      </c>
      <c r="K62" s="31">
        <f t="shared" si="26"/>
        <v>-1.7814831066257131E-2</v>
      </c>
    </row>
    <row r="63" spans="1:24" x14ac:dyDescent="0.25">
      <c r="B63" s="18"/>
      <c r="C63" s="41"/>
      <c r="D63" s="41"/>
      <c r="E63" s="41"/>
      <c r="F63" s="42"/>
    </row>
    <row r="64" spans="1:24" x14ac:dyDescent="0.25">
      <c r="A64" t="s">
        <v>69</v>
      </c>
      <c r="C64" s="40">
        <f>+C86</f>
        <v>4.7596717467760841E-2</v>
      </c>
      <c r="D64" s="40">
        <f t="shared" ref="D64:K64" si="27">+D86</f>
        <v>2.4694121157863326E-2</v>
      </c>
      <c r="E64" s="40">
        <f t="shared" si="27"/>
        <v>3.1306880232981433E-3</v>
      </c>
      <c r="F64" s="40">
        <f t="shared" si="27"/>
        <v>1.2193351720133546E-2</v>
      </c>
      <c r="G64" s="31">
        <f t="shared" si="27"/>
        <v>1.563172235766528E-2</v>
      </c>
      <c r="H64" s="31">
        <f t="shared" si="27"/>
        <v>1.0307822648969218E-2</v>
      </c>
      <c r="I64" s="31">
        <f t="shared" si="27"/>
        <v>1.8378756114605172E-2</v>
      </c>
      <c r="J64" s="31">
        <f t="shared" si="27"/>
        <v>1.4135730460440541E-2</v>
      </c>
      <c r="K64" s="31">
        <f t="shared" si="27"/>
        <v>1.7863184247919345E-2</v>
      </c>
    </row>
    <row r="65" spans="1:24" x14ac:dyDescent="0.25">
      <c r="C65" s="42"/>
      <c r="D65" s="42"/>
      <c r="E65" s="42"/>
      <c r="F65" s="42"/>
    </row>
    <row r="66" spans="1:24" x14ac:dyDescent="0.25">
      <c r="L66" t="s">
        <v>73</v>
      </c>
      <c r="O66" s="6">
        <f>+O51</f>
        <v>12795</v>
      </c>
      <c r="P66" s="17">
        <f>+O66*(1+P67)</f>
        <v>12986.924999999999</v>
      </c>
      <c r="Q66" s="17">
        <f>+P66*(1+Q67)</f>
        <v>13181.728874999999</v>
      </c>
      <c r="R66" s="17">
        <f t="shared" ref="R66:X66" si="28">+Q66*(1+R67)</f>
        <v>13379.454808124998</v>
      </c>
      <c r="S66" s="17">
        <f t="shared" si="28"/>
        <v>13580.146630246871</v>
      </c>
      <c r="T66" s="17">
        <f t="shared" si="28"/>
        <v>13783.848829700573</v>
      </c>
      <c r="U66" s="17">
        <f t="shared" si="28"/>
        <v>13990.60656214608</v>
      </c>
      <c r="V66" s="17">
        <f t="shared" si="28"/>
        <v>14200.465660578269</v>
      </c>
      <c r="W66" s="17">
        <f t="shared" si="28"/>
        <v>14413.472645486941</v>
      </c>
      <c r="X66" s="17">
        <f t="shared" si="28"/>
        <v>14629.674735169245</v>
      </c>
    </row>
    <row r="67" spans="1:24" x14ac:dyDescent="0.25">
      <c r="P67" s="29">
        <v>1.4999999999999999E-2</v>
      </c>
      <c r="Q67" s="29">
        <f>+P67</f>
        <v>1.4999999999999999E-2</v>
      </c>
      <c r="R67" s="29">
        <f t="shared" ref="R67:X67" si="29">+Q67</f>
        <v>1.4999999999999999E-2</v>
      </c>
      <c r="S67" s="29">
        <f t="shared" si="29"/>
        <v>1.4999999999999999E-2</v>
      </c>
      <c r="T67" s="29">
        <f t="shared" si="29"/>
        <v>1.4999999999999999E-2</v>
      </c>
      <c r="U67" s="29">
        <f t="shared" si="29"/>
        <v>1.4999999999999999E-2</v>
      </c>
      <c r="V67" s="29">
        <f t="shared" si="29"/>
        <v>1.4999999999999999E-2</v>
      </c>
      <c r="W67" s="29">
        <f t="shared" si="29"/>
        <v>1.4999999999999999E-2</v>
      </c>
      <c r="X67" s="29">
        <f t="shared" si="29"/>
        <v>1.4999999999999999E-2</v>
      </c>
    </row>
    <row r="69" spans="1:24" x14ac:dyDescent="0.25">
      <c r="A69" t="str">
        <f>+A17</f>
        <v>East Existing Resources</v>
      </c>
      <c r="B69" s="17">
        <f t="shared" ref="B69:K69" si="30">+B17</f>
        <v>8553</v>
      </c>
      <c r="C69" s="17">
        <f t="shared" si="30"/>
        <v>8291</v>
      </c>
      <c r="D69" s="17">
        <f t="shared" si="30"/>
        <v>8174</v>
      </c>
      <c r="E69" s="17">
        <f t="shared" si="30"/>
        <v>7915</v>
      </c>
      <c r="F69" s="17">
        <f t="shared" si="30"/>
        <v>7769</v>
      </c>
      <c r="G69" s="17">
        <f t="shared" si="30"/>
        <v>7949</v>
      </c>
      <c r="H69" s="17">
        <f t="shared" si="30"/>
        <v>7998</v>
      </c>
      <c r="I69" s="17">
        <f t="shared" si="30"/>
        <v>7750</v>
      </c>
      <c r="J69" s="17">
        <f t="shared" si="30"/>
        <v>7811</v>
      </c>
      <c r="K69" s="17">
        <f t="shared" si="30"/>
        <v>7778</v>
      </c>
    </row>
    <row r="70" spans="1:24" x14ac:dyDescent="0.25">
      <c r="B70" s="17"/>
      <c r="C70" s="29">
        <f>(C69-B69)/B69</f>
        <v>-3.0632526598854203E-2</v>
      </c>
      <c r="D70" s="29">
        <f t="shared" ref="D70:K70" si="31">(D69-C69)/C69</f>
        <v>-1.4111687371848992E-2</v>
      </c>
      <c r="E70" s="29">
        <f t="shared" si="31"/>
        <v>-3.1685833129434793E-2</v>
      </c>
      <c r="F70" s="29">
        <f t="shared" si="31"/>
        <v>-1.8445988629185093E-2</v>
      </c>
      <c r="G70" s="29">
        <f t="shared" si="31"/>
        <v>2.3169005019951089E-2</v>
      </c>
      <c r="H70" s="29">
        <f t="shared" si="31"/>
        <v>6.1642973958988554E-3</v>
      </c>
      <c r="I70" s="29">
        <f t="shared" si="31"/>
        <v>-3.1007751937984496E-2</v>
      </c>
      <c r="J70" s="29">
        <f t="shared" si="31"/>
        <v>7.8709677419354831E-3</v>
      </c>
      <c r="K70" s="29">
        <f t="shared" si="31"/>
        <v>-4.2248111637434391E-3</v>
      </c>
    </row>
    <row r="71" spans="1:24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24" x14ac:dyDescent="0.25">
      <c r="A72" t="str">
        <f>+A27</f>
        <v>East Obligation + Reserves</v>
      </c>
      <c r="B72" s="17">
        <f t="shared" ref="B72:K72" si="32">+B27</f>
        <v>8881</v>
      </c>
      <c r="C72" s="17">
        <f t="shared" si="32"/>
        <v>9325</v>
      </c>
      <c r="D72" s="17">
        <f t="shared" si="32"/>
        <v>9643</v>
      </c>
      <c r="E72" s="17">
        <f t="shared" si="32"/>
        <v>9613</v>
      </c>
      <c r="F72" s="17">
        <f t="shared" si="32"/>
        <v>9844</v>
      </c>
      <c r="G72" s="17">
        <f t="shared" si="32"/>
        <v>10063</v>
      </c>
      <c r="H72" s="17">
        <f t="shared" si="32"/>
        <v>10165</v>
      </c>
      <c r="I72" s="17">
        <f t="shared" si="32"/>
        <v>10354</v>
      </c>
      <c r="J72" s="17">
        <f t="shared" si="32"/>
        <v>10544</v>
      </c>
      <c r="K72" s="17">
        <f t="shared" si="32"/>
        <v>10751</v>
      </c>
    </row>
    <row r="73" spans="1:24" x14ac:dyDescent="0.25">
      <c r="B73" s="17"/>
      <c r="C73" s="29">
        <f>(C72-B72)/B72</f>
        <v>4.9994370003377996E-2</v>
      </c>
      <c r="D73" s="29">
        <f t="shared" ref="D73:K73" si="33">(D72-C72)/C72</f>
        <v>3.4101876675603215E-2</v>
      </c>
      <c r="E73" s="29">
        <f t="shared" si="33"/>
        <v>-3.1110650212589444E-3</v>
      </c>
      <c r="F73" s="29">
        <f t="shared" si="33"/>
        <v>2.4029959429938626E-2</v>
      </c>
      <c r="G73" s="29">
        <f t="shared" si="33"/>
        <v>2.2247054043071923E-2</v>
      </c>
      <c r="H73" s="29">
        <f t="shared" si="33"/>
        <v>1.0136142303488025E-2</v>
      </c>
      <c r="I73" s="29">
        <f t="shared" si="33"/>
        <v>1.8593212001967535E-2</v>
      </c>
      <c r="J73" s="29">
        <f t="shared" si="33"/>
        <v>1.8350395982229092E-2</v>
      </c>
      <c r="K73" s="29">
        <f t="shared" si="33"/>
        <v>1.9632018209408193E-2</v>
      </c>
    </row>
    <row r="74" spans="1:24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24" x14ac:dyDescent="0.25">
      <c r="A75" t="str">
        <f>+A39</f>
        <v>West Existing Resources</v>
      </c>
      <c r="B75" s="17">
        <f t="shared" ref="B75:K75" si="34">+B39</f>
        <v>3915</v>
      </c>
      <c r="C75" s="17">
        <f t="shared" si="34"/>
        <v>3512</v>
      </c>
      <c r="D75" s="17">
        <f t="shared" si="34"/>
        <v>3636</v>
      </c>
      <c r="E75" s="17">
        <f t="shared" si="34"/>
        <v>3489</v>
      </c>
      <c r="F75" s="17">
        <f t="shared" si="34"/>
        <v>3631</v>
      </c>
      <c r="G75" s="17">
        <f t="shared" si="34"/>
        <v>3448</v>
      </c>
      <c r="H75" s="17">
        <f t="shared" si="34"/>
        <v>3414</v>
      </c>
      <c r="I75" s="17">
        <f t="shared" si="34"/>
        <v>3684</v>
      </c>
      <c r="J75" s="17">
        <f t="shared" si="34"/>
        <v>3584</v>
      </c>
      <c r="K75" s="17">
        <f t="shared" si="34"/>
        <v>3414</v>
      </c>
    </row>
    <row r="76" spans="1:24" x14ac:dyDescent="0.25">
      <c r="B76" s="17"/>
      <c r="C76" s="29">
        <f>(C75-B75)/B75</f>
        <v>-0.10293742017879949</v>
      </c>
      <c r="D76" s="29">
        <f t="shared" ref="D76:K76" si="35">(D75-C75)/C75</f>
        <v>3.530751708428246E-2</v>
      </c>
      <c r="E76" s="29">
        <f t="shared" si="35"/>
        <v>-4.0429042904290426E-2</v>
      </c>
      <c r="F76" s="29">
        <f t="shared" si="35"/>
        <v>4.0699340785325305E-2</v>
      </c>
      <c r="G76" s="29">
        <f t="shared" si="35"/>
        <v>-5.0399339025061968E-2</v>
      </c>
      <c r="H76" s="29">
        <f t="shared" si="35"/>
        <v>-9.8607888631090483E-3</v>
      </c>
      <c r="I76" s="29">
        <f t="shared" si="35"/>
        <v>7.9086115992970121E-2</v>
      </c>
      <c r="J76" s="29">
        <f t="shared" si="35"/>
        <v>-2.714440825190011E-2</v>
      </c>
      <c r="K76" s="29">
        <f t="shared" si="35"/>
        <v>-4.7433035714285712E-2</v>
      </c>
    </row>
    <row r="77" spans="1:24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24" x14ac:dyDescent="0.25">
      <c r="A78" t="str">
        <f>+A49</f>
        <v>West Obligation + Reserves</v>
      </c>
      <c r="B78" s="17">
        <f t="shared" ref="B78:K78" si="36">+B49</f>
        <v>3914</v>
      </c>
      <c r="C78" s="17">
        <f t="shared" si="36"/>
        <v>4079</v>
      </c>
      <c r="D78" s="17">
        <f t="shared" si="36"/>
        <v>4092</v>
      </c>
      <c r="E78" s="17">
        <f t="shared" si="36"/>
        <v>4165</v>
      </c>
      <c r="F78" s="17">
        <f t="shared" si="36"/>
        <v>4102</v>
      </c>
      <c r="G78" s="17">
        <f t="shared" si="36"/>
        <v>4101</v>
      </c>
      <c r="H78" s="17">
        <f t="shared" si="36"/>
        <v>4145</v>
      </c>
      <c r="I78" s="17">
        <f t="shared" si="36"/>
        <v>4219</v>
      </c>
      <c r="J78" s="17">
        <f t="shared" si="36"/>
        <v>4235</v>
      </c>
      <c r="K78" s="17">
        <f t="shared" si="36"/>
        <v>4292</v>
      </c>
    </row>
    <row r="79" spans="1:24" x14ac:dyDescent="0.25">
      <c r="B79" s="17"/>
      <c r="C79" s="29">
        <f>(C78-B78)/B78</f>
        <v>4.2156361778231989E-2</v>
      </c>
      <c r="D79" s="29">
        <f t="shared" ref="D79:K79" si="37">(D78-C78)/C78</f>
        <v>3.187055650894827E-3</v>
      </c>
      <c r="E79" s="29">
        <f t="shared" si="37"/>
        <v>1.7839687194525906E-2</v>
      </c>
      <c r="F79" s="29">
        <f t="shared" si="37"/>
        <v>-1.5126050420168067E-2</v>
      </c>
      <c r="G79" s="29">
        <f t="shared" si="37"/>
        <v>-2.4378352023403217E-4</v>
      </c>
      <c r="H79" s="29">
        <f t="shared" si="37"/>
        <v>1.0729090465740063E-2</v>
      </c>
      <c r="I79" s="29">
        <f t="shared" si="37"/>
        <v>1.7852834740651389E-2</v>
      </c>
      <c r="J79" s="29">
        <f t="shared" si="37"/>
        <v>3.7923678596823891E-3</v>
      </c>
      <c r="K79" s="29">
        <f t="shared" si="37"/>
        <v>1.345926800472255E-2</v>
      </c>
    </row>
    <row r="80" spans="1:24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3" x14ac:dyDescent="0.25">
      <c r="A81" t="str">
        <f>+A54</f>
        <v>Total Resources</v>
      </c>
      <c r="B81" s="17">
        <f t="shared" ref="B81:K81" si="38">+B54</f>
        <v>12468</v>
      </c>
      <c r="C81" s="17">
        <f t="shared" si="38"/>
        <v>11803</v>
      </c>
      <c r="D81" s="17">
        <f t="shared" si="38"/>
        <v>11810</v>
      </c>
      <c r="E81" s="17">
        <f t="shared" si="38"/>
        <v>11404</v>
      </c>
      <c r="F81" s="17">
        <f t="shared" si="38"/>
        <v>11400</v>
      </c>
      <c r="G81" s="17">
        <f t="shared" si="38"/>
        <v>11397</v>
      </c>
      <c r="H81" s="17">
        <f t="shared" si="38"/>
        <v>11412</v>
      </c>
      <c r="I81" s="17">
        <f t="shared" si="38"/>
        <v>11434</v>
      </c>
      <c r="J81" s="17">
        <f t="shared" si="38"/>
        <v>11395</v>
      </c>
      <c r="K81" s="17">
        <f t="shared" si="38"/>
        <v>11192</v>
      </c>
    </row>
    <row r="82" spans="1:13" x14ac:dyDescent="0.25">
      <c r="B82" s="17"/>
      <c r="C82" s="29">
        <f>(C81-B81)/B81</f>
        <v>-5.3336541546358675E-2</v>
      </c>
      <c r="D82" s="29">
        <f t="shared" ref="D82:K82" si="39">(D81-C81)/C81</f>
        <v>5.9306955858679997E-4</v>
      </c>
      <c r="E82" s="29">
        <f t="shared" si="39"/>
        <v>-3.4377646062658765E-2</v>
      </c>
      <c r="F82" s="29">
        <f t="shared" si="39"/>
        <v>-3.5075412136092597E-4</v>
      </c>
      <c r="G82" s="29">
        <f t="shared" si="39"/>
        <v>-2.631578947368421E-4</v>
      </c>
      <c r="H82" s="29">
        <f t="shared" si="39"/>
        <v>1.3161358252171624E-3</v>
      </c>
      <c r="I82" s="29">
        <f t="shared" si="39"/>
        <v>1.927795303189625E-3</v>
      </c>
      <c r="J82" s="29">
        <f t="shared" si="39"/>
        <v>-3.4108798320797622E-3</v>
      </c>
      <c r="K82" s="29">
        <f t="shared" si="39"/>
        <v>-1.7814831066257131E-2</v>
      </c>
    </row>
    <row r="83" spans="1:13" x14ac:dyDescent="0.25">
      <c r="B83" s="17"/>
      <c r="C83" s="17">
        <f>+C81-B81</f>
        <v>-665</v>
      </c>
      <c r="D83" s="17">
        <f t="shared" ref="D83:K83" si="40">+D81-C81</f>
        <v>7</v>
      </c>
      <c r="E83" s="17">
        <f t="shared" si="40"/>
        <v>-406</v>
      </c>
      <c r="F83" s="17">
        <f t="shared" si="40"/>
        <v>-4</v>
      </c>
      <c r="G83" s="17">
        <f t="shared" si="40"/>
        <v>-3</v>
      </c>
      <c r="H83" s="17">
        <f t="shared" si="40"/>
        <v>15</v>
      </c>
      <c r="I83" s="17">
        <f t="shared" si="40"/>
        <v>22</v>
      </c>
      <c r="J83" s="17">
        <f t="shared" si="40"/>
        <v>-39</v>
      </c>
      <c r="K83" s="17">
        <f t="shared" si="40"/>
        <v>-203</v>
      </c>
    </row>
    <row r="84" spans="1:13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3" x14ac:dyDescent="0.25">
      <c r="A85" t="str">
        <f>+A58</f>
        <v>Obligation + Reserves</v>
      </c>
      <c r="B85" s="17">
        <f t="shared" ref="B85:K85" si="41">+B58</f>
        <v>12795</v>
      </c>
      <c r="C85" s="17">
        <f t="shared" si="41"/>
        <v>13404</v>
      </c>
      <c r="D85" s="17">
        <f t="shared" si="41"/>
        <v>13735</v>
      </c>
      <c r="E85" s="17">
        <f t="shared" si="41"/>
        <v>13778</v>
      </c>
      <c r="F85" s="17">
        <f t="shared" si="41"/>
        <v>13946</v>
      </c>
      <c r="G85" s="17">
        <f t="shared" si="41"/>
        <v>14164</v>
      </c>
      <c r="H85" s="17">
        <f t="shared" si="41"/>
        <v>14310</v>
      </c>
      <c r="I85" s="17">
        <f t="shared" si="41"/>
        <v>14573</v>
      </c>
      <c r="J85" s="17">
        <f t="shared" si="41"/>
        <v>14779</v>
      </c>
      <c r="K85" s="17">
        <f t="shared" si="41"/>
        <v>15043</v>
      </c>
    </row>
    <row r="86" spans="1:13" x14ac:dyDescent="0.25">
      <c r="C86" s="29">
        <f>(C85-B85)/B85</f>
        <v>4.7596717467760841E-2</v>
      </c>
      <c r="D86" s="29">
        <f t="shared" ref="D86:K86" si="42">(D85-C85)/C85</f>
        <v>2.4694121157863326E-2</v>
      </c>
      <c r="E86" s="29">
        <f t="shared" si="42"/>
        <v>3.1306880232981433E-3</v>
      </c>
      <c r="F86" s="29">
        <f t="shared" si="42"/>
        <v>1.2193351720133546E-2</v>
      </c>
      <c r="G86" s="29">
        <f t="shared" si="42"/>
        <v>1.563172235766528E-2</v>
      </c>
      <c r="H86" s="29">
        <f t="shared" si="42"/>
        <v>1.0307822648969218E-2</v>
      </c>
      <c r="I86" s="29">
        <f t="shared" si="42"/>
        <v>1.8378756114605172E-2</v>
      </c>
      <c r="J86" s="29">
        <f t="shared" si="42"/>
        <v>1.4135730460440541E-2</v>
      </c>
      <c r="K86" s="29">
        <f t="shared" si="42"/>
        <v>1.7863184247919345E-2</v>
      </c>
    </row>
    <row r="87" spans="1:13" x14ac:dyDescent="0.25">
      <c r="C87" s="17">
        <f t="shared" ref="C87:K87" si="43">+C85-B85</f>
        <v>609</v>
      </c>
      <c r="D87" s="17">
        <f t="shared" si="43"/>
        <v>331</v>
      </c>
      <c r="E87" s="17">
        <f t="shared" si="43"/>
        <v>43</v>
      </c>
      <c r="F87" s="17">
        <f t="shared" si="43"/>
        <v>168</v>
      </c>
      <c r="G87" s="17">
        <f t="shared" si="43"/>
        <v>218</v>
      </c>
      <c r="H87" s="17">
        <f t="shared" si="43"/>
        <v>146</v>
      </c>
      <c r="I87" s="17">
        <f t="shared" si="43"/>
        <v>263</v>
      </c>
      <c r="J87" s="17">
        <f t="shared" si="43"/>
        <v>206</v>
      </c>
      <c r="K87" s="17">
        <f t="shared" si="43"/>
        <v>264</v>
      </c>
    </row>
    <row r="89" spans="1:13" x14ac:dyDescent="0.25">
      <c r="C89" s="26">
        <f>+C87+C83</f>
        <v>-56</v>
      </c>
      <c r="D89" s="26">
        <f>+D87+D83</f>
        <v>338</v>
      </c>
      <c r="E89" s="26">
        <f t="shared" ref="E89:K89" si="44">+E87+E83</f>
        <v>-363</v>
      </c>
      <c r="F89" s="26">
        <f t="shared" si="44"/>
        <v>164</v>
      </c>
      <c r="G89" s="26">
        <f t="shared" si="44"/>
        <v>215</v>
      </c>
      <c r="H89" s="26">
        <f t="shared" si="44"/>
        <v>161</v>
      </c>
      <c r="I89" s="26">
        <f t="shared" si="44"/>
        <v>285</v>
      </c>
      <c r="J89" s="26">
        <f t="shared" si="44"/>
        <v>167</v>
      </c>
      <c r="K89" s="26">
        <f t="shared" si="44"/>
        <v>61</v>
      </c>
    </row>
    <row r="91" spans="1:13" x14ac:dyDescent="0.25">
      <c r="A91" t="s">
        <v>8</v>
      </c>
      <c r="B91" s="6">
        <f t="shared" ref="B91:K91" si="45">+B19+B41</f>
        <v>10450</v>
      </c>
      <c r="C91" s="6">
        <f t="shared" si="45"/>
        <v>10718</v>
      </c>
      <c r="D91" s="6">
        <f t="shared" si="45"/>
        <v>10961</v>
      </c>
      <c r="E91" s="6">
        <f t="shared" si="45"/>
        <v>11253</v>
      </c>
      <c r="F91" s="6">
        <f t="shared" si="45"/>
        <v>11500</v>
      </c>
      <c r="G91" s="6">
        <f t="shared" si="45"/>
        <v>11742</v>
      </c>
      <c r="H91" s="6">
        <f t="shared" si="45"/>
        <v>11960</v>
      </c>
      <c r="I91" s="6">
        <f t="shared" si="45"/>
        <v>12194</v>
      </c>
      <c r="J91" s="6">
        <f t="shared" si="45"/>
        <v>12378</v>
      </c>
      <c r="K91" s="6">
        <f t="shared" si="45"/>
        <v>12608</v>
      </c>
      <c r="M91" s="18">
        <f>((K91-B91)/B91)/9</f>
        <v>2.2945241892610314E-2</v>
      </c>
    </row>
    <row r="92" spans="1:13" x14ac:dyDescent="0.25">
      <c r="C92" s="18">
        <f>(C91-B91)/B91</f>
        <v>2.5645933014354066E-2</v>
      </c>
      <c r="D92" s="18">
        <f t="shared" ref="D92:K92" si="46">(D91-C91)/C91</f>
        <v>2.267214032468744E-2</v>
      </c>
      <c r="E92" s="18">
        <f t="shared" si="46"/>
        <v>2.6639905118146155E-2</v>
      </c>
      <c r="F92" s="18">
        <f t="shared" si="46"/>
        <v>2.1949702301608458E-2</v>
      </c>
      <c r="G92" s="18">
        <f t="shared" si="46"/>
        <v>2.1043478260869566E-2</v>
      </c>
      <c r="H92" s="18">
        <f t="shared" si="46"/>
        <v>1.8565832055867825E-2</v>
      </c>
      <c r="I92" s="18">
        <f t="shared" si="46"/>
        <v>1.9565217391304349E-2</v>
      </c>
      <c r="J92" s="18">
        <f t="shared" si="46"/>
        <v>1.5089388223716582E-2</v>
      </c>
      <c r="K92" s="18">
        <f t="shared" si="46"/>
        <v>1.8581354015188237E-2</v>
      </c>
      <c r="M92" s="25">
        <f>AVERAGE(C92:K92)</f>
        <v>2.1083661189526964E-2</v>
      </c>
    </row>
    <row r="94" spans="1:13" x14ac:dyDescent="0.25">
      <c r="C94" s="18">
        <v>2.87239071427755E-2</v>
      </c>
      <c r="D94" s="18">
        <v>3.5256368979479896E-2</v>
      </c>
      <c r="E94" s="18">
        <v>2.9428803325411892E-2</v>
      </c>
      <c r="F94" s="18">
        <v>2.7422864020473423E-2</v>
      </c>
      <c r="G94" s="18">
        <v>2.1862679822407041E-2</v>
      </c>
      <c r="H94" s="18">
        <v>2.1056254005471575E-2</v>
      </c>
      <c r="I94" s="18">
        <v>1.2310186417676238E-2</v>
      </c>
      <c r="J94" s="18">
        <v>1.5151671438056175E-2</v>
      </c>
      <c r="K94" s="18">
        <v>1.56894084756815E-2</v>
      </c>
    </row>
    <row r="96" spans="1:13" x14ac:dyDescent="0.25">
      <c r="C96" s="25">
        <f>+C92-C94</f>
        <v>-3.0779741284214339E-3</v>
      </c>
      <c r="D96" s="25">
        <f t="shared" ref="D96:K96" si="47">+D92-D94</f>
        <v>-1.2584228654792456E-2</v>
      </c>
      <c r="E96" s="25">
        <f t="shared" si="47"/>
        <v>-2.7888982072657373E-3</v>
      </c>
      <c r="F96" s="25">
        <f t="shared" si="47"/>
        <v>-5.4731617188649648E-3</v>
      </c>
      <c r="G96" s="25">
        <f t="shared" si="47"/>
        <v>-8.1920156153747481E-4</v>
      </c>
      <c r="H96" s="25">
        <f t="shared" si="47"/>
        <v>-2.4904219496037494E-3</v>
      </c>
      <c r="I96" s="25">
        <f t="shared" si="47"/>
        <v>7.2550309736281113E-3</v>
      </c>
      <c r="J96" s="25">
        <f t="shared" si="47"/>
        <v>-6.2283214339592732E-5</v>
      </c>
      <c r="K96" s="25">
        <f t="shared" si="47"/>
        <v>2.8919455395067378E-3</v>
      </c>
    </row>
    <row r="99" spans="1:12" x14ac:dyDescent="0.25">
      <c r="A99" s="36" t="s">
        <v>74</v>
      </c>
      <c r="B99" s="37">
        <f>+B57/B56</f>
        <v>0.11280222647416942</v>
      </c>
      <c r="C99" s="37">
        <f t="shared" ref="C99:K99" si="48">+C57/C56</f>
        <v>0.11951891756452017</v>
      </c>
      <c r="D99" s="37">
        <f t="shared" si="48"/>
        <v>0.11994455316373125</v>
      </c>
      <c r="E99" s="37">
        <f t="shared" si="48"/>
        <v>0.12418407310704961</v>
      </c>
      <c r="F99" s="37">
        <f t="shared" si="48"/>
        <v>0.12440538579375958</v>
      </c>
      <c r="G99" s="37">
        <f t="shared" si="48"/>
        <v>0.12457324335053593</v>
      </c>
      <c r="H99" s="37">
        <f t="shared" si="48"/>
        <v>0.1243812367407873</v>
      </c>
      <c r="I99" s="37">
        <f t="shared" si="48"/>
        <v>0.12437311935807423</v>
      </c>
      <c r="J99" s="37">
        <f t="shared" si="48"/>
        <v>0.12430581970330924</v>
      </c>
      <c r="K99" s="37">
        <f t="shared" si="48"/>
        <v>0.12471028037383178</v>
      </c>
    </row>
    <row r="101" spans="1:12" x14ac:dyDescent="0.25">
      <c r="A101" t="s">
        <v>72</v>
      </c>
      <c r="B101" s="6">
        <f>+B56</f>
        <v>11498</v>
      </c>
      <c r="C101" s="17">
        <f>+B101*1.01</f>
        <v>11612.98</v>
      </c>
      <c r="D101" s="17">
        <f t="shared" ref="D101:K101" si="49">+C101*1.01</f>
        <v>11729.1098</v>
      </c>
      <c r="E101" s="17">
        <f t="shared" si="49"/>
        <v>11846.400898</v>
      </c>
      <c r="F101" s="17">
        <f t="shared" si="49"/>
        <v>11964.864906979999</v>
      </c>
      <c r="G101" s="17">
        <f t="shared" si="49"/>
        <v>12084.5135560498</v>
      </c>
      <c r="H101" s="17">
        <f t="shared" si="49"/>
        <v>12205.358691610298</v>
      </c>
      <c r="I101" s="17">
        <f t="shared" si="49"/>
        <v>12327.412278526401</v>
      </c>
      <c r="J101" s="17">
        <f t="shared" si="49"/>
        <v>12450.686401311665</v>
      </c>
      <c r="K101" s="17">
        <f t="shared" si="49"/>
        <v>12575.193265324782</v>
      </c>
    </row>
    <row r="102" spans="1:12" x14ac:dyDescent="0.25">
      <c r="B102" s="6">
        <f>+B57</f>
        <v>1297</v>
      </c>
      <c r="C102" s="6">
        <f>+C101*C99</f>
        <v>1387.9707992984213</v>
      </c>
      <c r="D102" s="6">
        <f t="shared" ref="D102:K102" si="50">+D101*D99</f>
        <v>1406.8428339693412</v>
      </c>
      <c r="E102" s="6">
        <f t="shared" si="50"/>
        <v>1471.1343151726501</v>
      </c>
      <c r="F102" s="6">
        <f t="shared" si="50"/>
        <v>1488.4936347230621</v>
      </c>
      <c r="G102" s="6">
        <f t="shared" si="50"/>
        <v>1505.407047990642</v>
      </c>
      <c r="H102" s="6">
        <f t="shared" si="50"/>
        <v>1518.1176089274063</v>
      </c>
      <c r="I102" s="6">
        <f t="shared" si="50"/>
        <v>1533.1987186933538</v>
      </c>
      <c r="J102" s="6">
        <f t="shared" si="50"/>
        <v>1547.6927789838919</v>
      </c>
      <c r="K102" s="6">
        <f t="shared" si="50"/>
        <v>1568.2558778737748</v>
      </c>
      <c r="L102" s="6"/>
    </row>
    <row r="103" spans="1:12" x14ac:dyDescent="0.25">
      <c r="B103" s="6">
        <f>+B102+B101</f>
        <v>12795</v>
      </c>
      <c r="C103" s="6">
        <f t="shared" ref="C103:K103" si="51">+C102+C101</f>
        <v>13000.950799298422</v>
      </c>
      <c r="D103" s="6">
        <f t="shared" si="51"/>
        <v>13135.952633969342</v>
      </c>
      <c r="E103" s="6">
        <f t="shared" si="51"/>
        <v>13317.53521317265</v>
      </c>
      <c r="F103" s="6">
        <f t="shared" si="51"/>
        <v>13453.358541703061</v>
      </c>
      <c r="G103" s="6">
        <f t="shared" si="51"/>
        <v>13589.920604040442</v>
      </c>
      <c r="H103" s="6">
        <f t="shared" si="51"/>
        <v>13723.476300537704</v>
      </c>
      <c r="I103" s="6">
        <f t="shared" si="51"/>
        <v>13860.610997219756</v>
      </c>
      <c r="J103" s="6">
        <f t="shared" si="51"/>
        <v>13998.379180295557</v>
      </c>
      <c r="K103" s="6">
        <f t="shared" si="51"/>
        <v>14143.449143198557</v>
      </c>
    </row>
    <row r="104" spans="1:12" x14ac:dyDescent="0.25">
      <c r="B104" s="6"/>
      <c r="C104" s="6"/>
      <c r="D104" s="6"/>
      <c r="E104" s="6"/>
      <c r="F104" s="6"/>
      <c r="G104" s="6"/>
      <c r="H104" s="6"/>
      <c r="I104" s="6"/>
      <c r="J104" s="6"/>
    </row>
    <row r="105" spans="1:12" x14ac:dyDescent="0.25">
      <c r="A105" t="str">
        <f>+A101</f>
        <v>My Estimates</v>
      </c>
      <c r="B105" s="6">
        <f>+B54-B103</f>
        <v>-327</v>
      </c>
      <c r="C105" s="6">
        <f t="shared" ref="C105:K105" si="52">+C54-C103</f>
        <v>-1197.9507992984218</v>
      </c>
      <c r="D105" s="6">
        <f t="shared" si="52"/>
        <v>-1325.9526339693421</v>
      </c>
      <c r="E105" s="6">
        <f t="shared" si="52"/>
        <v>-1913.5352131726504</v>
      </c>
      <c r="F105" s="6">
        <f t="shared" si="52"/>
        <v>-2053.3585417030608</v>
      </c>
      <c r="G105" s="6">
        <f t="shared" si="52"/>
        <v>-2192.9206040404424</v>
      </c>
      <c r="H105" s="6">
        <f t="shared" si="52"/>
        <v>-2311.4763005377044</v>
      </c>
      <c r="I105" s="6">
        <f t="shared" si="52"/>
        <v>-2426.6109972197555</v>
      </c>
      <c r="J105" s="6">
        <f t="shared" si="52"/>
        <v>-2603.3791802955566</v>
      </c>
      <c r="K105" s="6">
        <f t="shared" si="52"/>
        <v>-2951.4491431985571</v>
      </c>
    </row>
    <row r="106" spans="1:12" x14ac:dyDescent="0.25">
      <c r="A106" t="str">
        <f>+A59</f>
        <v>System Position</v>
      </c>
      <c r="B106" s="3">
        <f t="shared" ref="B106:K106" si="53">+B59</f>
        <v>-325</v>
      </c>
      <c r="C106" s="3">
        <f t="shared" si="53"/>
        <v>-1601</v>
      </c>
      <c r="D106" s="3">
        <f t="shared" si="53"/>
        <v>-1923</v>
      </c>
      <c r="E106" s="3">
        <f t="shared" si="53"/>
        <v>-2373</v>
      </c>
      <c r="F106" s="3">
        <f t="shared" si="53"/>
        <v>-2547</v>
      </c>
      <c r="G106" s="3">
        <f t="shared" si="53"/>
        <v>-2767</v>
      </c>
      <c r="H106" s="3">
        <f t="shared" si="53"/>
        <v>-2898</v>
      </c>
      <c r="I106" s="3">
        <f t="shared" si="53"/>
        <v>-3140</v>
      </c>
      <c r="J106" s="3">
        <f t="shared" si="53"/>
        <v>-3383</v>
      </c>
      <c r="K106" s="3">
        <f t="shared" si="53"/>
        <v>-3850</v>
      </c>
    </row>
    <row r="107" spans="1:12" x14ac:dyDescent="0.25">
      <c r="B107" s="6">
        <f>+B105-B106</f>
        <v>-2</v>
      </c>
      <c r="C107" s="6">
        <f>+C105-C106</f>
        <v>403.04920070157823</v>
      </c>
      <c r="D107" s="6">
        <f t="shared" ref="D107:K107" si="54">+D105-D106</f>
        <v>597.04736603065794</v>
      </c>
      <c r="E107" s="6">
        <f t="shared" si="54"/>
        <v>459.4647868273496</v>
      </c>
      <c r="F107" s="6">
        <f t="shared" si="54"/>
        <v>493.64145829693916</v>
      </c>
      <c r="G107" s="6">
        <f t="shared" si="54"/>
        <v>574.07939595955759</v>
      </c>
      <c r="H107" s="6">
        <f t="shared" si="54"/>
        <v>586.52369946229555</v>
      </c>
      <c r="I107" s="6">
        <f t="shared" si="54"/>
        <v>713.38900278024448</v>
      </c>
      <c r="J107" s="6">
        <f t="shared" si="54"/>
        <v>779.62081970444342</v>
      </c>
      <c r="K107" s="6">
        <f t="shared" si="54"/>
        <v>898.55085680144293</v>
      </c>
    </row>
    <row r="108" spans="1:12" x14ac:dyDescent="0.25">
      <c r="B108" s="6"/>
      <c r="C108" s="6"/>
      <c r="D108" s="6"/>
      <c r="E108" s="6"/>
      <c r="F108" s="6"/>
      <c r="G108" s="6"/>
      <c r="H108" s="6"/>
      <c r="I108" s="6"/>
      <c r="J108" s="6"/>
    </row>
    <row r="109" spans="1:12" x14ac:dyDescent="0.25">
      <c r="B109" s="6"/>
      <c r="C109" s="6"/>
      <c r="D109" s="6"/>
      <c r="E109" s="6"/>
      <c r="F109" s="6"/>
      <c r="G109" s="6"/>
      <c r="H109" s="6"/>
      <c r="I109" s="6"/>
      <c r="J109" s="6"/>
    </row>
    <row r="110" spans="1:12" x14ac:dyDescent="0.25">
      <c r="B110" s="6"/>
      <c r="C110" s="6"/>
      <c r="D110" s="6"/>
      <c r="E110" s="6"/>
      <c r="F110" s="6"/>
      <c r="G110" s="6"/>
      <c r="H110" s="6"/>
      <c r="I110" s="6"/>
      <c r="J110" s="6"/>
    </row>
  </sheetData>
  <mergeCells count="3">
    <mergeCell ref="A3:K3"/>
    <mergeCell ref="A4:K4"/>
    <mergeCell ref="A5:K5"/>
  </mergeCells>
  <pageMargins left="0.7" right="0.7" top="0.75" bottom="0.75" header="0.3" footer="0.3"/>
  <pageSetup scale="73" orientation="portrait" r:id="rId1"/>
  <rowBreaks count="1" manualBreakCount="1">
    <brk id="64" max="16383" man="1"/>
  </rowBreaks>
  <colBreaks count="1" manualBreakCount="1">
    <brk id="1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7"/>
  <sheetViews>
    <sheetView zoomScaleNormal="100" workbookViewId="0">
      <selection activeCell="H6" sqref="H6"/>
    </sheetView>
  </sheetViews>
  <sheetFormatPr defaultRowHeight="15" x14ac:dyDescent="0.25"/>
  <cols>
    <col min="1" max="1" width="26.140625" customWidth="1"/>
  </cols>
  <sheetData>
    <row r="1" spans="1:11" x14ac:dyDescent="0.25">
      <c r="A1" t="s">
        <v>80</v>
      </c>
    </row>
    <row r="2" spans="1:11" x14ac:dyDescent="0.25">
      <c r="J2" s="25">
        <v>0.13</v>
      </c>
    </row>
    <row r="3" spans="1:11" ht="15.75" x14ac:dyDescent="0.25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 x14ac:dyDescent="0.3">
      <c r="A4" s="72" t="s">
        <v>81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x14ac:dyDescent="0.25">
      <c r="A5" s="73" t="s">
        <v>82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7" spans="1:11" x14ac:dyDescent="0.25">
      <c r="A7" t="s">
        <v>0</v>
      </c>
      <c r="B7">
        <v>2012</v>
      </c>
      <c r="C7">
        <f>+B7+1</f>
        <v>2013</v>
      </c>
      <c r="D7">
        <f t="shared" ref="D7:K7" si="0">+C7+1</f>
        <v>2014</v>
      </c>
      <c r="E7">
        <f t="shared" si="0"/>
        <v>2015</v>
      </c>
      <c r="F7">
        <f t="shared" si="0"/>
        <v>2016</v>
      </c>
      <c r="G7">
        <f t="shared" si="0"/>
        <v>2017</v>
      </c>
      <c r="H7">
        <f t="shared" si="0"/>
        <v>2018</v>
      </c>
      <c r="I7">
        <f t="shared" si="0"/>
        <v>2019</v>
      </c>
      <c r="J7">
        <f t="shared" si="0"/>
        <v>2020</v>
      </c>
      <c r="K7">
        <f t="shared" si="0"/>
        <v>2021</v>
      </c>
    </row>
    <row r="8" spans="1:11" x14ac:dyDescent="0.25">
      <c r="A8" s="8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t="s">
        <v>1</v>
      </c>
      <c r="B9" s="3">
        <v>5983</v>
      </c>
      <c r="C9" s="3">
        <v>5984</v>
      </c>
      <c r="D9" s="3">
        <v>5976</v>
      </c>
      <c r="E9" s="3">
        <v>5804</v>
      </c>
      <c r="F9" s="3">
        <v>5802</v>
      </c>
      <c r="G9" s="3">
        <v>5796</v>
      </c>
      <c r="H9" s="3">
        <v>5796</v>
      </c>
      <c r="I9" s="3">
        <v>5796</v>
      </c>
      <c r="J9" s="3">
        <v>5796</v>
      </c>
      <c r="K9" s="3">
        <v>5796</v>
      </c>
    </row>
    <row r="10" spans="1:11" x14ac:dyDescent="0.25">
      <c r="A10" t="s">
        <v>2</v>
      </c>
      <c r="B10" s="3">
        <v>126</v>
      </c>
      <c r="C10" s="3">
        <v>132</v>
      </c>
      <c r="D10" s="3">
        <v>132</v>
      </c>
      <c r="E10" s="3">
        <v>132</v>
      </c>
      <c r="F10" s="3">
        <v>128</v>
      </c>
      <c r="G10" s="3">
        <v>128</v>
      </c>
      <c r="H10" s="3">
        <v>128</v>
      </c>
      <c r="I10" s="3">
        <v>128</v>
      </c>
      <c r="J10" s="3">
        <v>128</v>
      </c>
      <c r="K10" s="3">
        <v>128</v>
      </c>
    </row>
    <row r="11" spans="1:11" x14ac:dyDescent="0.25">
      <c r="A11" t="s">
        <v>3</v>
      </c>
      <c r="B11" s="3">
        <v>329</v>
      </c>
      <c r="C11" s="3">
        <v>329</v>
      </c>
      <c r="D11" s="3">
        <v>329</v>
      </c>
      <c r="E11" s="3">
        <v>329</v>
      </c>
      <c r="F11" s="3">
        <v>329</v>
      </c>
      <c r="G11" s="3">
        <v>329</v>
      </c>
      <c r="H11" s="3">
        <v>329</v>
      </c>
      <c r="I11" s="3">
        <v>329</v>
      </c>
      <c r="J11" s="3">
        <v>329</v>
      </c>
      <c r="K11" s="3">
        <v>329</v>
      </c>
    </row>
    <row r="12" spans="1:11" x14ac:dyDescent="0.25">
      <c r="A12" t="s">
        <v>4</v>
      </c>
      <c r="B12" s="3">
        <v>175</v>
      </c>
      <c r="C12" s="3">
        <v>175</v>
      </c>
      <c r="D12" s="3">
        <v>175</v>
      </c>
      <c r="E12" s="3">
        <v>173</v>
      </c>
      <c r="F12" s="3">
        <v>173</v>
      </c>
      <c r="G12" s="3">
        <v>173</v>
      </c>
      <c r="H12" s="3">
        <v>173</v>
      </c>
      <c r="I12" s="3">
        <v>173</v>
      </c>
      <c r="J12" s="3">
        <v>173</v>
      </c>
      <c r="K12" s="3">
        <v>170</v>
      </c>
    </row>
    <row r="13" spans="1:11" x14ac:dyDescent="0.25">
      <c r="A13" t="s">
        <v>5</v>
      </c>
      <c r="B13" s="38">
        <v>905</v>
      </c>
      <c r="C13" s="38">
        <v>804</v>
      </c>
      <c r="D13" s="38">
        <v>304</v>
      </c>
      <c r="E13" s="38">
        <v>304</v>
      </c>
      <c r="F13" s="38">
        <v>116</v>
      </c>
      <c r="G13" s="38">
        <v>116</v>
      </c>
      <c r="H13" s="38">
        <v>116</v>
      </c>
      <c r="I13" s="38">
        <v>116</v>
      </c>
      <c r="J13" s="38">
        <v>116</v>
      </c>
      <c r="K13" s="3">
        <v>91</v>
      </c>
    </row>
    <row r="14" spans="1:11" x14ac:dyDescent="0.25">
      <c r="A14" t="s">
        <v>6</v>
      </c>
      <c r="B14" s="38">
        <v>79</v>
      </c>
      <c r="C14" s="38">
        <v>94</v>
      </c>
      <c r="D14" s="38">
        <v>94</v>
      </c>
      <c r="E14" s="38">
        <v>94</v>
      </c>
      <c r="F14" s="38">
        <v>94</v>
      </c>
      <c r="G14" s="38">
        <v>236</v>
      </c>
      <c r="H14" s="38">
        <v>236</v>
      </c>
      <c r="I14" s="38">
        <v>236</v>
      </c>
      <c r="J14" s="38">
        <v>236</v>
      </c>
      <c r="K14" s="38">
        <v>236</v>
      </c>
    </row>
    <row r="15" spans="1:11" x14ac:dyDescent="0.25">
      <c r="A15" t="s">
        <v>29</v>
      </c>
      <c r="B15" s="38">
        <v>281</v>
      </c>
      <c r="C15" s="38">
        <v>281</v>
      </c>
      <c r="D15" s="38">
        <v>281</v>
      </c>
      <c r="E15" s="38">
        <v>281</v>
      </c>
      <c r="F15" s="38">
        <v>281</v>
      </c>
      <c r="G15" s="38">
        <v>281</v>
      </c>
      <c r="H15" s="38">
        <v>281</v>
      </c>
      <c r="I15" s="38">
        <v>281</v>
      </c>
      <c r="J15" s="38">
        <v>281</v>
      </c>
      <c r="K15" s="38">
        <v>281</v>
      </c>
    </row>
    <row r="16" spans="1:11" x14ac:dyDescent="0.25">
      <c r="A16" t="s">
        <v>40</v>
      </c>
      <c r="B16" s="38">
        <v>813</v>
      </c>
      <c r="C16" s="38">
        <v>747</v>
      </c>
      <c r="D16" s="38">
        <v>589</v>
      </c>
      <c r="E16" s="38">
        <v>584</v>
      </c>
      <c r="F16" s="38">
        <v>590</v>
      </c>
      <c r="G16" s="38">
        <v>426</v>
      </c>
      <c r="H16" s="38">
        <v>588</v>
      </c>
      <c r="I16" s="38">
        <v>368</v>
      </c>
      <c r="J16" s="38">
        <v>387</v>
      </c>
      <c r="K16" s="3">
        <v>581</v>
      </c>
    </row>
    <row r="17" spans="1:11" x14ac:dyDescent="0.25">
      <c r="A17" t="s">
        <v>7</v>
      </c>
      <c r="B17" s="38">
        <f t="shared" ref="B17:K17" si="1">SUM(B9:B16)</f>
        <v>8691</v>
      </c>
      <c r="C17" s="38">
        <v>8546</v>
      </c>
      <c r="D17" s="38">
        <f t="shared" si="1"/>
        <v>7880</v>
      </c>
      <c r="E17" s="38">
        <f t="shared" si="1"/>
        <v>7701</v>
      </c>
      <c r="F17" s="38">
        <f t="shared" si="1"/>
        <v>7513</v>
      </c>
      <c r="G17" s="38">
        <f t="shared" si="1"/>
        <v>7485</v>
      </c>
      <c r="H17" s="38">
        <f t="shared" si="1"/>
        <v>7647</v>
      </c>
      <c r="I17" s="38">
        <f t="shared" si="1"/>
        <v>7427</v>
      </c>
      <c r="J17" s="38">
        <f t="shared" si="1"/>
        <v>7446</v>
      </c>
      <c r="K17" s="3">
        <f t="shared" si="1"/>
        <v>7612</v>
      </c>
    </row>
    <row r="18" spans="1:1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"/>
    </row>
    <row r="19" spans="1:11" x14ac:dyDescent="0.25">
      <c r="A19" t="s">
        <v>8</v>
      </c>
      <c r="B19" s="38">
        <v>6993</v>
      </c>
      <c r="C19" s="38">
        <v>7151</v>
      </c>
      <c r="D19" s="38">
        <v>7403</v>
      </c>
      <c r="E19" s="38">
        <v>7611</v>
      </c>
      <c r="F19" s="38">
        <v>7468</v>
      </c>
      <c r="G19" s="38">
        <v>7727</v>
      </c>
      <c r="H19" s="38">
        <v>7882</v>
      </c>
      <c r="I19" s="38">
        <v>8034</v>
      </c>
      <c r="J19" s="38">
        <v>8195</v>
      </c>
      <c r="K19" s="3">
        <v>8360</v>
      </c>
    </row>
    <row r="20" spans="1:11" x14ac:dyDescent="0.25">
      <c r="A20" t="s">
        <v>9</v>
      </c>
      <c r="B20" s="38">
        <v>1147</v>
      </c>
      <c r="C20" s="38">
        <v>1045</v>
      </c>
      <c r="D20" s="38">
        <v>745</v>
      </c>
      <c r="E20" s="38">
        <v>745</v>
      </c>
      <c r="F20" s="38">
        <v>745</v>
      </c>
      <c r="G20" s="38">
        <v>659</v>
      </c>
      <c r="H20" s="38">
        <v>659</v>
      </c>
      <c r="I20" s="38">
        <v>659</v>
      </c>
      <c r="J20" s="38">
        <v>659</v>
      </c>
      <c r="K20" s="3">
        <v>179</v>
      </c>
    </row>
    <row r="21" spans="1:11" x14ac:dyDescent="0.25">
      <c r="A21" t="s">
        <v>10</v>
      </c>
      <c r="B21" s="3">
        <f t="shared" ref="B21:K21" si="2">+B20+B19</f>
        <v>8140</v>
      </c>
      <c r="C21" s="3">
        <v>8196</v>
      </c>
      <c r="D21" s="3">
        <v>8148</v>
      </c>
      <c r="E21" s="3">
        <f t="shared" si="2"/>
        <v>8356</v>
      </c>
      <c r="F21" s="3">
        <f t="shared" si="2"/>
        <v>8213</v>
      </c>
      <c r="G21" s="3">
        <f t="shared" si="2"/>
        <v>8386</v>
      </c>
      <c r="H21" s="3">
        <f t="shared" si="2"/>
        <v>8541</v>
      </c>
      <c r="I21" s="3">
        <f t="shared" si="2"/>
        <v>8693</v>
      </c>
      <c r="J21" s="3">
        <f t="shared" si="2"/>
        <v>8854</v>
      </c>
      <c r="K21" s="3">
        <f t="shared" si="2"/>
        <v>8539</v>
      </c>
    </row>
    <row r="22" spans="1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t="s">
        <v>30</v>
      </c>
      <c r="B23" s="38">
        <v>835</v>
      </c>
      <c r="C23" s="38">
        <v>856</v>
      </c>
      <c r="D23" s="38">
        <v>940</v>
      </c>
      <c r="E23" s="38">
        <v>967</v>
      </c>
      <c r="F23" s="38">
        <v>973</v>
      </c>
      <c r="G23" s="38">
        <v>996</v>
      </c>
      <c r="H23" s="38">
        <v>1016</v>
      </c>
      <c r="I23" s="38">
        <v>1036</v>
      </c>
      <c r="J23" s="38">
        <v>1057</v>
      </c>
      <c r="K23" s="38">
        <v>1019</v>
      </c>
    </row>
    <row r="24" spans="1:11" x14ac:dyDescent="0.25">
      <c r="A24" t="s">
        <v>31</v>
      </c>
      <c r="B24" s="38">
        <v>98</v>
      </c>
      <c r="C24" s="38">
        <v>98</v>
      </c>
      <c r="D24" s="38">
        <v>98</v>
      </c>
      <c r="E24" s="38">
        <v>133</v>
      </c>
      <c r="F24" s="38">
        <v>133</v>
      </c>
      <c r="G24" s="38">
        <v>106</v>
      </c>
      <c r="H24" s="38">
        <v>106</v>
      </c>
      <c r="I24" s="38">
        <v>106</v>
      </c>
      <c r="J24" s="38">
        <v>106</v>
      </c>
      <c r="K24" s="38">
        <v>106</v>
      </c>
    </row>
    <row r="25" spans="1:11" x14ac:dyDescent="0.25">
      <c r="A25" t="s">
        <v>11</v>
      </c>
      <c r="B25" s="38">
        <f t="shared" ref="B25:K25" si="3">+B24+B23</f>
        <v>933</v>
      </c>
      <c r="C25" s="38">
        <f t="shared" si="3"/>
        <v>954</v>
      </c>
      <c r="D25" s="38">
        <f t="shared" si="3"/>
        <v>1038</v>
      </c>
      <c r="E25" s="38">
        <f t="shared" si="3"/>
        <v>1100</v>
      </c>
      <c r="F25" s="38">
        <f t="shared" si="3"/>
        <v>1106</v>
      </c>
      <c r="G25" s="38">
        <f t="shared" si="3"/>
        <v>1102</v>
      </c>
      <c r="H25" s="38">
        <f t="shared" si="3"/>
        <v>1122</v>
      </c>
      <c r="I25" s="38">
        <f t="shared" si="3"/>
        <v>1142</v>
      </c>
      <c r="J25" s="38">
        <f t="shared" si="3"/>
        <v>1163</v>
      </c>
      <c r="K25" s="38">
        <f t="shared" si="3"/>
        <v>1125</v>
      </c>
    </row>
    <row r="26" spans="1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t="s">
        <v>12</v>
      </c>
      <c r="B27" s="3">
        <f t="shared" ref="B27:K27" si="4">+B25+B21</f>
        <v>9073</v>
      </c>
      <c r="C27" s="3">
        <f t="shared" si="4"/>
        <v>9150</v>
      </c>
      <c r="D27" s="3">
        <f t="shared" si="4"/>
        <v>9186</v>
      </c>
      <c r="E27" s="3">
        <f t="shared" si="4"/>
        <v>9456</v>
      </c>
      <c r="F27" s="3">
        <f t="shared" si="4"/>
        <v>9319</v>
      </c>
      <c r="G27" s="3">
        <f t="shared" si="4"/>
        <v>9488</v>
      </c>
      <c r="H27" s="3">
        <f t="shared" si="4"/>
        <v>9663</v>
      </c>
      <c r="I27" s="3">
        <f t="shared" si="4"/>
        <v>9835</v>
      </c>
      <c r="J27" s="3">
        <f t="shared" si="4"/>
        <v>10017</v>
      </c>
      <c r="K27" s="3">
        <f t="shared" si="4"/>
        <v>9664</v>
      </c>
    </row>
    <row r="28" spans="1:11" x14ac:dyDescent="0.25">
      <c r="A28" t="s">
        <v>13</v>
      </c>
      <c r="B28" s="3">
        <f t="shared" ref="B28:K28" si="5">+B17-B27</f>
        <v>-382</v>
      </c>
      <c r="C28" s="3">
        <f t="shared" si="5"/>
        <v>-604</v>
      </c>
      <c r="D28" s="3">
        <f t="shared" si="5"/>
        <v>-1306</v>
      </c>
      <c r="E28" s="3">
        <f t="shared" si="5"/>
        <v>-1755</v>
      </c>
      <c r="F28" s="3">
        <f t="shared" si="5"/>
        <v>-1806</v>
      </c>
      <c r="G28" s="3">
        <f t="shared" si="5"/>
        <v>-2003</v>
      </c>
      <c r="H28" s="3">
        <f t="shared" si="5"/>
        <v>-2016</v>
      </c>
      <c r="I28" s="3">
        <f t="shared" si="5"/>
        <v>-2408</v>
      </c>
      <c r="J28" s="3">
        <f t="shared" si="5"/>
        <v>-2571</v>
      </c>
      <c r="K28" s="3">
        <f t="shared" si="5"/>
        <v>-2052</v>
      </c>
    </row>
    <row r="29" spans="1:11" x14ac:dyDescent="0.25">
      <c r="A29" t="s">
        <v>14</v>
      </c>
      <c r="B29" s="39">
        <f t="shared" ref="B29:K29" si="6">(B$17+(B$11+B$13+B$15)*$J$2-B$24)/B$21-1</f>
        <v>7.9846437346437371E-2</v>
      </c>
      <c r="C29" s="39">
        <f t="shared" si="6"/>
        <v>5.3174719375304935E-2</v>
      </c>
      <c r="D29" s="39">
        <f t="shared" si="6"/>
        <v>-3.0336278841433528E-2</v>
      </c>
      <c r="E29" s="39">
        <f t="shared" si="6"/>
        <v>-8.0083772139779796E-2</v>
      </c>
      <c r="F29" s="39">
        <f t="shared" si="6"/>
        <v>-8.9933032996469042E-2</v>
      </c>
      <c r="G29" s="39">
        <f t="shared" si="6"/>
        <v>-0.10882661578821839</v>
      </c>
      <c r="H29" s="39">
        <f t="shared" si="6"/>
        <v>-0.10603208055262847</v>
      </c>
      <c r="I29" s="39">
        <f t="shared" si="6"/>
        <v>-0.14697112619348895</v>
      </c>
      <c r="J29" s="39">
        <f t="shared" si="6"/>
        <v>-0.16033657104133725</v>
      </c>
      <c r="K29" s="39">
        <f t="shared" si="6"/>
        <v>-0.11030214310809228</v>
      </c>
    </row>
    <row r="30" spans="1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8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t="s">
        <v>1</v>
      </c>
      <c r="B32" s="3">
        <v>2517</v>
      </c>
      <c r="C32" s="3">
        <v>2529</v>
      </c>
      <c r="D32" s="3">
        <v>2529</v>
      </c>
      <c r="E32" s="3">
        <v>2529</v>
      </c>
      <c r="F32" s="3">
        <v>2524</v>
      </c>
      <c r="G32" s="38">
        <v>2505</v>
      </c>
      <c r="H32" s="38">
        <v>2505</v>
      </c>
      <c r="I32" s="38">
        <v>2505</v>
      </c>
      <c r="J32" s="38">
        <v>2505</v>
      </c>
      <c r="K32" s="38">
        <v>2505</v>
      </c>
    </row>
    <row r="33" spans="1:24" x14ac:dyDescent="0.25">
      <c r="A33" t="s">
        <v>2</v>
      </c>
      <c r="B33" s="3">
        <v>882</v>
      </c>
      <c r="C33" s="3">
        <v>851</v>
      </c>
      <c r="D33" s="3">
        <v>872</v>
      </c>
      <c r="E33" s="3">
        <v>877</v>
      </c>
      <c r="F33" s="3">
        <v>878</v>
      </c>
      <c r="G33" s="38">
        <v>877</v>
      </c>
      <c r="H33" s="38">
        <v>864</v>
      </c>
      <c r="I33" s="38">
        <v>819</v>
      </c>
      <c r="J33" s="38">
        <v>650</v>
      </c>
      <c r="K33" s="38">
        <v>650</v>
      </c>
    </row>
    <row r="34" spans="1:24" x14ac:dyDescent="0.25">
      <c r="A34" t="s">
        <v>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24" x14ac:dyDescent="0.25">
      <c r="A35" t="s">
        <v>4</v>
      </c>
      <c r="B35" s="3">
        <v>88</v>
      </c>
      <c r="C35" s="3">
        <v>88</v>
      </c>
      <c r="D35" s="3">
        <v>88</v>
      </c>
      <c r="E35" s="3">
        <v>88</v>
      </c>
      <c r="F35" s="3">
        <v>88</v>
      </c>
      <c r="G35" s="38">
        <v>88</v>
      </c>
      <c r="H35" s="38">
        <v>88</v>
      </c>
      <c r="I35" s="38">
        <v>88</v>
      </c>
      <c r="J35" s="38">
        <v>88</v>
      </c>
      <c r="K35" s="38">
        <v>88</v>
      </c>
    </row>
    <row r="36" spans="1:24" x14ac:dyDescent="0.25">
      <c r="A36" t="s">
        <v>5</v>
      </c>
      <c r="B36" s="38">
        <v>326</v>
      </c>
      <c r="C36" s="38">
        <v>430</v>
      </c>
      <c r="D36" s="38">
        <v>202</v>
      </c>
      <c r="E36" s="38">
        <v>207</v>
      </c>
      <c r="F36" s="38">
        <v>15</v>
      </c>
      <c r="G36" s="38">
        <v>15</v>
      </c>
      <c r="H36" s="38">
        <v>15</v>
      </c>
      <c r="I36" s="38">
        <v>5</v>
      </c>
      <c r="J36" s="38">
        <v>5</v>
      </c>
      <c r="K36" s="38">
        <v>5</v>
      </c>
    </row>
    <row r="37" spans="1:24" x14ac:dyDescent="0.25">
      <c r="A37" t="s">
        <v>6</v>
      </c>
      <c r="B37" s="38">
        <v>80</v>
      </c>
      <c r="C37" s="38">
        <v>80</v>
      </c>
      <c r="D37" s="38">
        <v>80</v>
      </c>
      <c r="E37" s="38">
        <v>80</v>
      </c>
      <c r="F37" s="38">
        <v>80</v>
      </c>
      <c r="G37" s="38">
        <v>86</v>
      </c>
      <c r="H37" s="38">
        <v>86</v>
      </c>
      <c r="I37" s="38">
        <v>86</v>
      </c>
      <c r="J37" s="38">
        <v>86</v>
      </c>
      <c r="K37" s="38">
        <v>86</v>
      </c>
    </row>
    <row r="38" spans="1:24" x14ac:dyDescent="0.25">
      <c r="A38" t="s">
        <v>40</v>
      </c>
      <c r="B38" s="38">
        <v>-812</v>
      </c>
      <c r="C38" s="38">
        <v>-747</v>
      </c>
      <c r="D38" s="38">
        <v>-588</v>
      </c>
      <c r="E38" s="38">
        <v>-584</v>
      </c>
      <c r="F38" s="38">
        <v>-589</v>
      </c>
      <c r="G38" s="38">
        <v>-426</v>
      </c>
      <c r="H38" s="38">
        <v>-589</v>
      </c>
      <c r="I38" s="38">
        <v>-369</v>
      </c>
      <c r="J38" s="38">
        <v>-388</v>
      </c>
      <c r="K38" s="38">
        <v>-584</v>
      </c>
    </row>
    <row r="39" spans="1:24" x14ac:dyDescent="0.25">
      <c r="A39" t="s">
        <v>15</v>
      </c>
      <c r="B39" s="38">
        <f t="shared" ref="B39:K39" si="7">SUM(B32:B38)</f>
        <v>3081</v>
      </c>
      <c r="C39" s="38">
        <f t="shared" si="7"/>
        <v>3231</v>
      </c>
      <c r="D39" s="38">
        <f t="shared" si="7"/>
        <v>3183</v>
      </c>
      <c r="E39" s="38">
        <f t="shared" si="7"/>
        <v>3197</v>
      </c>
      <c r="F39" s="38">
        <f t="shared" si="7"/>
        <v>2996</v>
      </c>
      <c r="G39" s="38">
        <f t="shared" si="7"/>
        <v>3145</v>
      </c>
      <c r="H39" s="38">
        <f t="shared" si="7"/>
        <v>2969</v>
      </c>
      <c r="I39" s="38">
        <f t="shared" si="7"/>
        <v>3134</v>
      </c>
      <c r="J39" s="38">
        <f t="shared" si="7"/>
        <v>2946</v>
      </c>
      <c r="K39" s="38">
        <f t="shared" si="7"/>
        <v>2750</v>
      </c>
    </row>
    <row r="40" spans="1:24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24" x14ac:dyDescent="0.25">
      <c r="A41" t="s">
        <v>8</v>
      </c>
      <c r="B41" s="38">
        <v>3183</v>
      </c>
      <c r="C41" s="38">
        <v>3267</v>
      </c>
      <c r="D41" s="38">
        <v>3332</v>
      </c>
      <c r="E41" s="38">
        <v>3374</v>
      </c>
      <c r="F41" s="38">
        <v>3414</v>
      </c>
      <c r="G41" s="38">
        <v>3474</v>
      </c>
      <c r="H41" s="38">
        <v>3512</v>
      </c>
      <c r="I41" s="38">
        <v>3544</v>
      </c>
      <c r="J41" s="38">
        <v>3582</v>
      </c>
      <c r="K41" s="38">
        <v>3616</v>
      </c>
    </row>
    <row r="42" spans="1:24" x14ac:dyDescent="0.25">
      <c r="A42" t="s">
        <v>9</v>
      </c>
      <c r="B42" s="38">
        <v>313</v>
      </c>
      <c r="C42" s="38">
        <v>313</v>
      </c>
      <c r="D42" s="38">
        <v>312</v>
      </c>
      <c r="E42" s="38">
        <v>212</v>
      </c>
      <c r="F42" s="38">
        <v>162</v>
      </c>
      <c r="G42" s="38">
        <v>162</v>
      </c>
      <c r="H42" s="38">
        <v>162</v>
      </c>
      <c r="I42" s="38">
        <v>162</v>
      </c>
      <c r="J42" s="38">
        <v>162</v>
      </c>
      <c r="K42" s="38">
        <v>157</v>
      </c>
    </row>
    <row r="43" spans="1:24" x14ac:dyDescent="0.25">
      <c r="A43" t="s">
        <v>16</v>
      </c>
      <c r="B43" s="38">
        <f t="shared" ref="B43:K43" si="8">+B42+B41</f>
        <v>3496</v>
      </c>
      <c r="C43" s="38">
        <f t="shared" si="8"/>
        <v>3580</v>
      </c>
      <c r="D43" s="38">
        <f t="shared" si="8"/>
        <v>3644</v>
      </c>
      <c r="E43" s="38">
        <f t="shared" si="8"/>
        <v>3586</v>
      </c>
      <c r="F43" s="38">
        <f t="shared" si="8"/>
        <v>3576</v>
      </c>
      <c r="G43" s="38">
        <f t="shared" si="8"/>
        <v>3636</v>
      </c>
      <c r="H43" s="38">
        <f t="shared" si="8"/>
        <v>3674</v>
      </c>
      <c r="I43" s="38">
        <f t="shared" si="8"/>
        <v>3706</v>
      </c>
      <c r="J43" s="38">
        <f t="shared" si="8"/>
        <v>3744</v>
      </c>
      <c r="K43" s="38">
        <f t="shared" si="8"/>
        <v>3773</v>
      </c>
    </row>
    <row r="44" spans="1:24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O44">
        <f>+B7</f>
        <v>2012</v>
      </c>
      <c r="P44">
        <f t="shared" ref="P44:W44" si="9">+C7</f>
        <v>2013</v>
      </c>
      <c r="Q44">
        <f t="shared" si="9"/>
        <v>2014</v>
      </c>
      <c r="R44">
        <f t="shared" si="9"/>
        <v>2015</v>
      </c>
      <c r="S44">
        <f t="shared" si="9"/>
        <v>2016</v>
      </c>
      <c r="T44">
        <f t="shared" si="9"/>
        <v>2017</v>
      </c>
      <c r="U44">
        <f t="shared" si="9"/>
        <v>2018</v>
      </c>
      <c r="V44">
        <f t="shared" si="9"/>
        <v>2019</v>
      </c>
      <c r="W44">
        <f t="shared" si="9"/>
        <v>2020</v>
      </c>
      <c r="X44">
        <f>+K7</f>
        <v>2021</v>
      </c>
    </row>
    <row r="45" spans="1:24" x14ac:dyDescent="0.25">
      <c r="A45" t="s">
        <v>30</v>
      </c>
      <c r="B45" s="38">
        <v>412</v>
      </c>
      <c r="C45" s="38">
        <v>410</v>
      </c>
      <c r="D45" s="38">
        <v>447</v>
      </c>
      <c r="E45" s="38">
        <v>439</v>
      </c>
      <c r="F45" s="38">
        <v>463</v>
      </c>
      <c r="G45" s="38">
        <v>471</v>
      </c>
      <c r="H45" s="38">
        <v>476</v>
      </c>
      <c r="I45" s="38">
        <v>481</v>
      </c>
      <c r="J45" s="38">
        <v>486</v>
      </c>
      <c r="K45" s="38">
        <v>490</v>
      </c>
      <c r="L45" t="str">
        <f>+A27</f>
        <v>East Obligation + Reserves</v>
      </c>
      <c r="O45" s="6">
        <f>+B27</f>
        <v>9073</v>
      </c>
      <c r="P45" s="6">
        <f t="shared" ref="P45:W45" si="10">+C27</f>
        <v>9150</v>
      </c>
      <c r="Q45" s="6">
        <f t="shared" si="10"/>
        <v>9186</v>
      </c>
      <c r="R45" s="6">
        <f t="shared" si="10"/>
        <v>9456</v>
      </c>
      <c r="S45" s="6">
        <f t="shared" si="10"/>
        <v>9319</v>
      </c>
      <c r="T45" s="6">
        <f t="shared" si="10"/>
        <v>9488</v>
      </c>
      <c r="U45" s="6">
        <f t="shared" si="10"/>
        <v>9663</v>
      </c>
      <c r="V45" s="6">
        <f t="shared" si="10"/>
        <v>9835</v>
      </c>
      <c r="W45" s="6">
        <f t="shared" si="10"/>
        <v>10017</v>
      </c>
      <c r="X45" s="6">
        <f>+K27</f>
        <v>9664</v>
      </c>
    </row>
    <row r="46" spans="1:24" x14ac:dyDescent="0.25">
      <c r="A46" t="s">
        <v>31</v>
      </c>
      <c r="B46" s="38">
        <v>10</v>
      </c>
      <c r="C46" s="38">
        <v>10</v>
      </c>
      <c r="D46" s="38">
        <v>10</v>
      </c>
      <c r="E46" s="38">
        <v>10</v>
      </c>
      <c r="F46" s="38">
        <v>10</v>
      </c>
      <c r="G46" s="38">
        <v>7</v>
      </c>
      <c r="H46" s="38">
        <v>7</v>
      </c>
      <c r="I46" s="38">
        <v>7</v>
      </c>
      <c r="J46" s="38">
        <v>7</v>
      </c>
      <c r="K46" s="38">
        <v>7</v>
      </c>
      <c r="P46" s="43">
        <f>(P45-O45)/O45</f>
        <v>8.4867188361071304E-3</v>
      </c>
      <c r="Q46" s="43">
        <f t="shared" ref="Q46:X46" si="11">(Q45-P45)/P45</f>
        <v>3.9344262295081967E-3</v>
      </c>
      <c r="R46" s="43">
        <f t="shared" si="11"/>
        <v>2.9392553886348791E-2</v>
      </c>
      <c r="S46" s="43">
        <f t="shared" si="11"/>
        <v>-1.4488155668358715E-2</v>
      </c>
      <c r="T46" s="29">
        <f t="shared" si="11"/>
        <v>1.8134993025002683E-2</v>
      </c>
      <c r="U46" s="29">
        <f t="shared" si="11"/>
        <v>1.8444350758853287E-2</v>
      </c>
      <c r="V46" s="29">
        <f t="shared" si="11"/>
        <v>1.7799855117458345E-2</v>
      </c>
      <c r="W46" s="29">
        <f t="shared" si="11"/>
        <v>1.8505338078291814E-2</v>
      </c>
      <c r="X46" s="29">
        <f t="shared" si="11"/>
        <v>-3.524009184386543E-2</v>
      </c>
    </row>
    <row r="47" spans="1:24" x14ac:dyDescent="0.25">
      <c r="A47" t="s">
        <v>17</v>
      </c>
      <c r="B47" s="38">
        <f t="shared" ref="B47:K47" si="12">+B46+B45</f>
        <v>422</v>
      </c>
      <c r="C47" s="38">
        <f t="shared" si="12"/>
        <v>420</v>
      </c>
      <c r="D47" s="38">
        <f t="shared" si="12"/>
        <v>457</v>
      </c>
      <c r="E47" s="38">
        <f t="shared" si="12"/>
        <v>449</v>
      </c>
      <c r="F47" s="38">
        <f t="shared" si="12"/>
        <v>473</v>
      </c>
      <c r="G47" s="38">
        <f t="shared" si="12"/>
        <v>478</v>
      </c>
      <c r="H47" s="38">
        <f t="shared" si="12"/>
        <v>483</v>
      </c>
      <c r="I47" s="38">
        <f t="shared" si="12"/>
        <v>488</v>
      </c>
      <c r="J47" s="38">
        <f t="shared" si="12"/>
        <v>493</v>
      </c>
      <c r="K47" s="38">
        <f t="shared" si="12"/>
        <v>497</v>
      </c>
      <c r="P47" s="42"/>
      <c r="Q47" s="42"/>
      <c r="R47" s="42"/>
      <c r="S47" s="42"/>
    </row>
    <row r="48" spans="1:24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t="str">
        <f>+A49</f>
        <v>West Obligation + Reserves</v>
      </c>
      <c r="O48" s="6">
        <f>+B49</f>
        <v>3918</v>
      </c>
      <c r="P48" s="24">
        <f t="shared" ref="P48:W48" si="13">+C49</f>
        <v>4000</v>
      </c>
      <c r="Q48" s="24">
        <f t="shared" si="13"/>
        <v>4101</v>
      </c>
      <c r="R48" s="24">
        <f t="shared" si="13"/>
        <v>4035</v>
      </c>
      <c r="S48" s="24">
        <f t="shared" si="13"/>
        <v>4049</v>
      </c>
      <c r="T48" s="6">
        <f t="shared" si="13"/>
        <v>4114</v>
      </c>
      <c r="U48" s="6">
        <f t="shared" si="13"/>
        <v>4157</v>
      </c>
      <c r="V48" s="6">
        <f t="shared" si="13"/>
        <v>4194</v>
      </c>
      <c r="W48" s="6">
        <f t="shared" si="13"/>
        <v>4237</v>
      </c>
      <c r="X48" s="6">
        <f>+K49</f>
        <v>4270</v>
      </c>
    </row>
    <row r="49" spans="1:24" x14ac:dyDescent="0.25">
      <c r="A49" t="s">
        <v>18</v>
      </c>
      <c r="B49" s="38">
        <f t="shared" ref="B49:K49" si="14">+B47+B43</f>
        <v>3918</v>
      </c>
      <c r="C49" s="38">
        <f t="shared" si="14"/>
        <v>4000</v>
      </c>
      <c r="D49" s="38">
        <f t="shared" si="14"/>
        <v>4101</v>
      </c>
      <c r="E49" s="38">
        <f t="shared" si="14"/>
        <v>4035</v>
      </c>
      <c r="F49" s="38">
        <f t="shared" si="14"/>
        <v>4049</v>
      </c>
      <c r="G49" s="38">
        <f t="shared" si="14"/>
        <v>4114</v>
      </c>
      <c r="H49" s="38">
        <f t="shared" si="14"/>
        <v>4157</v>
      </c>
      <c r="I49" s="38">
        <f t="shared" si="14"/>
        <v>4194</v>
      </c>
      <c r="J49" s="38">
        <f t="shared" si="14"/>
        <v>4237</v>
      </c>
      <c r="K49" s="38">
        <f t="shared" si="14"/>
        <v>4270</v>
      </c>
      <c r="P49" s="43">
        <f>(P48-O48)/O48</f>
        <v>2.0929045431342521E-2</v>
      </c>
      <c r="Q49" s="43">
        <f t="shared" ref="Q49:X49" si="15">(Q48-P48)/P48</f>
        <v>2.5250000000000002E-2</v>
      </c>
      <c r="R49" s="43">
        <f t="shared" si="15"/>
        <v>-1.6093635698610095E-2</v>
      </c>
      <c r="S49" s="43">
        <f t="shared" si="15"/>
        <v>3.4696406443618338E-3</v>
      </c>
      <c r="T49" s="29">
        <f t="shared" si="15"/>
        <v>1.6053346505309953E-2</v>
      </c>
      <c r="U49" s="29">
        <f t="shared" si="15"/>
        <v>1.0452114730189596E-2</v>
      </c>
      <c r="V49" s="29">
        <f t="shared" si="15"/>
        <v>8.9006495068559063E-3</v>
      </c>
      <c r="W49" s="29">
        <f t="shared" si="15"/>
        <v>1.0252742012398664E-2</v>
      </c>
      <c r="X49" s="29">
        <f t="shared" si="15"/>
        <v>7.7885296200141613E-3</v>
      </c>
    </row>
    <row r="50" spans="1:24" x14ac:dyDescent="0.25">
      <c r="A50" t="s">
        <v>19</v>
      </c>
      <c r="B50" s="38">
        <f t="shared" ref="B50:K50" si="16">+B39-B49</f>
        <v>-837</v>
      </c>
      <c r="C50" s="38">
        <f t="shared" si="16"/>
        <v>-769</v>
      </c>
      <c r="D50" s="38">
        <f t="shared" si="16"/>
        <v>-918</v>
      </c>
      <c r="E50" s="38">
        <f t="shared" si="16"/>
        <v>-838</v>
      </c>
      <c r="F50" s="38">
        <f t="shared" si="16"/>
        <v>-1053</v>
      </c>
      <c r="G50" s="38">
        <f t="shared" si="16"/>
        <v>-969</v>
      </c>
      <c r="H50" s="38">
        <f t="shared" si="16"/>
        <v>-1188</v>
      </c>
      <c r="I50" s="38">
        <f t="shared" si="16"/>
        <v>-1060</v>
      </c>
      <c r="J50" s="38">
        <f t="shared" si="16"/>
        <v>-1291</v>
      </c>
      <c r="K50" s="38">
        <f t="shared" si="16"/>
        <v>-1520</v>
      </c>
      <c r="P50" s="42"/>
      <c r="Q50" s="42"/>
      <c r="R50" s="42"/>
      <c r="S50" s="42"/>
    </row>
    <row r="51" spans="1:24" x14ac:dyDescent="0.25">
      <c r="A51" t="s">
        <v>20</v>
      </c>
      <c r="B51" s="39">
        <f t="shared" ref="B51:K51" si="17">(B$39+(B$34+B$36)*$J$2-B$46)/B$43-1</f>
        <v>-0.1094450800915332</v>
      </c>
      <c r="C51" s="39">
        <f t="shared" si="17"/>
        <v>-8.4664804469273713E-2</v>
      </c>
      <c r="D51" s="39">
        <f t="shared" si="17"/>
        <v>-0.12204720087815579</v>
      </c>
      <c r="E51" s="39">
        <f t="shared" si="17"/>
        <v>-0.10376185164528728</v>
      </c>
      <c r="F51" s="39">
        <f t="shared" si="17"/>
        <v>-0.16444351230425058</v>
      </c>
      <c r="G51" s="39">
        <f t="shared" si="17"/>
        <v>-0.13642739273927396</v>
      </c>
      <c r="H51" s="39">
        <f t="shared" si="17"/>
        <v>-0.19326347305389224</v>
      </c>
      <c r="I51" s="5">
        <f t="shared" si="17"/>
        <v>-0.15605774419859686</v>
      </c>
      <c r="J51" s="5">
        <f t="shared" si="17"/>
        <v>-0.21483707264957264</v>
      </c>
      <c r="K51" s="5">
        <f t="shared" si="17"/>
        <v>-0.27282003710575142</v>
      </c>
      <c r="L51" t="str">
        <f>+A58</f>
        <v>Obligation + Reserves</v>
      </c>
      <c r="O51" s="6">
        <f>+B58</f>
        <v>12991</v>
      </c>
      <c r="P51" s="24">
        <f t="shared" ref="P51:W51" si="18">+C58</f>
        <v>13150</v>
      </c>
      <c r="Q51" s="24">
        <f t="shared" si="18"/>
        <v>13287</v>
      </c>
      <c r="R51" s="24">
        <f t="shared" si="18"/>
        <v>13491</v>
      </c>
      <c r="S51" s="24">
        <f t="shared" si="18"/>
        <v>13368</v>
      </c>
      <c r="T51" s="6">
        <f t="shared" si="18"/>
        <v>13602</v>
      </c>
      <c r="U51" s="6">
        <f t="shared" si="18"/>
        <v>13820</v>
      </c>
      <c r="V51" s="6">
        <f t="shared" si="18"/>
        <v>14029</v>
      </c>
      <c r="W51" s="6">
        <f t="shared" si="18"/>
        <v>14254</v>
      </c>
      <c r="X51" s="6">
        <f>+K58</f>
        <v>13934</v>
      </c>
    </row>
    <row r="52" spans="1:24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P52" s="43">
        <f>(P51-O51)/O51</f>
        <v>1.2239242552536372E-2</v>
      </c>
      <c r="Q52" s="43">
        <f t="shared" ref="Q52:X52" si="19">(Q51-P51)/P51</f>
        <v>1.0418250950570342E-2</v>
      </c>
      <c r="R52" s="43">
        <f t="shared" si="19"/>
        <v>1.5353352901332129E-2</v>
      </c>
      <c r="S52" s="43">
        <f t="shared" si="19"/>
        <v>-9.1171892372692905E-3</v>
      </c>
      <c r="T52" s="29">
        <f t="shared" si="19"/>
        <v>1.7504488330341114E-2</v>
      </c>
      <c r="U52" s="29">
        <f t="shared" si="19"/>
        <v>1.6027054844875755E-2</v>
      </c>
      <c r="V52" s="29">
        <f t="shared" si="19"/>
        <v>1.512301013024602E-2</v>
      </c>
      <c r="W52" s="29">
        <f t="shared" si="19"/>
        <v>1.6038206572100647E-2</v>
      </c>
      <c r="X52" s="29">
        <f t="shared" si="19"/>
        <v>-2.244983864178476E-2</v>
      </c>
    </row>
    <row r="53" spans="1:24" x14ac:dyDescent="0.25">
      <c r="A53" s="8" t="s">
        <v>34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24" x14ac:dyDescent="0.25">
      <c r="A54" t="s">
        <v>21</v>
      </c>
      <c r="B54" s="3">
        <f t="shared" ref="B54:K54" si="20">+B17+B39</f>
        <v>11772</v>
      </c>
      <c r="C54" s="3">
        <f t="shared" si="20"/>
        <v>11777</v>
      </c>
      <c r="D54" s="3">
        <f t="shared" si="20"/>
        <v>11063</v>
      </c>
      <c r="E54" s="3">
        <f t="shared" si="20"/>
        <v>10898</v>
      </c>
      <c r="F54" s="3">
        <f>+F17+F39</f>
        <v>10509</v>
      </c>
      <c r="G54" s="3">
        <f>+G17+G39</f>
        <v>10630</v>
      </c>
      <c r="H54" s="3">
        <f t="shared" si="20"/>
        <v>10616</v>
      </c>
      <c r="I54" s="3">
        <f t="shared" si="20"/>
        <v>10561</v>
      </c>
      <c r="J54" s="3">
        <f t="shared" si="20"/>
        <v>10392</v>
      </c>
      <c r="K54" s="3">
        <f t="shared" si="20"/>
        <v>10362</v>
      </c>
    </row>
    <row r="55" spans="1:24" x14ac:dyDescent="0.25">
      <c r="A55" t="s">
        <v>35</v>
      </c>
      <c r="B55" s="3">
        <v>2</v>
      </c>
      <c r="C55" s="3">
        <v>0</v>
      </c>
      <c r="D55" s="3">
        <v>2</v>
      </c>
      <c r="E55" s="3">
        <v>1</v>
      </c>
      <c r="F55" s="3">
        <v>-1</v>
      </c>
      <c r="G55" s="3">
        <v>0</v>
      </c>
      <c r="H55" s="3">
        <v>0</v>
      </c>
      <c r="I55" s="3">
        <v>-1</v>
      </c>
      <c r="J55" s="3">
        <v>1</v>
      </c>
      <c r="K55" s="3">
        <v>1</v>
      </c>
    </row>
    <row r="56" spans="1:24" x14ac:dyDescent="0.25">
      <c r="A56" t="s">
        <v>36</v>
      </c>
      <c r="B56" s="3">
        <f>+B43+B21</f>
        <v>11636</v>
      </c>
      <c r="C56" s="3">
        <f t="shared" ref="C56:K56" si="21">+C43+C21</f>
        <v>11776</v>
      </c>
      <c r="D56" s="3">
        <f t="shared" si="21"/>
        <v>11792</v>
      </c>
      <c r="E56" s="3">
        <f t="shared" si="21"/>
        <v>11942</v>
      </c>
      <c r="F56" s="3">
        <f t="shared" si="21"/>
        <v>11789</v>
      </c>
      <c r="G56" s="3">
        <f t="shared" si="21"/>
        <v>12022</v>
      </c>
      <c r="H56" s="3">
        <f t="shared" si="21"/>
        <v>12215</v>
      </c>
      <c r="I56" s="3">
        <f t="shared" si="21"/>
        <v>12399</v>
      </c>
      <c r="J56" s="3">
        <f t="shared" si="21"/>
        <v>12598</v>
      </c>
      <c r="K56" s="3">
        <f t="shared" si="21"/>
        <v>12312</v>
      </c>
    </row>
    <row r="57" spans="1:24" x14ac:dyDescent="0.25">
      <c r="A57" t="s">
        <v>22</v>
      </c>
      <c r="B57" s="3">
        <f t="shared" ref="B57:K57" si="22">+B25+B47</f>
        <v>1355</v>
      </c>
      <c r="C57" s="3">
        <f t="shared" si="22"/>
        <v>1374</v>
      </c>
      <c r="D57" s="3">
        <f t="shared" si="22"/>
        <v>1495</v>
      </c>
      <c r="E57" s="3">
        <f t="shared" si="22"/>
        <v>1549</v>
      </c>
      <c r="F57" s="3">
        <f t="shared" si="22"/>
        <v>1579</v>
      </c>
      <c r="G57" s="3">
        <f t="shared" si="22"/>
        <v>1580</v>
      </c>
      <c r="H57" s="3">
        <f t="shared" si="22"/>
        <v>1605</v>
      </c>
      <c r="I57" s="3">
        <f t="shared" si="22"/>
        <v>1630</v>
      </c>
      <c r="J57" s="3">
        <f t="shared" si="22"/>
        <v>1656</v>
      </c>
      <c r="K57" s="3">
        <f t="shared" si="22"/>
        <v>1622</v>
      </c>
    </row>
    <row r="58" spans="1:24" x14ac:dyDescent="0.25">
      <c r="A58" t="s">
        <v>37</v>
      </c>
      <c r="B58" s="3">
        <f t="shared" ref="B58:K58" si="23">+B57+B56</f>
        <v>12991</v>
      </c>
      <c r="C58" s="3">
        <f t="shared" si="23"/>
        <v>13150</v>
      </c>
      <c r="D58" s="3">
        <f t="shared" si="23"/>
        <v>13287</v>
      </c>
      <c r="E58" s="3">
        <f t="shared" si="23"/>
        <v>13491</v>
      </c>
      <c r="F58" s="3">
        <f t="shared" si="23"/>
        <v>13368</v>
      </c>
      <c r="G58" s="3">
        <f t="shared" si="23"/>
        <v>13602</v>
      </c>
      <c r="H58" s="3">
        <f t="shared" si="23"/>
        <v>13820</v>
      </c>
      <c r="I58" s="3">
        <f t="shared" si="23"/>
        <v>14029</v>
      </c>
      <c r="J58" s="3">
        <f t="shared" si="23"/>
        <v>14254</v>
      </c>
      <c r="K58" s="3">
        <f t="shared" si="23"/>
        <v>13934</v>
      </c>
    </row>
    <row r="59" spans="1:24" x14ac:dyDescent="0.25">
      <c r="A59" t="s">
        <v>38</v>
      </c>
      <c r="B59" s="3">
        <f t="shared" ref="B59:K59" si="24">+B54+B55-B58</f>
        <v>-1217</v>
      </c>
      <c r="C59" s="3">
        <f t="shared" si="24"/>
        <v>-1373</v>
      </c>
      <c r="D59" s="3">
        <f t="shared" si="24"/>
        <v>-2222</v>
      </c>
      <c r="E59" s="3">
        <f t="shared" si="24"/>
        <v>-2592</v>
      </c>
      <c r="F59" s="3">
        <f t="shared" si="24"/>
        <v>-2860</v>
      </c>
      <c r="G59" s="3">
        <f t="shared" si="24"/>
        <v>-2972</v>
      </c>
      <c r="H59" s="3">
        <f t="shared" si="24"/>
        <v>-3204</v>
      </c>
      <c r="I59" s="3">
        <f t="shared" si="24"/>
        <v>-3469</v>
      </c>
      <c r="J59" s="3">
        <f t="shared" si="24"/>
        <v>-3861</v>
      </c>
      <c r="K59" s="3">
        <f t="shared" si="24"/>
        <v>-3571</v>
      </c>
    </row>
    <row r="60" spans="1:24" x14ac:dyDescent="0.25">
      <c r="A60" t="s">
        <v>23</v>
      </c>
      <c r="B60" s="5">
        <f t="shared" ref="B60:K60" si="25">(B$54+(B$11+B$13+B$15+B$34+B$36)*$J$2-B$24-B$46)/B$56-1</f>
        <v>2.2974389824681918E-2</v>
      </c>
      <c r="C60" s="5">
        <f t="shared" si="25"/>
        <v>1.1270380434782457E-2</v>
      </c>
      <c r="D60" s="5">
        <f t="shared" si="25"/>
        <v>-5.8677069199457255E-2</v>
      </c>
      <c r="E60" s="5">
        <f t="shared" si="25"/>
        <v>-8.7193937363925667E-2</v>
      </c>
      <c r="F60" s="5">
        <f t="shared" si="25"/>
        <v>-0.11253456612096024</v>
      </c>
      <c r="G60" s="5">
        <f t="shared" si="25"/>
        <v>-0.11717434703044416</v>
      </c>
      <c r="H60" s="5">
        <f t="shared" si="25"/>
        <v>-0.13226934097421206</v>
      </c>
      <c r="I60" s="5">
        <f t="shared" si="25"/>
        <v>-0.14968707153802718</v>
      </c>
      <c r="J60" s="5">
        <f t="shared" si="25"/>
        <v>-0.17653357675821557</v>
      </c>
      <c r="K60" s="5">
        <f t="shared" si="25"/>
        <v>-0.16010558804418451</v>
      </c>
      <c r="Q60" s="31"/>
      <c r="R60" s="31"/>
      <c r="S60" s="31"/>
      <c r="T60" s="31"/>
    </row>
    <row r="61" spans="1:24" x14ac:dyDescent="0.25">
      <c r="B61" s="3"/>
      <c r="C61" s="3"/>
      <c r="D61" s="3"/>
      <c r="E61" s="3"/>
      <c r="F61" s="3"/>
      <c r="G61" s="3"/>
      <c r="H61" s="3"/>
      <c r="I61" s="3"/>
    </row>
    <row r="62" spans="1:24" x14ac:dyDescent="0.25">
      <c r="A62" t="s">
        <v>68</v>
      </c>
      <c r="C62" s="40">
        <f>+C82</f>
        <v>4.2473666326877334E-4</v>
      </c>
      <c r="D62" s="40">
        <f t="shared" ref="D62:K62" si="26">+D82</f>
        <v>-6.0626645155812176E-2</v>
      </c>
      <c r="E62" s="40">
        <f t="shared" si="26"/>
        <v>-1.4914580131971436E-2</v>
      </c>
      <c r="F62" s="40">
        <f t="shared" si="26"/>
        <v>-3.5694622866581024E-2</v>
      </c>
      <c r="G62" s="31">
        <f t="shared" si="26"/>
        <v>1.1513940432010657E-2</v>
      </c>
      <c r="H62" s="31">
        <f t="shared" si="26"/>
        <v>-1.3170272812793979E-3</v>
      </c>
      <c r="I62" s="31">
        <f t="shared" si="26"/>
        <v>-5.1808590806330067E-3</v>
      </c>
      <c r="J62" s="31">
        <f t="shared" si="26"/>
        <v>-1.6002272512072719E-2</v>
      </c>
      <c r="K62" s="31">
        <f t="shared" si="26"/>
        <v>-2.8868360277136259E-3</v>
      </c>
    </row>
    <row r="63" spans="1:24" x14ac:dyDescent="0.25">
      <c r="B63" s="18"/>
      <c r="C63" s="41"/>
      <c r="D63" s="41"/>
      <c r="E63" s="41"/>
      <c r="F63" s="42"/>
    </row>
    <row r="64" spans="1:24" x14ac:dyDescent="0.25">
      <c r="A64" t="s">
        <v>69</v>
      </c>
      <c r="C64" s="40">
        <f>+C86</f>
        <v>1.2239242552536372E-2</v>
      </c>
      <c r="D64" s="40">
        <f t="shared" ref="D64:K64" si="27">+D86</f>
        <v>1.0418250950570342E-2</v>
      </c>
      <c r="E64" s="40">
        <f t="shared" si="27"/>
        <v>1.5353352901332129E-2</v>
      </c>
      <c r="F64" s="40">
        <f t="shared" si="27"/>
        <v>-9.1171892372692905E-3</v>
      </c>
      <c r="G64" s="31">
        <f t="shared" si="27"/>
        <v>1.7504488330341114E-2</v>
      </c>
      <c r="H64" s="31">
        <f t="shared" si="27"/>
        <v>1.6027054844875755E-2</v>
      </c>
      <c r="I64" s="31">
        <f t="shared" si="27"/>
        <v>1.512301013024602E-2</v>
      </c>
      <c r="J64" s="31">
        <f t="shared" si="27"/>
        <v>1.6038206572100647E-2</v>
      </c>
      <c r="K64" s="31">
        <f t="shared" si="27"/>
        <v>-2.244983864178476E-2</v>
      </c>
    </row>
    <row r="65" spans="1:24" x14ac:dyDescent="0.25">
      <c r="C65" s="42"/>
      <c r="D65" s="42"/>
      <c r="E65" s="42"/>
      <c r="F65" s="42"/>
    </row>
    <row r="66" spans="1:24" x14ac:dyDescent="0.25">
      <c r="L66" t="s">
        <v>73</v>
      </c>
      <c r="O66" s="6">
        <f>+O51</f>
        <v>12991</v>
      </c>
      <c r="P66" s="17">
        <f>+O66*(1+P67)</f>
        <v>13185.864999999998</v>
      </c>
      <c r="Q66" s="17">
        <f>+P66*(1+Q67)</f>
        <v>13383.652974999997</v>
      </c>
      <c r="R66" s="17">
        <f t="shared" ref="R66:X66" si="28">+Q66*(1+R67)</f>
        <v>13584.407769624995</v>
      </c>
      <c r="S66" s="17">
        <f t="shared" si="28"/>
        <v>13788.173886169368</v>
      </c>
      <c r="T66" s="17">
        <f t="shared" si="28"/>
        <v>13994.996494461908</v>
      </c>
      <c r="U66" s="17">
        <f t="shared" si="28"/>
        <v>14204.921441878834</v>
      </c>
      <c r="V66" s="17">
        <f t="shared" si="28"/>
        <v>14417.995263507015</v>
      </c>
      <c r="W66" s="17">
        <f t="shared" si="28"/>
        <v>14634.265192459619</v>
      </c>
      <c r="X66" s="17">
        <f t="shared" si="28"/>
        <v>14853.779170346512</v>
      </c>
    </row>
    <row r="67" spans="1:24" x14ac:dyDescent="0.25">
      <c r="P67" s="29">
        <v>1.4999999999999999E-2</v>
      </c>
      <c r="Q67" s="29">
        <f>+P67</f>
        <v>1.4999999999999999E-2</v>
      </c>
      <c r="R67" s="29">
        <f t="shared" ref="R67:X67" si="29">+Q67</f>
        <v>1.4999999999999999E-2</v>
      </c>
      <c r="S67" s="29">
        <f t="shared" si="29"/>
        <v>1.4999999999999999E-2</v>
      </c>
      <c r="T67" s="29">
        <f t="shared" si="29"/>
        <v>1.4999999999999999E-2</v>
      </c>
      <c r="U67" s="29">
        <f t="shared" si="29"/>
        <v>1.4999999999999999E-2</v>
      </c>
      <c r="V67" s="29">
        <f t="shared" si="29"/>
        <v>1.4999999999999999E-2</v>
      </c>
      <c r="W67" s="29">
        <f t="shared" si="29"/>
        <v>1.4999999999999999E-2</v>
      </c>
      <c r="X67" s="29">
        <f t="shared" si="29"/>
        <v>1.4999999999999999E-2</v>
      </c>
    </row>
    <row r="69" spans="1:24" x14ac:dyDescent="0.25">
      <c r="A69" t="str">
        <f>+A17</f>
        <v>East Existing Resources</v>
      </c>
      <c r="B69" s="17">
        <f t="shared" ref="B69:K69" si="30">+B17</f>
        <v>8691</v>
      </c>
      <c r="C69" s="17">
        <f t="shared" si="30"/>
        <v>8546</v>
      </c>
      <c r="D69" s="17">
        <f t="shared" si="30"/>
        <v>7880</v>
      </c>
      <c r="E69" s="17">
        <f t="shared" si="30"/>
        <v>7701</v>
      </c>
      <c r="F69" s="17">
        <f t="shared" si="30"/>
        <v>7513</v>
      </c>
      <c r="G69" s="17">
        <f t="shared" si="30"/>
        <v>7485</v>
      </c>
      <c r="H69" s="17">
        <f t="shared" si="30"/>
        <v>7647</v>
      </c>
      <c r="I69" s="17">
        <f t="shared" si="30"/>
        <v>7427</v>
      </c>
      <c r="J69" s="17">
        <f t="shared" si="30"/>
        <v>7446</v>
      </c>
      <c r="K69" s="17">
        <f t="shared" si="30"/>
        <v>7612</v>
      </c>
    </row>
    <row r="70" spans="1:24" x14ac:dyDescent="0.25">
      <c r="B70" s="17"/>
      <c r="C70" s="29">
        <f>(C69-B69)/B69</f>
        <v>-1.6683925900356691E-2</v>
      </c>
      <c r="D70" s="29">
        <f t="shared" ref="D70:K70" si="31">(D69-C69)/C69</f>
        <v>-7.7931195881113968E-2</v>
      </c>
      <c r="E70" s="29">
        <f t="shared" si="31"/>
        <v>-2.2715736040609138E-2</v>
      </c>
      <c r="F70" s="29">
        <f t="shared" si="31"/>
        <v>-2.4412413972211403E-2</v>
      </c>
      <c r="G70" s="29">
        <f t="shared" si="31"/>
        <v>-3.7268734194063624E-3</v>
      </c>
      <c r="H70" s="29">
        <f t="shared" si="31"/>
        <v>2.1643286573146292E-2</v>
      </c>
      <c r="I70" s="29">
        <f t="shared" si="31"/>
        <v>-2.876945207270825E-2</v>
      </c>
      <c r="J70" s="29">
        <f t="shared" si="31"/>
        <v>2.558233472465329E-3</v>
      </c>
      <c r="K70" s="29">
        <f t="shared" si="31"/>
        <v>2.2293849046467903E-2</v>
      </c>
    </row>
    <row r="71" spans="1:24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24" x14ac:dyDescent="0.25">
      <c r="A72" t="str">
        <f>+A27</f>
        <v>East Obligation + Reserves</v>
      </c>
      <c r="B72" s="17">
        <f t="shared" ref="B72:K72" si="32">+B27</f>
        <v>9073</v>
      </c>
      <c r="C72" s="17">
        <f t="shared" si="32"/>
        <v>9150</v>
      </c>
      <c r="D72" s="17">
        <f t="shared" si="32"/>
        <v>9186</v>
      </c>
      <c r="E72" s="17">
        <f t="shared" si="32"/>
        <v>9456</v>
      </c>
      <c r="F72" s="17">
        <f t="shared" si="32"/>
        <v>9319</v>
      </c>
      <c r="G72" s="17">
        <f t="shared" si="32"/>
        <v>9488</v>
      </c>
      <c r="H72" s="17">
        <f t="shared" si="32"/>
        <v>9663</v>
      </c>
      <c r="I72" s="17">
        <f t="shared" si="32"/>
        <v>9835</v>
      </c>
      <c r="J72" s="17">
        <f t="shared" si="32"/>
        <v>10017</v>
      </c>
      <c r="K72" s="17">
        <f t="shared" si="32"/>
        <v>9664</v>
      </c>
    </row>
    <row r="73" spans="1:24" x14ac:dyDescent="0.25">
      <c r="B73" s="17"/>
      <c r="C73" s="29">
        <f>(C72-B72)/B72</f>
        <v>8.4867188361071304E-3</v>
      </c>
      <c r="D73" s="29">
        <f t="shared" ref="D73:K73" si="33">(D72-C72)/C72</f>
        <v>3.9344262295081967E-3</v>
      </c>
      <c r="E73" s="29">
        <f t="shared" si="33"/>
        <v>2.9392553886348791E-2</v>
      </c>
      <c r="F73" s="29">
        <f t="shared" si="33"/>
        <v>-1.4488155668358715E-2</v>
      </c>
      <c r="G73" s="29">
        <f t="shared" si="33"/>
        <v>1.8134993025002683E-2</v>
      </c>
      <c r="H73" s="29">
        <f t="shared" si="33"/>
        <v>1.8444350758853287E-2</v>
      </c>
      <c r="I73" s="29">
        <f t="shared" si="33"/>
        <v>1.7799855117458345E-2</v>
      </c>
      <c r="J73" s="29">
        <f t="shared" si="33"/>
        <v>1.8505338078291814E-2</v>
      </c>
      <c r="K73" s="29">
        <f t="shared" si="33"/>
        <v>-3.524009184386543E-2</v>
      </c>
    </row>
    <row r="74" spans="1:24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24" x14ac:dyDescent="0.25">
      <c r="A75" t="str">
        <f>+A39</f>
        <v>West Existing Resources</v>
      </c>
      <c r="B75" s="17">
        <f t="shared" ref="B75:K75" si="34">+B39</f>
        <v>3081</v>
      </c>
      <c r="C75" s="17">
        <f t="shared" si="34"/>
        <v>3231</v>
      </c>
      <c r="D75" s="17">
        <f t="shared" si="34"/>
        <v>3183</v>
      </c>
      <c r="E75" s="17">
        <f t="shared" si="34"/>
        <v>3197</v>
      </c>
      <c r="F75" s="17">
        <f t="shared" si="34"/>
        <v>2996</v>
      </c>
      <c r="G75" s="17">
        <f t="shared" si="34"/>
        <v>3145</v>
      </c>
      <c r="H75" s="17">
        <f t="shared" si="34"/>
        <v>2969</v>
      </c>
      <c r="I75" s="17">
        <f t="shared" si="34"/>
        <v>3134</v>
      </c>
      <c r="J75" s="17">
        <f t="shared" si="34"/>
        <v>2946</v>
      </c>
      <c r="K75" s="17">
        <f t="shared" si="34"/>
        <v>2750</v>
      </c>
    </row>
    <row r="76" spans="1:24" x14ac:dyDescent="0.25">
      <c r="B76" s="17"/>
      <c r="C76" s="29">
        <f>(C75-B75)/B75</f>
        <v>4.8685491723466409E-2</v>
      </c>
      <c r="D76" s="29">
        <f t="shared" ref="D76:K76" si="35">(D75-C75)/C75</f>
        <v>-1.4856081708449397E-2</v>
      </c>
      <c r="E76" s="29">
        <f t="shared" si="35"/>
        <v>4.3983663210807418E-3</v>
      </c>
      <c r="F76" s="29">
        <f t="shared" si="35"/>
        <v>-6.2871441976853307E-2</v>
      </c>
      <c r="G76" s="29">
        <f t="shared" si="35"/>
        <v>4.9732977303070761E-2</v>
      </c>
      <c r="H76" s="29">
        <f t="shared" si="35"/>
        <v>-5.5961844197138316E-2</v>
      </c>
      <c r="I76" s="29">
        <f t="shared" si="35"/>
        <v>5.5574267430111152E-2</v>
      </c>
      <c r="J76" s="29">
        <f t="shared" si="35"/>
        <v>-5.9987236758136567E-2</v>
      </c>
      <c r="K76" s="29">
        <f t="shared" si="35"/>
        <v>-6.6530889341479979E-2</v>
      </c>
    </row>
    <row r="77" spans="1:24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24" x14ac:dyDescent="0.25">
      <c r="A78" t="str">
        <f>+A49</f>
        <v>West Obligation + Reserves</v>
      </c>
      <c r="B78" s="17">
        <f t="shared" ref="B78:K78" si="36">+B49</f>
        <v>3918</v>
      </c>
      <c r="C78" s="17">
        <f t="shared" si="36"/>
        <v>4000</v>
      </c>
      <c r="D78" s="17">
        <f t="shared" si="36"/>
        <v>4101</v>
      </c>
      <c r="E78" s="17">
        <f t="shared" si="36"/>
        <v>4035</v>
      </c>
      <c r="F78" s="17">
        <f t="shared" si="36"/>
        <v>4049</v>
      </c>
      <c r="G78" s="17">
        <f t="shared" si="36"/>
        <v>4114</v>
      </c>
      <c r="H78" s="17">
        <f t="shared" si="36"/>
        <v>4157</v>
      </c>
      <c r="I78" s="17">
        <f t="shared" si="36"/>
        <v>4194</v>
      </c>
      <c r="J78" s="17">
        <f t="shared" si="36"/>
        <v>4237</v>
      </c>
      <c r="K78" s="17">
        <f t="shared" si="36"/>
        <v>4270</v>
      </c>
    </row>
    <row r="79" spans="1:24" x14ac:dyDescent="0.25">
      <c r="B79" s="17"/>
      <c r="C79" s="29">
        <f>(C78-B78)/B78</f>
        <v>2.0929045431342521E-2</v>
      </c>
      <c r="D79" s="29">
        <f t="shared" ref="D79:K79" si="37">(D78-C78)/C78</f>
        <v>2.5250000000000002E-2</v>
      </c>
      <c r="E79" s="29">
        <f t="shared" si="37"/>
        <v>-1.6093635698610095E-2</v>
      </c>
      <c r="F79" s="29">
        <f t="shared" si="37"/>
        <v>3.4696406443618338E-3</v>
      </c>
      <c r="G79" s="29">
        <f t="shared" si="37"/>
        <v>1.6053346505309953E-2</v>
      </c>
      <c r="H79" s="29">
        <f t="shared" si="37"/>
        <v>1.0452114730189596E-2</v>
      </c>
      <c r="I79" s="29">
        <f t="shared" si="37"/>
        <v>8.9006495068559063E-3</v>
      </c>
      <c r="J79" s="29">
        <f t="shared" si="37"/>
        <v>1.0252742012398664E-2</v>
      </c>
      <c r="K79" s="29">
        <f t="shared" si="37"/>
        <v>7.7885296200141613E-3</v>
      </c>
    </row>
    <row r="80" spans="1:24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3" x14ac:dyDescent="0.25">
      <c r="A81" t="str">
        <f>+A54</f>
        <v>Total Resources</v>
      </c>
      <c r="B81" s="17">
        <f t="shared" ref="B81:K81" si="38">+B54</f>
        <v>11772</v>
      </c>
      <c r="C81" s="17">
        <f t="shared" si="38"/>
        <v>11777</v>
      </c>
      <c r="D81" s="17">
        <f t="shared" si="38"/>
        <v>11063</v>
      </c>
      <c r="E81" s="17">
        <f t="shared" si="38"/>
        <v>10898</v>
      </c>
      <c r="F81" s="17">
        <f t="shared" si="38"/>
        <v>10509</v>
      </c>
      <c r="G81" s="17">
        <f t="shared" si="38"/>
        <v>10630</v>
      </c>
      <c r="H81" s="17">
        <f t="shared" si="38"/>
        <v>10616</v>
      </c>
      <c r="I81" s="17">
        <f t="shared" si="38"/>
        <v>10561</v>
      </c>
      <c r="J81" s="17">
        <f t="shared" si="38"/>
        <v>10392</v>
      </c>
      <c r="K81" s="17">
        <f t="shared" si="38"/>
        <v>10362</v>
      </c>
    </row>
    <row r="82" spans="1:13" x14ac:dyDescent="0.25">
      <c r="B82" s="17"/>
      <c r="C82" s="29">
        <f>(C81-B81)/B81</f>
        <v>4.2473666326877334E-4</v>
      </c>
      <c r="D82" s="29">
        <f t="shared" ref="D82:K82" si="39">(D81-C81)/C81</f>
        <v>-6.0626645155812176E-2</v>
      </c>
      <c r="E82" s="29">
        <f t="shared" si="39"/>
        <v>-1.4914580131971436E-2</v>
      </c>
      <c r="F82" s="29">
        <f t="shared" si="39"/>
        <v>-3.5694622866581024E-2</v>
      </c>
      <c r="G82" s="29">
        <f t="shared" si="39"/>
        <v>1.1513940432010657E-2</v>
      </c>
      <c r="H82" s="29">
        <f t="shared" si="39"/>
        <v>-1.3170272812793979E-3</v>
      </c>
      <c r="I82" s="29">
        <f t="shared" si="39"/>
        <v>-5.1808590806330067E-3</v>
      </c>
      <c r="J82" s="29">
        <f t="shared" si="39"/>
        <v>-1.6002272512072719E-2</v>
      </c>
      <c r="K82" s="29">
        <f t="shared" si="39"/>
        <v>-2.8868360277136259E-3</v>
      </c>
    </row>
    <row r="83" spans="1:13" x14ac:dyDescent="0.25">
      <c r="B83" s="17"/>
      <c r="C83" s="17">
        <f>+C81-B81</f>
        <v>5</v>
      </c>
      <c r="D83" s="17">
        <f t="shared" ref="D83:K83" si="40">+D81-C81</f>
        <v>-714</v>
      </c>
      <c r="E83" s="17">
        <f t="shared" si="40"/>
        <v>-165</v>
      </c>
      <c r="F83" s="17">
        <f t="shared" si="40"/>
        <v>-389</v>
      </c>
      <c r="G83" s="17">
        <f t="shared" si="40"/>
        <v>121</v>
      </c>
      <c r="H83" s="17">
        <f t="shared" si="40"/>
        <v>-14</v>
      </c>
      <c r="I83" s="17">
        <f t="shared" si="40"/>
        <v>-55</v>
      </c>
      <c r="J83" s="17">
        <f t="shared" si="40"/>
        <v>-169</v>
      </c>
      <c r="K83" s="17">
        <f t="shared" si="40"/>
        <v>-30</v>
      </c>
    </row>
    <row r="84" spans="1:13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3" x14ac:dyDescent="0.25">
      <c r="A85" t="str">
        <f>+A58</f>
        <v>Obligation + Reserves</v>
      </c>
      <c r="B85" s="17">
        <f t="shared" ref="B85:K85" si="41">+B58</f>
        <v>12991</v>
      </c>
      <c r="C85" s="17">
        <f t="shared" si="41"/>
        <v>13150</v>
      </c>
      <c r="D85" s="17">
        <f t="shared" si="41"/>
        <v>13287</v>
      </c>
      <c r="E85" s="17">
        <f t="shared" si="41"/>
        <v>13491</v>
      </c>
      <c r="F85" s="17">
        <f t="shared" si="41"/>
        <v>13368</v>
      </c>
      <c r="G85" s="17">
        <f t="shared" si="41"/>
        <v>13602</v>
      </c>
      <c r="H85" s="17">
        <f t="shared" si="41"/>
        <v>13820</v>
      </c>
      <c r="I85" s="17">
        <f t="shared" si="41"/>
        <v>14029</v>
      </c>
      <c r="J85" s="17">
        <f t="shared" si="41"/>
        <v>14254</v>
      </c>
      <c r="K85" s="17">
        <f t="shared" si="41"/>
        <v>13934</v>
      </c>
    </row>
    <row r="86" spans="1:13" x14ac:dyDescent="0.25">
      <c r="C86" s="29">
        <f>(C85-B85)/B85</f>
        <v>1.2239242552536372E-2</v>
      </c>
      <c r="D86" s="29">
        <f t="shared" ref="D86:K86" si="42">(D85-C85)/C85</f>
        <v>1.0418250950570342E-2</v>
      </c>
      <c r="E86" s="29">
        <f t="shared" si="42"/>
        <v>1.5353352901332129E-2</v>
      </c>
      <c r="F86" s="29">
        <f t="shared" si="42"/>
        <v>-9.1171892372692905E-3</v>
      </c>
      <c r="G86" s="29">
        <f t="shared" si="42"/>
        <v>1.7504488330341114E-2</v>
      </c>
      <c r="H86" s="29">
        <f t="shared" si="42"/>
        <v>1.6027054844875755E-2</v>
      </c>
      <c r="I86" s="29">
        <f t="shared" si="42"/>
        <v>1.512301013024602E-2</v>
      </c>
      <c r="J86" s="29">
        <f t="shared" si="42"/>
        <v>1.6038206572100647E-2</v>
      </c>
      <c r="K86" s="29">
        <f t="shared" si="42"/>
        <v>-2.244983864178476E-2</v>
      </c>
    </row>
    <row r="87" spans="1:13" x14ac:dyDescent="0.25">
      <c r="C87" s="17">
        <f t="shared" ref="C87:K87" si="43">+C85-B85</f>
        <v>159</v>
      </c>
      <c r="D87" s="17">
        <f t="shared" si="43"/>
        <v>137</v>
      </c>
      <c r="E87" s="17">
        <f t="shared" si="43"/>
        <v>204</v>
      </c>
      <c r="F87" s="17">
        <f t="shared" si="43"/>
        <v>-123</v>
      </c>
      <c r="G87" s="17">
        <f t="shared" si="43"/>
        <v>234</v>
      </c>
      <c r="H87" s="17">
        <f t="shared" si="43"/>
        <v>218</v>
      </c>
      <c r="I87" s="17">
        <f t="shared" si="43"/>
        <v>209</v>
      </c>
      <c r="J87" s="17">
        <f t="shared" si="43"/>
        <v>225</v>
      </c>
      <c r="K87" s="17">
        <f t="shared" si="43"/>
        <v>-320</v>
      </c>
    </row>
    <row r="89" spans="1:13" x14ac:dyDescent="0.25">
      <c r="C89" s="26">
        <f>+C87+C83</f>
        <v>164</v>
      </c>
      <c r="D89" s="26">
        <f>+D87+D83</f>
        <v>-577</v>
      </c>
      <c r="E89" s="26">
        <f t="shared" ref="E89:K89" si="44">+E87+E83</f>
        <v>39</v>
      </c>
      <c r="F89" s="26">
        <f t="shared" si="44"/>
        <v>-512</v>
      </c>
      <c r="G89" s="26">
        <f t="shared" si="44"/>
        <v>355</v>
      </c>
      <c r="H89" s="26">
        <f t="shared" si="44"/>
        <v>204</v>
      </c>
      <c r="I89" s="26">
        <f t="shared" si="44"/>
        <v>154</v>
      </c>
      <c r="J89" s="26">
        <f t="shared" si="44"/>
        <v>56</v>
      </c>
      <c r="K89" s="26">
        <f t="shared" si="44"/>
        <v>-350</v>
      </c>
    </row>
    <row r="91" spans="1:13" x14ac:dyDescent="0.25">
      <c r="A91" t="s">
        <v>8</v>
      </c>
      <c r="B91" s="6">
        <f t="shared" ref="B91:K91" si="45">+B19+B41</f>
        <v>10176</v>
      </c>
      <c r="C91" s="6">
        <f t="shared" si="45"/>
        <v>10418</v>
      </c>
      <c r="D91" s="6">
        <f t="shared" si="45"/>
        <v>10735</v>
      </c>
      <c r="E91" s="6">
        <f t="shared" si="45"/>
        <v>10985</v>
      </c>
      <c r="F91" s="6">
        <f t="shared" si="45"/>
        <v>10882</v>
      </c>
      <c r="G91" s="6">
        <f t="shared" si="45"/>
        <v>11201</v>
      </c>
      <c r="H91" s="6">
        <f t="shared" si="45"/>
        <v>11394</v>
      </c>
      <c r="I91" s="6">
        <f t="shared" si="45"/>
        <v>11578</v>
      </c>
      <c r="J91" s="6">
        <f t="shared" si="45"/>
        <v>11777</v>
      </c>
      <c r="K91" s="6">
        <f t="shared" si="45"/>
        <v>11976</v>
      </c>
      <c r="M91" s="18">
        <f>((K91-B91)/B91)/9</f>
        <v>1.9654088050314465E-2</v>
      </c>
    </row>
    <row r="92" spans="1:13" x14ac:dyDescent="0.25">
      <c r="C92" s="18">
        <f>(C91-B91)/B91</f>
        <v>2.3781446540880505E-2</v>
      </c>
      <c r="D92" s="18">
        <f t="shared" ref="D92:K92" si="46">(D91-C91)/C91</f>
        <v>3.0428105202534077E-2</v>
      </c>
      <c r="E92" s="18">
        <f t="shared" si="46"/>
        <v>2.3288309268747091E-2</v>
      </c>
      <c r="F92" s="18">
        <f t="shared" si="46"/>
        <v>-9.3764223941738729E-3</v>
      </c>
      <c r="G92" s="18">
        <f t="shared" si="46"/>
        <v>2.931446425289469E-2</v>
      </c>
      <c r="H92" s="18">
        <f t="shared" si="46"/>
        <v>1.7230604410320507E-2</v>
      </c>
      <c r="I92" s="18">
        <f t="shared" si="46"/>
        <v>1.614885027207302E-2</v>
      </c>
      <c r="J92" s="18">
        <f t="shared" si="46"/>
        <v>1.7187769908447056E-2</v>
      </c>
      <c r="K92" s="18">
        <f t="shared" si="46"/>
        <v>1.6897342277320201E-2</v>
      </c>
      <c r="M92" s="25">
        <f>AVERAGE(C92:K92)</f>
        <v>1.8322274415449254E-2</v>
      </c>
    </row>
    <row r="94" spans="1:13" x14ac:dyDescent="0.25">
      <c r="C94" s="18">
        <v>2.87239071427755E-2</v>
      </c>
      <c r="D94" s="18">
        <v>3.5256368979479896E-2</v>
      </c>
      <c r="E94" s="18">
        <v>2.9428803325411892E-2</v>
      </c>
      <c r="F94" s="18">
        <v>2.7422864020473423E-2</v>
      </c>
      <c r="G94" s="18">
        <v>2.1862679822407041E-2</v>
      </c>
      <c r="H94" s="18">
        <v>2.1056254005471575E-2</v>
      </c>
      <c r="I94" s="18">
        <v>1.2310186417676238E-2</v>
      </c>
      <c r="J94" s="18">
        <v>1.5151671438056175E-2</v>
      </c>
      <c r="K94" s="18">
        <v>1.56894084756815E-2</v>
      </c>
    </row>
    <row r="96" spans="1:13" x14ac:dyDescent="0.25">
      <c r="C96" s="25">
        <f>+C92-C94</f>
        <v>-4.9424606018949949E-3</v>
      </c>
      <c r="D96" s="25">
        <f t="shared" ref="D96:K96" si="47">+D92-D94</f>
        <v>-4.8282637769458195E-3</v>
      </c>
      <c r="E96" s="25">
        <f t="shared" si="47"/>
        <v>-6.1404940566648011E-3</v>
      </c>
      <c r="F96" s="25">
        <f t="shared" si="47"/>
        <v>-3.6799286414647296E-2</v>
      </c>
      <c r="G96" s="25">
        <f t="shared" si="47"/>
        <v>7.4517844304876485E-3</v>
      </c>
      <c r="H96" s="25">
        <f t="shared" si="47"/>
        <v>-3.8256495951510677E-3</v>
      </c>
      <c r="I96" s="25">
        <f t="shared" si="47"/>
        <v>3.8386638543967816E-3</v>
      </c>
      <c r="J96" s="25">
        <f t="shared" si="47"/>
        <v>2.0360984703908808E-3</v>
      </c>
      <c r="K96" s="25">
        <f t="shared" si="47"/>
        <v>1.2079338016387012E-3</v>
      </c>
    </row>
    <row r="99" spans="1:12" x14ac:dyDescent="0.25">
      <c r="A99" s="36" t="s">
        <v>74</v>
      </c>
      <c r="B99" s="37">
        <f>+B57/B56</f>
        <v>0.11644895152973531</v>
      </c>
      <c r="C99" s="37">
        <f t="shared" ref="C99:K99" si="48">+C57/C56</f>
        <v>0.11667798913043478</v>
      </c>
      <c r="D99" s="37">
        <f t="shared" si="48"/>
        <v>0.126780868385346</v>
      </c>
      <c r="E99" s="37">
        <f t="shared" si="48"/>
        <v>0.12971026628705409</v>
      </c>
      <c r="F99" s="37">
        <f t="shared" si="48"/>
        <v>0.13393841716854696</v>
      </c>
      <c r="G99" s="37">
        <f t="shared" si="48"/>
        <v>0.13142571951422391</v>
      </c>
      <c r="H99" s="37">
        <f t="shared" si="48"/>
        <v>0.13139582480556691</v>
      </c>
      <c r="I99" s="37">
        <f t="shared" si="48"/>
        <v>0.13146221469473346</v>
      </c>
      <c r="J99" s="37">
        <f t="shared" si="48"/>
        <v>0.13144943641847912</v>
      </c>
      <c r="K99" s="37">
        <f t="shared" si="48"/>
        <v>0.13174139051332034</v>
      </c>
    </row>
    <row r="101" spans="1:12" x14ac:dyDescent="0.25">
      <c r="A101" t="s">
        <v>72</v>
      </c>
      <c r="B101" s="6">
        <f>+B56</f>
        <v>11636</v>
      </c>
      <c r="C101" s="17">
        <f>+B101*1.01</f>
        <v>11752.36</v>
      </c>
      <c r="D101" s="17">
        <f t="shared" ref="D101:K101" si="49">+C101*1.01</f>
        <v>11869.883600000001</v>
      </c>
      <c r="E101" s="17">
        <f t="shared" si="49"/>
        <v>11988.582436000001</v>
      </c>
      <c r="F101" s="17">
        <f t="shared" si="49"/>
        <v>12108.468260360001</v>
      </c>
      <c r="G101" s="17">
        <f t="shared" si="49"/>
        <v>12229.552942963601</v>
      </c>
      <c r="H101" s="17">
        <f t="shared" si="49"/>
        <v>12351.848472393236</v>
      </c>
      <c r="I101" s="17">
        <f t="shared" si="49"/>
        <v>12475.366957117169</v>
      </c>
      <c r="J101" s="17">
        <f t="shared" si="49"/>
        <v>12600.12062668834</v>
      </c>
      <c r="K101" s="17">
        <f t="shared" si="49"/>
        <v>12726.121832955223</v>
      </c>
    </row>
    <row r="102" spans="1:12" x14ac:dyDescent="0.25">
      <c r="B102" s="6">
        <f>+B57</f>
        <v>1355</v>
      </c>
      <c r="C102" s="6">
        <f>+C101*C99</f>
        <v>1371.2417323369566</v>
      </c>
      <c r="D102" s="6">
        <f t="shared" ref="D102:K102" si="50">+D101*D99</f>
        <v>1504.874150440977</v>
      </c>
      <c r="E102" s="6">
        <f t="shared" si="50"/>
        <v>1555.0422201778597</v>
      </c>
      <c r="F102" s="6">
        <f t="shared" si="50"/>
        <v>1621.789073128208</v>
      </c>
      <c r="G102" s="6">
        <f t="shared" si="50"/>
        <v>1607.2777948662858</v>
      </c>
      <c r="H102" s="6">
        <f t="shared" si="50"/>
        <v>1622.9813179034909</v>
      </c>
      <c r="I102" s="6">
        <f t="shared" si="50"/>
        <v>1640.0393693121209</v>
      </c>
      <c r="J102" s="6">
        <f t="shared" si="50"/>
        <v>1656.2787551830361</v>
      </c>
      <c r="K102" s="6">
        <f t="shared" si="50"/>
        <v>1676.5569861154461</v>
      </c>
      <c r="L102" s="6"/>
    </row>
    <row r="103" spans="1:12" x14ac:dyDescent="0.25">
      <c r="B103" s="6">
        <f>+B102+B101</f>
        <v>12991</v>
      </c>
      <c r="C103" s="6">
        <f t="shared" ref="C103:K103" si="51">+C102+C101</f>
        <v>13123.601732336958</v>
      </c>
      <c r="D103" s="6">
        <f t="shared" si="51"/>
        <v>13374.757750440978</v>
      </c>
      <c r="E103" s="6">
        <f t="shared" si="51"/>
        <v>13543.624656177861</v>
      </c>
      <c r="F103" s="6">
        <f t="shared" si="51"/>
        <v>13730.257333488209</v>
      </c>
      <c r="G103" s="6">
        <f t="shared" si="51"/>
        <v>13836.830737829887</v>
      </c>
      <c r="H103" s="6">
        <f t="shared" si="51"/>
        <v>13974.829790296728</v>
      </c>
      <c r="I103" s="6">
        <f t="shared" si="51"/>
        <v>14115.406326429289</v>
      </c>
      <c r="J103" s="6">
        <f t="shared" si="51"/>
        <v>14256.399381871375</v>
      </c>
      <c r="K103" s="6">
        <f t="shared" si="51"/>
        <v>14402.678819070668</v>
      </c>
    </row>
    <row r="104" spans="1:12" x14ac:dyDescent="0.25">
      <c r="B104" s="6"/>
      <c r="C104" s="6"/>
      <c r="D104" s="6"/>
      <c r="E104" s="6"/>
      <c r="F104" s="6"/>
      <c r="G104" s="6"/>
      <c r="H104" s="6"/>
      <c r="I104" s="6"/>
      <c r="J104" s="6"/>
    </row>
    <row r="105" spans="1:12" x14ac:dyDescent="0.25">
      <c r="A105" t="str">
        <f>+A101</f>
        <v>My Estimates</v>
      </c>
      <c r="B105" s="6">
        <f>+B54-B103</f>
        <v>-1219</v>
      </c>
      <c r="C105" s="6">
        <f t="shared" ref="C105:K105" si="52">+C54-C103</f>
        <v>-1346.6017323369579</v>
      </c>
      <c r="D105" s="6">
        <f t="shared" si="52"/>
        <v>-2311.7577504409783</v>
      </c>
      <c r="E105" s="6">
        <f t="shared" si="52"/>
        <v>-2645.6246561778607</v>
      </c>
      <c r="F105" s="6">
        <f t="shared" si="52"/>
        <v>-3221.257333488209</v>
      </c>
      <c r="G105" s="6">
        <f t="shared" si="52"/>
        <v>-3206.8307378298869</v>
      </c>
      <c r="H105" s="6">
        <f t="shared" si="52"/>
        <v>-3358.8297902967279</v>
      </c>
      <c r="I105" s="6">
        <f t="shared" si="52"/>
        <v>-3554.406326429289</v>
      </c>
      <c r="J105" s="6">
        <f t="shared" si="52"/>
        <v>-3864.3993818713752</v>
      </c>
      <c r="K105" s="6">
        <f t="shared" si="52"/>
        <v>-4040.6788190706684</v>
      </c>
    </row>
    <row r="106" spans="1:12" x14ac:dyDescent="0.25">
      <c r="A106" t="str">
        <f>+A59</f>
        <v>System Position</v>
      </c>
      <c r="B106" s="3">
        <f t="shared" ref="B106:K106" si="53">+B59</f>
        <v>-1217</v>
      </c>
      <c r="C106" s="3">
        <f t="shared" si="53"/>
        <v>-1373</v>
      </c>
      <c r="D106" s="3">
        <f t="shared" si="53"/>
        <v>-2222</v>
      </c>
      <c r="E106" s="3">
        <f t="shared" si="53"/>
        <v>-2592</v>
      </c>
      <c r="F106" s="3">
        <f t="shared" si="53"/>
        <v>-2860</v>
      </c>
      <c r="G106" s="3">
        <f t="shared" si="53"/>
        <v>-2972</v>
      </c>
      <c r="H106" s="3">
        <f t="shared" si="53"/>
        <v>-3204</v>
      </c>
      <c r="I106" s="3">
        <f t="shared" si="53"/>
        <v>-3469</v>
      </c>
      <c r="J106" s="3">
        <f t="shared" si="53"/>
        <v>-3861</v>
      </c>
      <c r="K106" s="3">
        <f t="shared" si="53"/>
        <v>-3571</v>
      </c>
    </row>
    <row r="107" spans="1:12" x14ac:dyDescent="0.25">
      <c r="B107" s="6">
        <f>+B105-B106</f>
        <v>-2</v>
      </c>
      <c r="C107" s="6">
        <f>+C105-C106</f>
        <v>26.398267663042134</v>
      </c>
      <c r="D107" s="6">
        <f t="shared" ref="D107:K107" si="54">+D105-D106</f>
        <v>-89.75775044097827</v>
      </c>
      <c r="E107" s="6">
        <f t="shared" si="54"/>
        <v>-53.624656177860743</v>
      </c>
      <c r="F107" s="6">
        <f t="shared" si="54"/>
        <v>-361.25733348820904</v>
      </c>
      <c r="G107" s="6">
        <f t="shared" si="54"/>
        <v>-234.83073782988686</v>
      </c>
      <c r="H107" s="6">
        <f t="shared" si="54"/>
        <v>-154.82979029672788</v>
      </c>
      <c r="I107" s="6">
        <f t="shared" si="54"/>
        <v>-85.406326429289038</v>
      </c>
      <c r="J107" s="6">
        <f t="shared" si="54"/>
        <v>-3.3993818713752262</v>
      </c>
      <c r="K107" s="6">
        <f t="shared" si="54"/>
        <v>-469.6788190706684</v>
      </c>
    </row>
  </sheetData>
  <mergeCells count="3">
    <mergeCell ref="A3:K3"/>
    <mergeCell ref="A4:K4"/>
    <mergeCell ref="A5:K5"/>
  </mergeCells>
  <pageMargins left="0.7" right="0.7" top="0.75" bottom="0.75" header="0.3" footer="0.3"/>
  <pageSetup scale="76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2004 IRP UPDATE</vt:lpstr>
      <vt:lpstr>2007 IRP</vt:lpstr>
      <vt:lpstr>2007 IRP UPDATE JUNE 08</vt:lpstr>
      <vt:lpstr>Duvall Testimony - Lakeside</vt:lpstr>
      <vt:lpstr>2008 IRP w Lake Side 2</vt:lpstr>
      <vt:lpstr>2008 IRP - May 2009</vt:lpstr>
      <vt:lpstr>2008 IRP Update - Mar 2010</vt:lpstr>
      <vt:lpstr>2011 IRP - Mar 2011</vt:lpstr>
      <vt:lpstr>2011 IRP Update</vt:lpstr>
      <vt:lpstr>2013 IRP</vt:lpstr>
      <vt:lpstr>2013 IRP Apr 2013</vt:lpstr>
      <vt:lpstr>2013 IRP Update</vt:lpstr>
      <vt:lpstr>2015 IRP</vt:lpstr>
      <vt:lpstr>2015 IRP Update</vt:lpstr>
      <vt:lpstr>Change</vt:lpstr>
      <vt:lpstr>2017 IRP</vt:lpstr>
      <vt:lpstr>Load</vt:lpstr>
      <vt:lpstr>'2007 IRP UPDATE JUNE 08'!Print_Area</vt:lpstr>
      <vt:lpstr>'2004 IRP UPDATE'!Target_Margin</vt:lpstr>
      <vt:lpstr>'2007 IRP'!Target_Margin</vt:lpstr>
      <vt:lpstr>'2007 IRP UPDATE JUNE 08'!Target_Margin</vt:lpstr>
      <vt:lpstr>'2008 IRP - May 2009'!Target_Margin</vt:lpstr>
      <vt:lpstr>'2008 IRP Update - Mar 2010'!Target_Margin</vt:lpstr>
      <vt:lpstr>'2008 IRP w Lake Side 2'!Target_Margin</vt:lpstr>
      <vt:lpstr>'Duvall Testimony - Lakeside'!Target_Margin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Wheelwright</dc:creator>
  <cp:lastModifiedBy>laurieharris</cp:lastModifiedBy>
  <cp:lastPrinted>2016-11-10T20:13:45Z</cp:lastPrinted>
  <dcterms:created xsi:type="dcterms:W3CDTF">2008-12-18T21:40:09Z</dcterms:created>
  <dcterms:modified xsi:type="dcterms:W3CDTF">2016-11-16T22:13:15Z</dcterms:modified>
</cp:coreProperties>
</file>