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45" windowWidth="8175" windowHeight="9120" tabRatio="892" activeTab="0"/>
  </bookViews>
  <sheets>
    <sheet name="PacifiCorp" sheetId="1" r:id="rId1"/>
  </sheets>
  <definedNames>
    <definedName name="_xlnm.Print_Area" localSheetId="0">'PacifiCorp'!$A$1:$M$144</definedName>
  </definedNames>
  <calcPr fullCalcOnLoad="1"/>
</workbook>
</file>

<file path=xl/sharedStrings.xml><?xml version="1.0" encoding="utf-8"?>
<sst xmlns="http://schemas.openxmlformats.org/spreadsheetml/2006/main" count="190" uniqueCount="130">
  <si>
    <t>Exhibit 1</t>
  </si>
  <si>
    <t>Historical Balance Sheets</t>
  </si>
  <si>
    <t>Common Size</t>
  </si>
  <si>
    <t>2003-2008</t>
  </si>
  <si>
    <t>Six Months</t>
  </si>
  <si>
    <t>Avg. Annual</t>
  </si>
  <si>
    <t>Account Name</t>
  </si>
  <si>
    <t>Pct. Change</t>
  </si>
  <si>
    <t>Current Assets:</t>
  </si>
  <si>
    <t>Cash &amp; Equivalents</t>
  </si>
  <si>
    <t>Accounts Receivable</t>
  </si>
  <si>
    <t>Material, Supplies, Fuel</t>
  </si>
  <si>
    <t>Other Current Assets</t>
  </si>
  <si>
    <t>Total Current Assets</t>
  </si>
  <si>
    <t>Plant &amp; Equipment:</t>
  </si>
  <si>
    <t>Other PP&amp;E</t>
  </si>
  <si>
    <t>Total Plant &amp; Equipment:</t>
  </si>
  <si>
    <t>Total Plant &amp; Equipment</t>
  </si>
  <si>
    <t>Accumulated Depreciation &amp; Amort.</t>
  </si>
  <si>
    <t>Net Plant &amp; Equipment</t>
  </si>
  <si>
    <t>Other Assets:</t>
  </si>
  <si>
    <t>Regulatory Assets</t>
  </si>
  <si>
    <t>Intangible Assets-net</t>
  </si>
  <si>
    <t>Finance Assets</t>
  </si>
  <si>
    <t>Deferred Charges and Other</t>
  </si>
  <si>
    <t>Total Other Assets</t>
  </si>
  <si>
    <t>Total Non-Current Assets</t>
  </si>
  <si>
    <t>Total Assets</t>
  </si>
  <si>
    <t>Current Liabilities:</t>
  </si>
  <si>
    <t>Current Maturities LTD</t>
  </si>
  <si>
    <t>Notes Payable and Commercial Paper</t>
  </si>
  <si>
    <t>Accounts Payable</t>
  </si>
  <si>
    <t>Payable to Affiliates</t>
  </si>
  <si>
    <t>Other Payables and Accrued Expenses</t>
  </si>
  <si>
    <t xml:space="preserve">Other </t>
  </si>
  <si>
    <t>Total Current Liabilities</t>
  </si>
  <si>
    <t>Long-Term Debt</t>
  </si>
  <si>
    <t>Deferred Income Taxes</t>
  </si>
  <si>
    <t>Other Deferred Credits</t>
  </si>
  <si>
    <t>Total LTD &amp; Deferrals</t>
  </si>
  <si>
    <t>Total Liabilities</t>
  </si>
  <si>
    <t>Preferred Stock</t>
  </si>
  <si>
    <t>Common Equity:</t>
  </si>
  <si>
    <t>Common Stock</t>
  </si>
  <si>
    <t>Retained Earnings</t>
  </si>
  <si>
    <t>Total Common Equity</t>
  </si>
  <si>
    <t>Total Liabilities &amp; Equity</t>
  </si>
  <si>
    <t>Historical Income Statements</t>
  </si>
  <si>
    <t>Average</t>
  </si>
  <si>
    <t>Operating Sales and Revenues:</t>
  </si>
  <si>
    <t>Operating Revenues:</t>
  </si>
  <si>
    <t>Total Sales</t>
  </si>
  <si>
    <t>Total Revenues</t>
  </si>
  <si>
    <t>Operating Expenses:</t>
  </si>
  <si>
    <t xml:space="preserve">   Purchased power</t>
  </si>
  <si>
    <t xml:space="preserve">   Fuel</t>
  </si>
  <si>
    <t xml:space="preserve">   Other operations and maintenance</t>
  </si>
  <si>
    <t xml:space="preserve">   Depreciation and amortization</t>
  </si>
  <si>
    <t xml:space="preserve">   Taxes, other than income taxes</t>
  </si>
  <si>
    <t xml:space="preserve">   Other Operating Expenses</t>
  </si>
  <si>
    <t>Total Operating Expenses</t>
  </si>
  <si>
    <t xml:space="preserve">   Interest expense (net)</t>
  </si>
  <si>
    <t xml:space="preserve">   Interest income</t>
  </si>
  <si>
    <t xml:space="preserve">   Loss (Gain) on Sale of Assets</t>
  </si>
  <si>
    <t xml:space="preserve">   Other Income (Expense)</t>
  </si>
  <si>
    <t>Total Other Income/Expense</t>
  </si>
  <si>
    <t>Earnings Before Taxes</t>
  </si>
  <si>
    <t>Extraordinary Items</t>
  </si>
  <si>
    <t>Income Taxes</t>
  </si>
  <si>
    <t>Net Income</t>
  </si>
  <si>
    <t>Preferred Stock Dividends</t>
  </si>
  <si>
    <t>Preferred Dividend Payout Ratio</t>
  </si>
  <si>
    <t>Common Stock Dividends</t>
  </si>
  <si>
    <t>Common Dividend Payout Ratio</t>
  </si>
  <si>
    <t>Historical Financial Ratios</t>
  </si>
  <si>
    <t>Ratio Group And Name</t>
  </si>
  <si>
    <t>Short-term Liquidity Ratios:</t>
  </si>
  <si>
    <t>Current</t>
  </si>
  <si>
    <t>Quick</t>
  </si>
  <si>
    <t>Days Revenues Receivable</t>
  </si>
  <si>
    <t>Long-term Solvency Ratios:</t>
  </si>
  <si>
    <t>Net Worth/Total Debt</t>
  </si>
  <si>
    <t>Net Worth/Non Current Debt</t>
  </si>
  <si>
    <t>Net Worth/Fixed Assets</t>
  </si>
  <si>
    <t>Times Interest Earned</t>
  </si>
  <si>
    <t>Profitability Ratios:</t>
  </si>
  <si>
    <t>Return On Total Assets</t>
  </si>
  <si>
    <t>Return On Total Capital</t>
  </si>
  <si>
    <t>Return On Common Equity</t>
  </si>
  <si>
    <t>Sales/Cash</t>
  </si>
  <si>
    <t>Sales/Accounts Receivable</t>
  </si>
  <si>
    <t>Sales/Working Capital</t>
  </si>
  <si>
    <t>Sales/Fixed Assets</t>
  </si>
  <si>
    <t>Sales/Total Assets</t>
  </si>
  <si>
    <t>Other Financial Indicators:</t>
  </si>
  <si>
    <t>Bond Rating</t>
  </si>
  <si>
    <t>Common Equity</t>
  </si>
  <si>
    <t>Investments in Affiliates</t>
  </si>
  <si>
    <t>PacifiCorp</t>
  </si>
  <si>
    <t xml:space="preserve">   Other (Income) Expense</t>
  </si>
  <si>
    <t>page 4 of 7</t>
  </si>
  <si>
    <t>Nine Months</t>
  </si>
  <si>
    <t xml:space="preserve">  Domestic Plant in Service</t>
  </si>
  <si>
    <t xml:space="preserve">  Construction Work in Progress</t>
  </si>
  <si>
    <t xml:space="preserve">  Domestic Electric Operations</t>
  </si>
  <si>
    <t>Australian Electric Operations</t>
  </si>
  <si>
    <t>page 2 of 7</t>
  </si>
  <si>
    <t>Sales</t>
  </si>
  <si>
    <t>Revenues</t>
  </si>
  <si>
    <t>na</t>
  </si>
  <si>
    <t>Earnings From Operations</t>
  </si>
  <si>
    <t>*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</si>
  <si>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</si>
  <si>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</si>
  <si>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</si>
  <si>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</si>
  <si>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</si>
  <si>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</si>
  <si>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</si>
  <si>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Fiscal Years Ended March 31 (through 3/31/2006), Fiscal Year Ended December 31 (beginning 12/31/ 2006)</t>
  </si>
  <si>
    <t>Dec 2006</t>
  </si>
  <si>
    <t>June 2009</t>
  </si>
  <si>
    <t>A/BBB</t>
  </si>
  <si>
    <t>With Additional Revenues in 2007 and 2008 From Utah's Proposed ECAM</t>
  </si>
  <si>
    <t>With the Effects of Additional Revenues in 2007 and 2008 From Utah's Proposed ECAM</t>
  </si>
  <si>
    <t>DPU Exhibit 1.2</t>
  </si>
  <si>
    <t>page 3 of 3</t>
  </si>
  <si>
    <t>page 2 of 3</t>
  </si>
  <si>
    <t>page 1 of 3</t>
  </si>
  <si>
    <t>Additional Cash and Retained Earnings Due to Assumed ECAM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</si>
</sst>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.0_);\(&quot;$&quot;#,##0.0\)"/>
    <numFmt numFmtId="167" formatCode="&quot;$&quot;#,##0.00"/>
    <numFmt numFmtId="168" formatCode="#,##0.000_);\(#,##0.000\)"/>
    <numFmt numFmtId="169" formatCode="_(* #,##0.0_);_(* \(#,##0.0\);_(* &quot;-&quot;??_);_(@_)"/>
    <numFmt numFmtId="170" formatCode="_(* #,##0.0_);_(* \(#,##0.0\);_(* &quot;-&quot;?_);_(@_)"/>
  </numFmts>
  <fonts count="26"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>
        <color indexed="63"/>
      </bottom>
    </border>
    <border>
      <left/>
      <right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6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5" fontId="2" fillId="24" borderId="0" xfId="0" applyNumberFormat="1" applyFont="1" applyFill="1" applyAlignment="1">
      <alignment/>
    </xf>
    <xf numFmtId="10" fontId="4" fillId="24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10" fontId="2" fillId="24" borderId="0" xfId="0" applyNumberFormat="1" applyFont="1" applyFill="1" applyAlignment="1" quotePrefix="1">
      <alignment horizontal="left"/>
    </xf>
    <xf numFmtId="5" fontId="5" fillId="0" borderId="0" xfId="0" applyNumberFormat="1" applyFont="1" applyFill="1" applyAlignment="1">
      <alignment horizontal="centerContinuous"/>
    </xf>
    <xf numFmtId="5" fontId="2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Alignment="1">
      <alignment horizontal="centerContinuous"/>
    </xf>
    <xf numFmtId="5" fontId="5" fillId="24" borderId="0" xfId="0" applyNumberFormat="1" applyFont="1" applyFill="1" applyAlignment="1">
      <alignment horizontal="centerContinuous"/>
    </xf>
    <xf numFmtId="5" fontId="2" fillId="24" borderId="0" xfId="0" applyNumberFormat="1" applyFont="1" applyFill="1" applyAlignment="1">
      <alignment horizontal="centerContinuous"/>
    </xf>
    <xf numFmtId="10" fontId="2" fillId="24" borderId="0" xfId="0" applyNumberFormat="1" applyFont="1" applyFill="1" applyAlignment="1">
      <alignment horizontal="centerContinuous"/>
    </xf>
    <xf numFmtId="5" fontId="6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2" fillId="0" borderId="0" xfId="0" applyNumberFormat="1" applyFont="1" applyFill="1" applyAlignment="1">
      <alignment horizontal="centerContinuous"/>
    </xf>
    <xf numFmtId="5" fontId="6" fillId="24" borderId="0" xfId="0" applyNumberFormat="1" applyFont="1" applyFill="1" applyAlignment="1">
      <alignment horizontal="centerContinuous"/>
    </xf>
    <xf numFmtId="10" fontId="2" fillId="0" borderId="0" xfId="0" applyNumberFormat="1" applyFont="1" applyFill="1" applyAlignment="1">
      <alignment horizontal="right"/>
    </xf>
    <xf numFmtId="5" fontId="3" fillId="24" borderId="0" xfId="0" applyNumberFormat="1" applyFont="1" applyFill="1" applyAlignment="1">
      <alignment horizontal="centerContinuous"/>
    </xf>
    <xf numFmtId="5" fontId="2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 horizontal="right"/>
    </xf>
    <xf numFmtId="10" fontId="2" fillId="24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" fontId="2" fillId="0" borderId="10" xfId="0" applyNumberFormat="1" applyFont="1" applyFill="1" applyBorder="1" applyAlignment="1" quotePrefix="1">
      <alignment horizontal="right"/>
    </xf>
    <xf numFmtId="10" fontId="2" fillId="0" borderId="10" xfId="0" applyNumberFormat="1" applyFont="1" applyFill="1" applyBorder="1" applyAlignment="1">
      <alignment horizontal="right"/>
    </xf>
    <xf numFmtId="5" fontId="2" fillId="24" borderId="0" xfId="0" applyNumberFormat="1" applyFont="1" applyFill="1" applyAlignment="1">
      <alignment horizontal="right"/>
    </xf>
    <xf numFmtId="10" fontId="2" fillId="24" borderId="0" xfId="0" applyNumberFormat="1" applyFont="1" applyFill="1" applyAlignment="1">
      <alignment horizontal="right"/>
    </xf>
    <xf numFmtId="5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10" fontId="2" fillId="24" borderId="10" xfId="0" applyNumberFormat="1" applyFont="1" applyFill="1" applyBorder="1" applyAlignment="1">
      <alignment horizontal="right"/>
    </xf>
    <xf numFmtId="5" fontId="4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5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0" fontId="2" fillId="24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5" fontId="2" fillId="0" borderId="10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0" fontId="2" fillId="24" borderId="0" xfId="0" applyNumberFormat="1" applyFont="1" applyFill="1" applyBorder="1" applyAlignment="1">
      <alignment/>
    </xf>
    <xf numFmtId="10" fontId="2" fillId="24" borderId="10" xfId="0" applyNumberFormat="1" applyFont="1" applyFill="1" applyBorder="1" applyAlignment="1">
      <alignment/>
    </xf>
    <xf numFmtId="10" fontId="2" fillId="24" borderId="11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5" fontId="2" fillId="0" borderId="0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24" borderId="13" xfId="0" applyNumberFormat="1" applyFont="1" applyFill="1" applyBorder="1" applyAlignment="1">
      <alignment/>
    </xf>
    <xf numFmtId="10" fontId="2" fillId="24" borderId="14" xfId="0" applyNumberFormat="1" applyFont="1" applyFill="1" applyBorder="1" applyAlignment="1">
      <alignment/>
    </xf>
    <xf numFmtId="10" fontId="2" fillId="24" borderId="15" xfId="0" applyNumberFormat="1" applyFont="1" applyFill="1" applyBorder="1" applyAlignment="1">
      <alignment/>
    </xf>
    <xf numFmtId="5" fontId="0" fillId="24" borderId="0" xfId="0" applyNumberFormat="1" applyFill="1" applyAlignment="1">
      <alignment/>
    </xf>
    <xf numFmtId="5" fontId="2" fillId="24" borderId="0" xfId="0" applyNumberFormat="1" applyFont="1" applyFill="1" applyAlignment="1">
      <alignment horizontal="left"/>
    </xf>
    <xf numFmtId="5" fontId="2" fillId="0" borderId="0" xfId="0" applyNumberFormat="1" applyFont="1" applyFill="1" applyAlignment="1">
      <alignment horizontal="left"/>
    </xf>
    <xf numFmtId="10" fontId="2" fillId="0" borderId="16" xfId="0" applyNumberFormat="1" applyFont="1" applyFill="1" applyBorder="1" applyAlignment="1">
      <alignment/>
    </xf>
    <xf numFmtId="10" fontId="2" fillId="0" borderId="0" xfId="0" applyNumberFormat="1" applyFont="1" applyFill="1" applyAlignment="1" quotePrefix="1">
      <alignment horizontal="left"/>
    </xf>
    <xf numFmtId="166" fontId="2" fillId="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7" fillId="0" borderId="0" xfId="0" applyFont="1" applyFill="1" applyAlignment="1">
      <alignment/>
    </xf>
    <xf numFmtId="5" fontId="7" fillId="24" borderId="0" xfId="0" applyNumberFormat="1" applyFont="1" applyFill="1" applyAlignment="1">
      <alignment/>
    </xf>
    <xf numFmtId="5" fontId="7" fillId="0" borderId="0" xfId="0" applyNumberFormat="1" applyFont="1" applyFill="1" applyAlignment="1" quotePrefix="1">
      <alignment horizontal="left"/>
    </xf>
    <xf numFmtId="166" fontId="2" fillId="24" borderId="0" xfId="0" applyNumberFormat="1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10" fontId="2" fillId="0" borderId="0" xfId="57" applyNumberFormat="1" applyFont="1" applyFill="1" applyAlignment="1">
      <alignment/>
    </xf>
    <xf numFmtId="5" fontId="4" fillId="0" borderId="0" xfId="0" applyNumberFormat="1" applyFont="1" applyFill="1" applyAlignment="1" quotePrefix="1">
      <alignment horizontal="left"/>
    </xf>
    <xf numFmtId="10" fontId="2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9" fontId="2" fillId="0" borderId="0" xfId="42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169" fontId="2" fillId="0" borderId="10" xfId="42" applyNumberFormat="1" applyFont="1" applyFill="1" applyBorder="1" applyAlignment="1">
      <alignment/>
    </xf>
    <xf numFmtId="169" fontId="2" fillId="0" borderId="11" xfId="42" applyNumberFormat="1" applyFont="1" applyFill="1" applyBorder="1" applyAlignment="1">
      <alignment/>
    </xf>
    <xf numFmtId="169" fontId="2" fillId="0" borderId="13" xfId="42" applyNumberFormat="1" applyFont="1" applyFill="1" applyBorder="1" applyAlignment="1">
      <alignment/>
    </xf>
    <xf numFmtId="169" fontId="2" fillId="0" borderId="14" xfId="42" applyNumberFormat="1" applyFont="1" applyFill="1" applyBorder="1" applyAlignment="1">
      <alignment/>
    </xf>
    <xf numFmtId="169" fontId="2" fillId="0" borderId="15" xfId="42" applyNumberFormat="1" applyFont="1" applyFill="1" applyBorder="1" applyAlignment="1">
      <alignment/>
    </xf>
    <xf numFmtId="169" fontId="2" fillId="0" borderId="12" xfId="42" applyNumberFormat="1" applyFont="1" applyFill="1" applyBorder="1" applyAlignment="1">
      <alignment/>
    </xf>
    <xf numFmtId="169" fontId="0" fillId="0" borderId="0" xfId="42" applyNumberFormat="1" applyFont="1" applyFill="1" applyAlignment="1">
      <alignment/>
    </xf>
    <xf numFmtId="169" fontId="7" fillId="0" borderId="11" xfId="42" applyNumberFormat="1" applyFont="1" applyFill="1" applyBorder="1" applyAlignment="1">
      <alignment/>
    </xf>
    <xf numFmtId="169" fontId="2" fillId="0" borderId="0" xfId="42" applyNumberFormat="1" applyFont="1" applyFill="1" applyAlignment="1">
      <alignment/>
    </xf>
    <xf numFmtId="169" fontId="2" fillId="0" borderId="0" xfId="42" applyNumberFormat="1" applyFont="1" applyFill="1" applyAlignment="1">
      <alignment horizontal="center"/>
    </xf>
    <xf numFmtId="169" fontId="2" fillId="0" borderId="0" xfId="42" applyNumberFormat="1" applyFont="1" applyFill="1" applyAlignment="1">
      <alignment horizontal="right"/>
    </xf>
    <xf numFmtId="169" fontId="2" fillId="0" borderId="10" xfId="42" applyNumberFormat="1" applyFont="1" applyFill="1" applyBorder="1" applyAlignment="1">
      <alignment/>
    </xf>
    <xf numFmtId="169" fontId="2" fillId="0" borderId="0" xfId="42" applyNumberFormat="1" applyFont="1" applyFill="1" applyBorder="1" applyAlignment="1" applyProtection="1">
      <alignment/>
      <protection/>
    </xf>
    <xf numFmtId="166" fontId="2" fillId="0" borderId="0" xfId="44" applyNumberFormat="1" applyFont="1" applyFill="1" applyAlignment="1">
      <alignment/>
    </xf>
    <xf numFmtId="5" fontId="2" fillId="0" borderId="0" xfId="0" applyNumberFormat="1" applyFont="1" applyFill="1" applyAlignment="1">
      <alignment horizontal="right"/>
    </xf>
    <xf numFmtId="5" fontId="9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M2" sqref="M2"/>
    </sheetView>
  </sheetViews>
  <sheetFormatPr defaultColWidth="9.140625" defaultRowHeight="15"/>
  <cols>
    <col min="1" max="1" width="31.140625" style="0" bestFit="1" customWidth="1"/>
    <col min="2" max="8" width="0" style="0" hidden="1" customWidth="1"/>
    <col min="9" max="9" width="11.140625" style="0" hidden="1" customWidth="1"/>
    <col min="10" max="13" width="12.7109375" style="0" customWidth="1"/>
    <col min="15" max="15" width="31.140625" style="0" hidden="1" customWidth="1"/>
    <col min="16" max="28" width="0" style="0" hidden="1" customWidth="1"/>
  </cols>
  <sheetData>
    <row r="1" spans="1:2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125</v>
      </c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 t="s">
        <v>0</v>
      </c>
      <c r="AB1" s="8"/>
    </row>
    <row r="2" spans="1:2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 t="s">
        <v>127</v>
      </c>
      <c r="N2" s="5"/>
      <c r="O2" s="14" t="str">
        <f>A3</f>
        <v>PacifiCorp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0" t="s">
        <v>100</v>
      </c>
      <c r="AB2" s="8"/>
    </row>
    <row r="3" spans="1:28" ht="18.75">
      <c r="A3" s="11" t="s">
        <v>98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5"/>
      <c r="O3" s="20" t="s">
        <v>2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8"/>
    </row>
    <row r="4" spans="1:28" ht="15.75">
      <c r="A4" s="17" t="s">
        <v>1</v>
      </c>
      <c r="B4" s="18"/>
      <c r="C4" s="12"/>
      <c r="D4" s="12"/>
      <c r="E4" s="12"/>
      <c r="F4" s="12"/>
      <c r="G4" s="12"/>
      <c r="H4" s="12"/>
      <c r="I4" s="12"/>
      <c r="J4" s="12"/>
      <c r="K4" s="12"/>
      <c r="L4" s="12"/>
      <c r="M4" s="19"/>
      <c r="N4" s="5"/>
      <c r="O4" s="20" t="s">
        <v>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8"/>
    </row>
    <row r="5" spans="1:28" ht="15">
      <c r="A5" s="92" t="s">
        <v>119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9"/>
      <c r="N5" s="5"/>
      <c r="O5" s="22" t="str">
        <f>A5</f>
        <v>Fiscal Years Ended March 31 (through 3/31/2006), Fiscal Year Ended December 31 (beginning 12/31/ 2006)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8"/>
    </row>
    <row r="6" spans="1:28" ht="15">
      <c r="A6" s="92" t="s">
        <v>129</v>
      </c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9"/>
      <c r="N6" s="5"/>
      <c r="O6" s="22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8"/>
    </row>
    <row r="7" spans="1:28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21" t="s">
        <v>3</v>
      </c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5"/>
      <c r="AB7" s="8"/>
    </row>
    <row r="8" spans="1:28" ht="15">
      <c r="A8" s="23"/>
      <c r="B8" s="23"/>
      <c r="C8" s="23"/>
      <c r="D8" s="23"/>
      <c r="E8" s="23"/>
      <c r="F8" s="23"/>
      <c r="G8" s="23"/>
      <c r="H8" s="24"/>
      <c r="I8" s="24" t="s">
        <v>101</v>
      </c>
      <c r="J8" s="24"/>
      <c r="K8" s="24"/>
      <c r="L8" s="24" t="s">
        <v>4</v>
      </c>
      <c r="M8" s="21" t="s">
        <v>5</v>
      </c>
      <c r="N8" s="5"/>
      <c r="O8" s="6"/>
      <c r="P8" s="6"/>
      <c r="Q8" s="6"/>
      <c r="R8" s="6"/>
      <c r="S8" s="6"/>
      <c r="T8" s="6"/>
      <c r="U8" s="6"/>
      <c r="V8" s="30"/>
      <c r="W8" s="30" t="str">
        <f>I8</f>
        <v>Nine Months</v>
      </c>
      <c r="X8" s="30"/>
      <c r="Y8" s="30"/>
      <c r="Z8" s="30" t="str">
        <f>L8</f>
        <v>Six Months</v>
      </c>
      <c r="AA8" s="31" t="str">
        <f>M7</f>
        <v>2003-2008</v>
      </c>
      <c r="AB8" s="8"/>
    </row>
    <row r="9" spans="1:28" ht="15">
      <c r="A9" s="26" t="s">
        <v>6</v>
      </c>
      <c r="B9" s="26">
        <v>2000</v>
      </c>
      <c r="C9" s="26">
        <f>B9+1</f>
        <v>2001</v>
      </c>
      <c r="D9" s="26">
        <f>C9+1</f>
        <v>2002</v>
      </c>
      <c r="E9" s="26">
        <f>D9+1</f>
        <v>2003</v>
      </c>
      <c r="F9" s="26">
        <f>E9+1</f>
        <v>2004</v>
      </c>
      <c r="G9" s="26">
        <f>F9+1</f>
        <v>2005</v>
      </c>
      <c r="H9" s="27">
        <v>2006</v>
      </c>
      <c r="I9" s="72" t="s">
        <v>120</v>
      </c>
      <c r="J9" s="27">
        <v>2007</v>
      </c>
      <c r="K9" s="27">
        <v>2008</v>
      </c>
      <c r="L9" s="28" t="s">
        <v>121</v>
      </c>
      <c r="M9" s="29" t="s">
        <v>7</v>
      </c>
      <c r="N9" s="5"/>
      <c r="O9" s="32" t="s">
        <v>6</v>
      </c>
      <c r="P9" s="33">
        <f>B9</f>
        <v>2000</v>
      </c>
      <c r="Q9" s="33">
        <f aca="true" t="shared" si="0" ref="Q9:V9">P9+1</f>
        <v>2001</v>
      </c>
      <c r="R9" s="33">
        <f t="shared" si="0"/>
        <v>2002</v>
      </c>
      <c r="S9" s="33">
        <f t="shared" si="0"/>
        <v>2003</v>
      </c>
      <c r="T9" s="33">
        <f t="shared" si="0"/>
        <v>2004</v>
      </c>
      <c r="U9" s="33">
        <f t="shared" si="0"/>
        <v>2005</v>
      </c>
      <c r="V9" s="33">
        <f t="shared" si="0"/>
        <v>2006</v>
      </c>
      <c r="W9" s="33" t="str">
        <f>I9</f>
        <v>Dec 2006</v>
      </c>
      <c r="X9" s="33">
        <f>J9</f>
        <v>2007</v>
      </c>
      <c r="Y9" s="33">
        <f>K9</f>
        <v>2008</v>
      </c>
      <c r="Z9" s="33" t="str">
        <f>L9</f>
        <v>June 2009</v>
      </c>
      <c r="AA9" s="34" t="s">
        <v>48</v>
      </c>
      <c r="AB9" s="8"/>
    </row>
    <row r="10" spans="1:28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  <c r="N10" s="5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8"/>
    </row>
    <row r="11" spans="1:28" ht="15">
      <c r="A11" s="35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6"/>
      <c r="N11" s="9"/>
      <c r="O11" s="6" t="s">
        <v>8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5"/>
      <c r="AB11" s="8"/>
    </row>
    <row r="12" spans="1:28" ht="15">
      <c r="A12" s="23" t="s">
        <v>9</v>
      </c>
      <c r="B12" s="75">
        <v>154.2</v>
      </c>
      <c r="C12" s="75">
        <v>139.4</v>
      </c>
      <c r="D12" s="75">
        <v>157.9</v>
      </c>
      <c r="E12" s="75">
        <v>152.5</v>
      </c>
      <c r="F12" s="75">
        <v>58.5</v>
      </c>
      <c r="G12" s="75">
        <v>199.3</v>
      </c>
      <c r="H12" s="75">
        <v>119.6</v>
      </c>
      <c r="I12" s="75">
        <v>59</v>
      </c>
      <c r="J12" s="75">
        <f>228+161.8*0.65</f>
        <v>333.17</v>
      </c>
      <c r="K12" s="75">
        <f>59+230.2*0.65</f>
        <v>208.63</v>
      </c>
      <c r="L12" s="75">
        <v>552</v>
      </c>
      <c r="M12" s="36">
        <f>RATE(5.75,,-E12,K12)</f>
        <v>0.05601665494296662</v>
      </c>
      <c r="N12" s="9"/>
      <c r="O12" s="6" t="str">
        <f>A12</f>
        <v>Cash &amp; Equivalents</v>
      </c>
      <c r="P12" s="25">
        <f aca="true" t="shared" si="1" ref="P12:W16">B12/B$37</f>
        <v>0.012531389423897407</v>
      </c>
      <c r="Q12" s="25">
        <f t="shared" si="1"/>
        <v>0.012520433275251937</v>
      </c>
      <c r="R12" s="25">
        <f t="shared" si="1"/>
        <v>0.014516069721262043</v>
      </c>
      <c r="S12" s="25">
        <f t="shared" si="1"/>
        <v>0.01303886865370475</v>
      </c>
      <c r="T12" s="25">
        <f t="shared" si="1"/>
        <v>0.0050098055167807085</v>
      </c>
      <c r="U12" s="25">
        <f t="shared" si="1"/>
        <v>0.015917386130389993</v>
      </c>
      <c r="V12" s="25">
        <f t="shared" si="1"/>
        <v>0.009394170273263534</v>
      </c>
      <c r="W12" s="25">
        <f t="shared" si="1"/>
        <v>0.004259527986542779</v>
      </c>
      <c r="X12" s="25">
        <f aca="true" t="shared" si="2" ref="X12:Z16">J12/J$37</f>
        <v>0.022193327147241208</v>
      </c>
      <c r="Y12" s="25">
        <f t="shared" si="2"/>
        <v>0.012047956213189286</v>
      </c>
      <c r="Z12" s="25">
        <f t="shared" si="2"/>
        <v>0.03034134007585335</v>
      </c>
      <c r="AA12" s="25">
        <f>AVERAGE(S12:W12)</f>
        <v>0.009523951712136353</v>
      </c>
      <c r="AB12" s="8"/>
    </row>
    <row r="13" spans="1:28" ht="15">
      <c r="A13" s="23" t="s">
        <v>10</v>
      </c>
      <c r="B13" s="75">
        <v>561.6</v>
      </c>
      <c r="C13" s="75">
        <v>567</v>
      </c>
      <c r="D13" s="75">
        <v>249.1</v>
      </c>
      <c r="E13" s="75">
        <v>258.2</v>
      </c>
      <c r="F13" s="75">
        <v>235.1</v>
      </c>
      <c r="G13" s="75">
        <v>293</v>
      </c>
      <c r="H13" s="75">
        <v>266.8</v>
      </c>
      <c r="I13" s="75">
        <v>342.1</v>
      </c>
      <c r="J13" s="75">
        <v>391</v>
      </c>
      <c r="K13" s="75">
        <v>609</v>
      </c>
      <c r="L13" s="75">
        <v>514</v>
      </c>
      <c r="M13" s="36">
        <f>RATE(5.75,,-E13,K13)</f>
        <v>0.1609422540374389</v>
      </c>
      <c r="N13" s="9"/>
      <c r="O13" s="6" t="str">
        <f>A13</f>
        <v>Accounts Receivable</v>
      </c>
      <c r="P13" s="25">
        <f t="shared" si="1"/>
        <v>0.045639612843455156</v>
      </c>
      <c r="Q13" s="25">
        <f t="shared" si="1"/>
        <v>0.05092600908943937</v>
      </c>
      <c r="R13" s="25">
        <f t="shared" si="1"/>
        <v>0.022900272118849745</v>
      </c>
      <c r="S13" s="25">
        <f t="shared" si="1"/>
        <v>0.02207630089433814</v>
      </c>
      <c r="T13" s="25">
        <f t="shared" si="1"/>
        <v>0.020133423538378537</v>
      </c>
      <c r="U13" s="25">
        <f t="shared" si="1"/>
        <v>0.023400873739108215</v>
      </c>
      <c r="V13" s="25">
        <f t="shared" si="1"/>
        <v>0.020956225994203267</v>
      </c>
      <c r="W13" s="25">
        <f t="shared" si="1"/>
        <v>0.02469804278298788</v>
      </c>
      <c r="X13" s="25">
        <f t="shared" si="2"/>
        <v>0.02604553505589132</v>
      </c>
      <c r="Y13" s="25">
        <f t="shared" si="2"/>
        <v>0.035168505650348826</v>
      </c>
      <c r="Z13" s="25">
        <f t="shared" si="2"/>
        <v>0.028252624635848954</v>
      </c>
      <c r="AA13" s="25">
        <f aca="true" t="shared" si="3" ref="AA13:AA61">AVERAGE(S13:W13)</f>
        <v>0.022252973389803206</v>
      </c>
      <c r="AB13" s="8"/>
    </row>
    <row r="14" spans="1:28" ht="15">
      <c r="A14" s="23" t="s">
        <v>11</v>
      </c>
      <c r="B14" s="75">
        <v>177.4</v>
      </c>
      <c r="C14" s="75">
        <v>160.4</v>
      </c>
      <c r="D14" s="75">
        <f>93.5+59.9</f>
        <v>153.4</v>
      </c>
      <c r="E14" s="75">
        <f>99.4+71.8</f>
        <v>171.2</v>
      </c>
      <c r="F14" s="75">
        <f>56+101</f>
        <v>157</v>
      </c>
      <c r="G14" s="75">
        <f>114.7+58.5</f>
        <v>173.2</v>
      </c>
      <c r="H14" s="76">
        <f>131.2+80.9</f>
        <v>212.1</v>
      </c>
      <c r="I14" s="76">
        <f>139.7+103.9</f>
        <v>243.6</v>
      </c>
      <c r="J14" s="76">
        <f>163+129</f>
        <v>292</v>
      </c>
      <c r="K14" s="76">
        <f>184+155</f>
        <v>339</v>
      </c>
      <c r="L14" s="76">
        <f>193+162</f>
        <v>355</v>
      </c>
      <c r="M14" s="36">
        <f>RATE(5.75,,-E14,K14)</f>
        <v>0.12615791500614926</v>
      </c>
      <c r="N14" s="5"/>
      <c r="O14" s="6" t="str">
        <f>A14</f>
        <v>Material, Supplies, Fuel</v>
      </c>
      <c r="P14" s="25">
        <f t="shared" si="1"/>
        <v>0.014416786535664075</v>
      </c>
      <c r="Q14" s="25">
        <f t="shared" si="1"/>
        <v>0.014406581760045988</v>
      </c>
      <c r="R14" s="25">
        <f t="shared" si="1"/>
        <v>0.01410237552401265</v>
      </c>
      <c r="S14" s="25">
        <f t="shared" si="1"/>
        <v>0.01463773320337215</v>
      </c>
      <c r="T14" s="25">
        <f t="shared" si="1"/>
        <v>0.013445119079223439</v>
      </c>
      <c r="U14" s="25">
        <f t="shared" si="1"/>
        <v>0.013832871438954071</v>
      </c>
      <c r="V14" s="25">
        <f t="shared" si="1"/>
        <v>0.01665972838594645</v>
      </c>
      <c r="W14" s="25">
        <f t="shared" si="1"/>
        <v>0.017586796907149507</v>
      </c>
      <c r="X14" s="25">
        <f t="shared" si="2"/>
        <v>0.01945088551488559</v>
      </c>
      <c r="Y14" s="25">
        <f t="shared" si="2"/>
        <v>0.019576557332460182</v>
      </c>
      <c r="Z14" s="45">
        <f t="shared" si="2"/>
        <v>0.01951299950530424</v>
      </c>
      <c r="AA14" s="25">
        <f t="shared" si="3"/>
        <v>0.015232449802929125</v>
      </c>
      <c r="AB14" s="8"/>
    </row>
    <row r="15" spans="1:28" ht="15">
      <c r="A15" s="23" t="s">
        <v>12</v>
      </c>
      <c r="B15" s="77">
        <v>68</v>
      </c>
      <c r="C15" s="77">
        <f>370.4+73.5+46.7</f>
        <v>490.59999999999997</v>
      </c>
      <c r="D15" s="77">
        <f>127+51.3+21.5</f>
        <v>199.8</v>
      </c>
      <c r="E15" s="77">
        <f>109.2+2.5+107.2+31.1+17.5</f>
        <v>267.5</v>
      </c>
      <c r="F15" s="77">
        <f>127.8+2.4+118.9+31.5+25.2</f>
        <v>305.8</v>
      </c>
      <c r="G15" s="77">
        <f>143.8+36.5+252.7+115.8</f>
        <v>548.8</v>
      </c>
      <c r="H15" s="78">
        <f>148.2+221.7+46.9</f>
        <v>416.79999999999995</v>
      </c>
      <c r="I15" s="78">
        <f>177.7+52.6+150.9+27.8+57.1</f>
        <v>466.1</v>
      </c>
      <c r="J15" s="78">
        <f>192+34+143+55+141</f>
        <v>565</v>
      </c>
      <c r="K15" s="78">
        <f>43+174+74+78</f>
        <v>369</v>
      </c>
      <c r="L15" s="78">
        <f>50+128+73+67</f>
        <v>318</v>
      </c>
      <c r="M15" s="36">
        <f>RATE(5.75,,-E15,K15)</f>
        <v>0.057538290296286085</v>
      </c>
      <c r="N15" s="44"/>
      <c r="O15" s="6" t="str">
        <f>A15</f>
        <v>Other Current Assets</v>
      </c>
      <c r="P15" s="46">
        <f t="shared" si="1"/>
        <v>0.005526163948281607</v>
      </c>
      <c r="Q15" s="46">
        <f t="shared" si="1"/>
        <v>0.04406402126856958</v>
      </c>
      <c r="R15" s="46">
        <f t="shared" si="1"/>
        <v>0.018368022357873062</v>
      </c>
      <c r="S15" s="46">
        <f t="shared" si="1"/>
        <v>0.022871458130268987</v>
      </c>
      <c r="T15" s="46">
        <f t="shared" si="1"/>
        <v>0.026188009009086164</v>
      </c>
      <c r="U15" s="46">
        <f t="shared" si="1"/>
        <v>0.04383071504444569</v>
      </c>
      <c r="V15" s="47">
        <f t="shared" si="1"/>
        <v>0.032738212122878266</v>
      </c>
      <c r="W15" s="47">
        <f t="shared" si="1"/>
        <v>0.033650271093687956</v>
      </c>
      <c r="X15" s="47">
        <f t="shared" si="2"/>
        <v>0.03763613121887109</v>
      </c>
      <c r="Y15" s="47">
        <f t="shared" si="2"/>
        <v>0.02130899603444781</v>
      </c>
      <c r="Z15" s="47">
        <f t="shared" si="2"/>
        <v>0.01747925026108943</v>
      </c>
      <c r="AA15" s="47">
        <f t="shared" si="3"/>
        <v>0.03185573308007341</v>
      </c>
      <c r="AB15" s="8"/>
    </row>
    <row r="16" spans="1:28" ht="15">
      <c r="A16" s="23" t="s">
        <v>13</v>
      </c>
      <c r="B16" s="75">
        <f aca="true" t="shared" si="4" ref="B16:L16">SUM(B11:B15)</f>
        <v>961.1999999999999</v>
      </c>
      <c r="C16" s="75">
        <f t="shared" si="4"/>
        <v>1357.3999999999999</v>
      </c>
      <c r="D16" s="75">
        <f t="shared" si="4"/>
        <v>760.2</v>
      </c>
      <c r="E16" s="75">
        <f t="shared" si="4"/>
        <v>849.4</v>
      </c>
      <c r="F16" s="75">
        <f t="shared" si="4"/>
        <v>756.4000000000001</v>
      </c>
      <c r="G16" s="75">
        <f t="shared" si="4"/>
        <v>1214.3</v>
      </c>
      <c r="H16" s="75">
        <f t="shared" si="4"/>
        <v>1015.3</v>
      </c>
      <c r="I16" s="75">
        <f t="shared" si="4"/>
        <v>1110.8000000000002</v>
      </c>
      <c r="J16" s="75">
        <f>SUM(J11:J15)</f>
        <v>1581.17</v>
      </c>
      <c r="K16" s="75">
        <f>SUM(K11:K15)</f>
        <v>1525.63</v>
      </c>
      <c r="L16" s="75">
        <f t="shared" si="4"/>
        <v>1739</v>
      </c>
      <c r="M16" s="36">
        <f>RATE(5.75,,-E16,K16)</f>
        <v>0.10721641398440075</v>
      </c>
      <c r="N16" s="44"/>
      <c r="O16" s="6" t="str">
        <f>A16</f>
        <v>Total Current Assets</v>
      </c>
      <c r="P16" s="25">
        <f t="shared" si="1"/>
        <v>0.07811395275129823</v>
      </c>
      <c r="Q16" s="25">
        <f t="shared" si="1"/>
        <v>0.12191704539330686</v>
      </c>
      <c r="R16" s="25">
        <f t="shared" si="1"/>
        <v>0.0698867397219975</v>
      </c>
      <c r="S16" s="25">
        <f t="shared" si="1"/>
        <v>0.07262436088168403</v>
      </c>
      <c r="T16" s="25">
        <f t="shared" si="1"/>
        <v>0.06477635714346885</v>
      </c>
      <c r="U16" s="25">
        <f t="shared" si="1"/>
        <v>0.09698184635289797</v>
      </c>
      <c r="V16" s="25">
        <f t="shared" si="1"/>
        <v>0.07974833677629152</v>
      </c>
      <c r="W16" s="25">
        <f t="shared" si="1"/>
        <v>0.08019463877036813</v>
      </c>
      <c r="X16" s="25">
        <f t="shared" si="2"/>
        <v>0.1053258789368892</v>
      </c>
      <c r="Y16" s="25">
        <f t="shared" si="2"/>
        <v>0.08810201523044611</v>
      </c>
      <c r="Z16" s="25">
        <f t="shared" si="2"/>
        <v>0.09558621447809597</v>
      </c>
      <c r="AA16" s="25">
        <f t="shared" si="3"/>
        <v>0.0788651079849421</v>
      </c>
      <c r="AB16" s="8"/>
    </row>
    <row r="17" spans="1:28" ht="15">
      <c r="A17" s="23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6"/>
      <c r="N17" s="44"/>
      <c r="O17" s="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8"/>
    </row>
    <row r="18" spans="1:28" ht="15">
      <c r="A18" s="35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36"/>
      <c r="N18" s="44"/>
      <c r="O18" s="6" t="s">
        <v>14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8"/>
    </row>
    <row r="19" spans="1:28" ht="15">
      <c r="A19" s="23" t="s">
        <v>102</v>
      </c>
      <c r="B19" s="75">
        <f>12862.7-312.4</f>
        <v>12550.300000000001</v>
      </c>
      <c r="C19" s="75">
        <f>12678.9-268.7</f>
        <v>12410.199999999999</v>
      </c>
      <c r="D19" s="75">
        <f>13098.9-364.4</f>
        <v>12734.5</v>
      </c>
      <c r="E19" s="75">
        <f>13516.8-332.5</f>
        <v>13184.3</v>
      </c>
      <c r="F19" s="75">
        <f>14158.2-345.4</f>
        <v>13812.800000000001</v>
      </c>
      <c r="G19" s="75">
        <f>14852.4-593.4</f>
        <v>14259</v>
      </c>
      <c r="H19" s="75">
        <v>15102.4</v>
      </c>
      <c r="I19" s="75">
        <v>15842.8</v>
      </c>
      <c r="J19" s="75">
        <v>17014</v>
      </c>
      <c r="K19" s="75">
        <v>18879</v>
      </c>
      <c r="L19" s="75">
        <v>19613</v>
      </c>
      <c r="M19" s="36">
        <f>RATE(5.75,,-E19,K19)</f>
        <v>0.0644293815019189</v>
      </c>
      <c r="N19" s="44"/>
      <c r="O19" s="6" t="s">
        <v>104</v>
      </c>
      <c r="P19" s="25">
        <f aca="true" t="shared" si="5" ref="P19:W23">B19/B$37</f>
        <v>1.0199266970605685</v>
      </c>
      <c r="Q19" s="25">
        <f t="shared" si="5"/>
        <v>1.1146419012376727</v>
      </c>
      <c r="R19" s="25">
        <f t="shared" si="5"/>
        <v>1.1707086121938663</v>
      </c>
      <c r="S19" s="25">
        <f t="shared" si="5"/>
        <v>1.127267908137964</v>
      </c>
      <c r="T19" s="25">
        <f t="shared" si="5"/>
        <v>1.1828964383280098</v>
      </c>
      <c r="U19" s="25">
        <f t="shared" si="5"/>
        <v>1.1388158998155087</v>
      </c>
      <c r="V19" s="25">
        <f t="shared" si="5"/>
        <v>1.1862417820646756</v>
      </c>
      <c r="W19" s="25">
        <f t="shared" si="5"/>
        <v>1.1437771183932193</v>
      </c>
      <c r="X19" s="25">
        <f aca="true" t="shared" si="6" ref="X19:Z23">J19/J$37</f>
        <v>1.1333471443502172</v>
      </c>
      <c r="Y19" s="25">
        <f t="shared" si="6"/>
        <v>1.0902236751608136</v>
      </c>
      <c r="Z19" s="25">
        <f t="shared" si="6"/>
        <v>1.0780519980212169</v>
      </c>
      <c r="AA19" s="25">
        <f t="shared" si="3"/>
        <v>1.1557998293478753</v>
      </c>
      <c r="AB19" s="8"/>
    </row>
    <row r="20" spans="1:28" ht="15">
      <c r="A20" s="23" t="s">
        <v>103</v>
      </c>
      <c r="B20" s="75">
        <v>312.4</v>
      </c>
      <c r="C20" s="75">
        <v>268.7</v>
      </c>
      <c r="D20" s="75">
        <v>364.4</v>
      </c>
      <c r="E20" s="75">
        <v>332.5</v>
      </c>
      <c r="F20" s="75">
        <v>345.4</v>
      </c>
      <c r="G20" s="75">
        <v>593.4</v>
      </c>
      <c r="H20" s="75">
        <v>618.3</v>
      </c>
      <c r="I20" s="75">
        <v>809.2</v>
      </c>
      <c r="J20" s="75">
        <v>960</v>
      </c>
      <c r="K20" s="75">
        <v>1220</v>
      </c>
      <c r="L20" s="75">
        <v>1495</v>
      </c>
      <c r="M20" s="36">
        <f>RATE(5.75,,-E20,K20)</f>
        <v>0.25367732405945065</v>
      </c>
      <c r="N20" s="44"/>
      <c r="O20" s="6" t="s">
        <v>103</v>
      </c>
      <c r="P20" s="25">
        <f t="shared" si="5"/>
        <v>0.02538784731534079</v>
      </c>
      <c r="Q20" s="25">
        <f t="shared" si="5"/>
        <v>0.024133718945912448</v>
      </c>
      <c r="R20" s="25">
        <f t="shared" si="5"/>
        <v>0.03350003677281753</v>
      </c>
      <c r="S20" s="25"/>
      <c r="T20" s="25">
        <f t="shared" si="5"/>
        <v>0.029579261974291563</v>
      </c>
      <c r="U20" s="25">
        <f t="shared" si="5"/>
        <v>0.04739275930643964</v>
      </c>
      <c r="V20" s="25">
        <f t="shared" si="5"/>
        <v>0.048565346822398346</v>
      </c>
      <c r="W20" s="25">
        <f t="shared" si="5"/>
        <v>0.05842050926627825</v>
      </c>
      <c r="X20" s="25">
        <f t="shared" si="6"/>
        <v>0.06394811676126769</v>
      </c>
      <c r="Y20" s="25">
        <f t="shared" si="6"/>
        <v>0.07045250721416349</v>
      </c>
      <c r="Z20" s="45">
        <f t="shared" si="6"/>
        <v>0.08217446270543616</v>
      </c>
      <c r="AA20" s="25">
        <f t="shared" si="3"/>
        <v>0.04598946934235195</v>
      </c>
      <c r="AB20" s="8"/>
    </row>
    <row r="21" spans="1:28" ht="15">
      <c r="A21" s="23" t="s">
        <v>105</v>
      </c>
      <c r="B21" s="75">
        <v>1281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36"/>
      <c r="N21" s="44"/>
      <c r="O21" s="6" t="s">
        <v>105</v>
      </c>
      <c r="P21" s="25">
        <f t="shared" si="5"/>
        <v>0.10410317673159909</v>
      </c>
      <c r="Q21" s="25">
        <f t="shared" si="5"/>
        <v>0</v>
      </c>
      <c r="R21" s="25">
        <f t="shared" si="5"/>
        <v>0</v>
      </c>
      <c r="S21" s="25">
        <f>E21/E$37</f>
        <v>0</v>
      </c>
      <c r="T21" s="25">
        <f t="shared" si="5"/>
        <v>0</v>
      </c>
      <c r="U21" s="25">
        <f t="shared" si="5"/>
        <v>0</v>
      </c>
      <c r="V21" s="25">
        <f t="shared" si="5"/>
        <v>0</v>
      </c>
      <c r="W21" s="25">
        <f t="shared" si="5"/>
        <v>0</v>
      </c>
      <c r="X21" s="25">
        <f t="shared" si="6"/>
        <v>0</v>
      </c>
      <c r="Y21" s="25">
        <f t="shared" si="6"/>
        <v>0</v>
      </c>
      <c r="Z21" s="45">
        <f t="shared" si="6"/>
        <v>0</v>
      </c>
      <c r="AA21" s="25">
        <f t="shared" si="3"/>
        <v>0</v>
      </c>
      <c r="AB21" s="8"/>
    </row>
    <row r="22" spans="1:28" ht="15">
      <c r="A22" s="23" t="s">
        <v>15</v>
      </c>
      <c r="B22" s="77">
        <v>49.4</v>
      </c>
      <c r="C22" s="77">
        <v>33.5</v>
      </c>
      <c r="D22" s="77">
        <v>0</v>
      </c>
      <c r="E22" s="77">
        <v>0</v>
      </c>
      <c r="F22" s="77">
        <v>0</v>
      </c>
      <c r="G22" s="77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36"/>
      <c r="N22" s="44"/>
      <c r="O22" s="6" t="s">
        <v>15</v>
      </c>
      <c r="P22" s="45">
        <f t="shared" si="5"/>
        <v>0.004014595574192814</v>
      </c>
      <c r="Q22" s="45">
        <f t="shared" si="5"/>
        <v>0.003008855916219081</v>
      </c>
      <c r="R22" s="45">
        <f t="shared" si="5"/>
        <v>0</v>
      </c>
      <c r="S22" s="45">
        <f>E22/E$37</f>
        <v>0</v>
      </c>
      <c r="T22" s="45">
        <f t="shared" si="5"/>
        <v>0</v>
      </c>
      <c r="U22" s="45">
        <f t="shared" si="5"/>
        <v>0</v>
      </c>
      <c r="V22" s="45">
        <f t="shared" si="5"/>
        <v>0</v>
      </c>
      <c r="W22" s="45">
        <f t="shared" si="5"/>
        <v>0</v>
      </c>
      <c r="X22" s="45">
        <f t="shared" si="6"/>
        <v>0</v>
      </c>
      <c r="Y22" s="45">
        <f t="shared" si="6"/>
        <v>0</v>
      </c>
      <c r="Z22" s="47">
        <f t="shared" si="6"/>
        <v>0</v>
      </c>
      <c r="AA22" s="47">
        <f t="shared" si="3"/>
        <v>0</v>
      </c>
      <c r="AB22" s="8"/>
    </row>
    <row r="23" spans="1:28" ht="15">
      <c r="A23" s="23" t="s">
        <v>16</v>
      </c>
      <c r="B23" s="75">
        <f aca="true" t="shared" si="7" ref="B23:L23">SUM(B19:B22)</f>
        <v>14193.1</v>
      </c>
      <c r="C23" s="75">
        <f t="shared" si="7"/>
        <v>12712.4</v>
      </c>
      <c r="D23" s="75">
        <f t="shared" si="7"/>
        <v>13098.9</v>
      </c>
      <c r="E23" s="75">
        <f t="shared" si="7"/>
        <v>13516.8</v>
      </c>
      <c r="F23" s="75">
        <f t="shared" si="7"/>
        <v>14158.2</v>
      </c>
      <c r="G23" s="75">
        <f t="shared" si="7"/>
        <v>14852.4</v>
      </c>
      <c r="H23" s="75">
        <f t="shared" si="7"/>
        <v>15720.699999999999</v>
      </c>
      <c r="I23" s="75">
        <f t="shared" si="7"/>
        <v>16652</v>
      </c>
      <c r="J23" s="75">
        <f>SUM(J19:J22)</f>
        <v>17974</v>
      </c>
      <c r="K23" s="75">
        <f>SUM(K19:K22)</f>
        <v>20099</v>
      </c>
      <c r="L23" s="75">
        <f t="shared" si="7"/>
        <v>21108</v>
      </c>
      <c r="M23" s="36">
        <f>RATE(5.75,,-E23,K23)</f>
        <v>0.0714337320603791</v>
      </c>
      <c r="N23" s="48"/>
      <c r="O23" s="6" t="s">
        <v>17</v>
      </c>
      <c r="P23" s="50">
        <f t="shared" si="5"/>
        <v>1.153432316681701</v>
      </c>
      <c r="Q23" s="50">
        <f t="shared" si="5"/>
        <v>1.1417844760998042</v>
      </c>
      <c r="R23" s="50">
        <f t="shared" si="5"/>
        <v>1.2042086489666837</v>
      </c>
      <c r="S23" s="50">
        <f>E23/E$37</f>
        <v>1.1556969168419433</v>
      </c>
      <c r="T23" s="50">
        <f t="shared" si="5"/>
        <v>1.2124757003023012</v>
      </c>
      <c r="U23" s="50">
        <f t="shared" si="5"/>
        <v>1.1862086591219483</v>
      </c>
      <c r="V23" s="50">
        <f t="shared" si="5"/>
        <v>1.2348071288870737</v>
      </c>
      <c r="W23" s="50">
        <f t="shared" si="5"/>
        <v>1.2021976276594977</v>
      </c>
      <c r="X23" s="50">
        <f t="shared" si="6"/>
        <v>1.1972952611114849</v>
      </c>
      <c r="Y23" s="50">
        <f t="shared" si="6"/>
        <v>1.160676182374977</v>
      </c>
      <c r="Z23" s="45">
        <f t="shared" si="6"/>
        <v>1.160226460726653</v>
      </c>
      <c r="AA23" s="25">
        <f t="shared" si="3"/>
        <v>1.1982772065625529</v>
      </c>
      <c r="AB23" s="8"/>
    </row>
    <row r="24" spans="1:28" ht="15">
      <c r="A24" s="23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36"/>
      <c r="N24" s="49"/>
      <c r="O24" s="3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25"/>
      <c r="AB24" s="8"/>
    </row>
    <row r="25" spans="1:28" ht="15">
      <c r="A25" s="23" t="s">
        <v>18</v>
      </c>
      <c r="B25" s="76">
        <v>4994.8</v>
      </c>
      <c r="C25" s="75">
        <v>4789.5</v>
      </c>
      <c r="D25" s="75">
        <v>5129.4</v>
      </c>
      <c r="E25" s="75">
        <v>4818.3</v>
      </c>
      <c r="F25" s="75">
        <v>5121.7</v>
      </c>
      <c r="G25" s="75">
        <v>5361.8</v>
      </c>
      <c r="H25" s="75">
        <v>5611.5</v>
      </c>
      <c r="I25" s="75">
        <v>5841.6</v>
      </c>
      <c r="J25" s="75">
        <v>6125</v>
      </c>
      <c r="K25" s="75">
        <v>6275</v>
      </c>
      <c r="L25" s="75">
        <v>6472</v>
      </c>
      <c r="M25" s="36">
        <f>RATE(5.75,,-E25,K25)</f>
        <v>0.047011099698445406</v>
      </c>
      <c r="N25" s="5"/>
      <c r="O25" s="6" t="s">
        <v>18</v>
      </c>
      <c r="P25" s="25">
        <f aca="true" t="shared" si="8" ref="P25:W25">B25/B$37</f>
        <v>0.4059129954246613</v>
      </c>
      <c r="Q25" s="25">
        <f t="shared" si="8"/>
        <v>0.4301765794248146</v>
      </c>
      <c r="R25" s="25">
        <f t="shared" si="8"/>
        <v>0.4715562256380083</v>
      </c>
      <c r="S25" s="25">
        <f t="shared" si="8"/>
        <v>0.41196839891243014</v>
      </c>
      <c r="T25" s="25">
        <f t="shared" si="8"/>
        <v>0.43861061393667955</v>
      </c>
      <c r="U25" s="25">
        <f t="shared" si="8"/>
        <v>0.428228002779353</v>
      </c>
      <c r="V25" s="25">
        <f t="shared" si="8"/>
        <v>0.44076410107373176</v>
      </c>
      <c r="W25" s="25">
        <f t="shared" si="8"/>
        <v>0.4217365879014966</v>
      </c>
      <c r="X25" s="25">
        <f>J25/J$37</f>
        <v>0.40800230746121313</v>
      </c>
      <c r="Y25" s="25">
        <f>K25/K$37</f>
        <v>0.36236842849907863</v>
      </c>
      <c r="Z25" s="25">
        <f>L25/L$37</f>
        <v>0.3557412191502226</v>
      </c>
      <c r="AA25" s="25">
        <f t="shared" si="3"/>
        <v>0.42826154092073826</v>
      </c>
      <c r="AB25" s="8"/>
    </row>
    <row r="26" spans="1:28" ht="15">
      <c r="A26" s="23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36"/>
      <c r="N26" s="5"/>
      <c r="O26" s="6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25"/>
      <c r="AB26" s="8"/>
    </row>
    <row r="27" spans="1:28" ht="15">
      <c r="A27" s="23" t="s">
        <v>19</v>
      </c>
      <c r="B27" s="75">
        <f aca="true" t="shared" si="9" ref="B27:G27">B23-B25</f>
        <v>9198.3</v>
      </c>
      <c r="C27" s="75">
        <f t="shared" si="9"/>
        <v>7922.9</v>
      </c>
      <c r="D27" s="75">
        <f t="shared" si="9"/>
        <v>7969.5</v>
      </c>
      <c r="E27" s="75">
        <f t="shared" si="9"/>
        <v>8698.5</v>
      </c>
      <c r="F27" s="75">
        <f t="shared" si="9"/>
        <v>9036.5</v>
      </c>
      <c r="G27" s="75">
        <f t="shared" si="9"/>
        <v>9490.599999999999</v>
      </c>
      <c r="H27" s="75">
        <f>H23-H25</f>
        <v>10109.199999999999</v>
      </c>
      <c r="I27" s="75">
        <f>I23-I25</f>
        <v>10810.4</v>
      </c>
      <c r="J27" s="75">
        <f>J23-J25</f>
        <v>11849</v>
      </c>
      <c r="K27" s="75">
        <f>K23-K25</f>
        <v>13824</v>
      </c>
      <c r="L27" s="75">
        <f>L23-L25</f>
        <v>14636</v>
      </c>
      <c r="M27" s="36">
        <f>RATE(5.75,,-E27,K27)</f>
        <v>0.08390059190165475</v>
      </c>
      <c r="N27" s="49"/>
      <c r="O27" s="6" t="s">
        <v>17</v>
      </c>
      <c r="P27" s="25">
        <f aca="true" t="shared" si="10" ref="P27:W27">B27/B$37</f>
        <v>0.7475193212570397</v>
      </c>
      <c r="Q27" s="25">
        <f t="shared" si="10"/>
        <v>0.7116078966749897</v>
      </c>
      <c r="R27" s="25">
        <f t="shared" si="10"/>
        <v>0.7326524233286754</v>
      </c>
      <c r="S27" s="25">
        <f t="shared" si="10"/>
        <v>0.7437285179295132</v>
      </c>
      <c r="T27" s="25">
        <f t="shared" si="10"/>
        <v>0.7738650863656217</v>
      </c>
      <c r="U27" s="25">
        <f t="shared" si="10"/>
        <v>0.7579806563425951</v>
      </c>
      <c r="V27" s="25">
        <f t="shared" si="10"/>
        <v>0.794043027813342</v>
      </c>
      <c r="W27" s="25">
        <f t="shared" si="10"/>
        <v>0.780461039758001</v>
      </c>
      <c r="X27" s="25">
        <f>J27/J$37</f>
        <v>0.7892929536502717</v>
      </c>
      <c r="Y27" s="25">
        <f>K27/K$37</f>
        <v>0.7983077538758985</v>
      </c>
      <c r="Z27" s="25">
        <f>L27/L$37</f>
        <v>0.8044852415764305</v>
      </c>
      <c r="AA27" s="25">
        <f t="shared" si="3"/>
        <v>0.7700156656418147</v>
      </c>
      <c r="AB27" s="8"/>
    </row>
    <row r="28" spans="1:28" ht="15">
      <c r="A28" s="23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36"/>
      <c r="N28" s="44"/>
      <c r="O28" s="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8"/>
    </row>
    <row r="29" spans="1:28" ht="15">
      <c r="A29" s="35" t="s">
        <v>20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36"/>
      <c r="N29" s="44"/>
      <c r="O29" s="6" t="str">
        <f>A29</f>
        <v>Other Assets: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8"/>
    </row>
    <row r="30" spans="1:28" ht="15">
      <c r="A30" s="23" t="s">
        <v>21</v>
      </c>
      <c r="B30" s="75">
        <v>789.7</v>
      </c>
      <c r="C30" s="75">
        <v>1081.8</v>
      </c>
      <c r="D30" s="75">
        <v>1158.3</v>
      </c>
      <c r="E30" s="75">
        <v>1175.2</v>
      </c>
      <c r="F30" s="75">
        <f>1032.3</f>
        <v>1032.3</v>
      </c>
      <c r="G30" s="75">
        <f>972.8</f>
        <v>972.8</v>
      </c>
      <c r="H30" s="75">
        <v>979</v>
      </c>
      <c r="I30" s="75">
        <v>1396.9</v>
      </c>
      <c r="J30" s="75">
        <v>1091</v>
      </c>
      <c r="K30" s="75">
        <v>1624</v>
      </c>
      <c r="L30" s="75">
        <v>1476</v>
      </c>
      <c r="M30" s="36">
        <f>RATE(5.75,,-E30,K30)</f>
        <v>0.057865132659972764</v>
      </c>
      <c r="N30" s="44"/>
      <c r="O30" s="6" t="s">
        <v>21</v>
      </c>
      <c r="P30" s="25">
        <f aca="true" t="shared" si="11" ref="P30:W37">B30/B$37</f>
        <v>0.06417664220526449</v>
      </c>
      <c r="Q30" s="25">
        <f t="shared" si="11"/>
        <v>0.0971635919452478</v>
      </c>
      <c r="R30" s="25">
        <f t="shared" si="11"/>
        <v>0.10648488637199381</v>
      </c>
      <c r="S30" s="25">
        <f t="shared" si="11"/>
        <v>0.1004805143726808</v>
      </c>
      <c r="T30" s="25">
        <f t="shared" si="11"/>
        <v>0.08840379888842265</v>
      </c>
      <c r="U30" s="25">
        <f t="shared" si="11"/>
        <v>0.0776940954723702</v>
      </c>
      <c r="V30" s="25">
        <f t="shared" si="11"/>
        <v>0.07689709613315217</v>
      </c>
      <c r="W30" s="25">
        <f t="shared" si="11"/>
        <v>0.10084973973562048</v>
      </c>
      <c r="X30" s="25">
        <f aca="true" t="shared" si="12" ref="X30:Y37">J30/J$37</f>
        <v>0.07267437019431568</v>
      </c>
      <c r="Y30" s="25">
        <f t="shared" si="12"/>
        <v>0.09378268173426353</v>
      </c>
      <c r="Z30" s="25">
        <f aca="true" t="shared" si="13" ref="Z30:Z37">L30/L$37</f>
        <v>0.08113010498543395</v>
      </c>
      <c r="AA30" s="25">
        <f t="shared" si="3"/>
        <v>0.08886504892044926</v>
      </c>
      <c r="AB30" s="8"/>
    </row>
    <row r="31" spans="1:28" ht="15">
      <c r="A31" s="23" t="s">
        <v>22</v>
      </c>
      <c r="B31" s="75">
        <v>382.7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36"/>
      <c r="N31" s="44"/>
      <c r="O31" s="6" t="s">
        <v>22</v>
      </c>
      <c r="P31" s="25">
        <f t="shared" si="11"/>
        <v>0.031100925632461335</v>
      </c>
      <c r="Q31" s="25">
        <f t="shared" si="11"/>
        <v>0</v>
      </c>
      <c r="R31" s="25">
        <f t="shared" si="11"/>
        <v>0</v>
      </c>
      <c r="S31" s="25">
        <f t="shared" si="11"/>
        <v>0</v>
      </c>
      <c r="T31" s="25">
        <f t="shared" si="11"/>
        <v>0</v>
      </c>
      <c r="U31" s="25">
        <f t="shared" si="11"/>
        <v>0</v>
      </c>
      <c r="V31" s="25">
        <f t="shared" si="11"/>
        <v>0</v>
      </c>
      <c r="W31" s="25">
        <f t="shared" si="11"/>
        <v>0</v>
      </c>
      <c r="X31" s="25">
        <f t="shared" si="12"/>
        <v>0</v>
      </c>
      <c r="Y31" s="25">
        <f t="shared" si="12"/>
        <v>0</v>
      </c>
      <c r="Z31" s="25">
        <f t="shared" si="13"/>
        <v>0</v>
      </c>
      <c r="AA31" s="25">
        <f t="shared" si="3"/>
        <v>0</v>
      </c>
      <c r="AB31" s="8"/>
    </row>
    <row r="32" spans="1:28" ht="15">
      <c r="A32" s="23" t="s">
        <v>23</v>
      </c>
      <c r="B32" s="75">
        <f>196.8+288.3</f>
        <v>485.1</v>
      </c>
      <c r="C32" s="75">
        <f>189.9+278.3</f>
        <v>468.20000000000005</v>
      </c>
      <c r="D32" s="75">
        <f>468.4+155</f>
        <v>623.4</v>
      </c>
      <c r="E32" s="75">
        <f>506.9+122.3</f>
        <v>629.1999999999999</v>
      </c>
      <c r="F32" s="75">
        <f>422.2+110.3</f>
        <v>532.5</v>
      </c>
      <c r="G32" s="75">
        <f>170+360.3</f>
        <v>530.3</v>
      </c>
      <c r="H32" s="75">
        <v>345.3</v>
      </c>
      <c r="I32" s="75">
        <v>234.9</v>
      </c>
      <c r="J32" s="75">
        <v>215</v>
      </c>
      <c r="K32" s="75">
        <v>86</v>
      </c>
      <c r="L32" s="75">
        <v>75</v>
      </c>
      <c r="M32" s="36">
        <f>RATE(5.75,,-E32,K32)</f>
        <v>-0.2925615671096362</v>
      </c>
      <c r="N32" s="44"/>
      <c r="O32" s="6" t="s">
        <v>23</v>
      </c>
      <c r="P32" s="25">
        <f t="shared" si="11"/>
        <v>0.03942267840163834</v>
      </c>
      <c r="Q32" s="25">
        <f t="shared" si="11"/>
        <v>0.04205212955145594</v>
      </c>
      <c r="R32" s="25">
        <f t="shared" si="11"/>
        <v>0.05731043612561594</v>
      </c>
      <c r="S32" s="25">
        <f t="shared" si="11"/>
        <v>0.053797089553514935</v>
      </c>
      <c r="T32" s="25">
        <f t="shared" si="11"/>
        <v>0.04560207585787568</v>
      </c>
      <c r="U32" s="25">
        <f t="shared" si="11"/>
        <v>0.04235318547388767</v>
      </c>
      <c r="V32" s="25">
        <f t="shared" si="11"/>
        <v>0.02712213206820985</v>
      </c>
      <c r="W32" s="25">
        <f t="shared" si="11"/>
        <v>0.016958697017608455</v>
      </c>
      <c r="X32" s="25">
        <f t="shared" si="12"/>
        <v>0.01432171364965891</v>
      </c>
      <c r="Y32" s="25">
        <f t="shared" si="12"/>
        <v>0.004966324279031197</v>
      </c>
      <c r="Z32" s="25">
        <f t="shared" si="13"/>
        <v>0.004122464684219205</v>
      </c>
      <c r="AA32" s="25">
        <f t="shared" si="3"/>
        <v>0.037166635994219314</v>
      </c>
      <c r="AB32" s="8"/>
    </row>
    <row r="33" spans="1:28" ht="15">
      <c r="A33" s="23" t="s">
        <v>97</v>
      </c>
      <c r="B33" s="75">
        <v>116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36"/>
      <c r="N33" s="44"/>
      <c r="O33" s="6" t="s">
        <v>97</v>
      </c>
      <c r="P33" s="25">
        <f t="shared" si="11"/>
        <v>0.00942698555883333</v>
      </c>
      <c r="Q33" s="25">
        <f t="shared" si="11"/>
        <v>0</v>
      </c>
      <c r="R33" s="25">
        <f t="shared" si="11"/>
        <v>0</v>
      </c>
      <c r="S33" s="25">
        <f t="shared" si="11"/>
        <v>0</v>
      </c>
      <c r="T33" s="25">
        <f t="shared" si="11"/>
        <v>0</v>
      </c>
      <c r="U33" s="25">
        <f t="shared" si="11"/>
        <v>0</v>
      </c>
      <c r="V33" s="25">
        <f t="shared" si="11"/>
        <v>0</v>
      </c>
      <c r="W33" s="25">
        <f t="shared" si="11"/>
        <v>0</v>
      </c>
      <c r="X33" s="25">
        <f t="shared" si="12"/>
        <v>0</v>
      </c>
      <c r="Y33" s="25">
        <f t="shared" si="12"/>
        <v>0</v>
      </c>
      <c r="Z33" s="25">
        <f t="shared" si="13"/>
        <v>0</v>
      </c>
      <c r="AA33" s="25">
        <f t="shared" si="3"/>
        <v>0</v>
      </c>
      <c r="AB33" s="8"/>
    </row>
    <row r="34" spans="1:28" ht="15">
      <c r="A34" s="23" t="s">
        <v>24</v>
      </c>
      <c r="B34" s="77">
        <v>372.1</v>
      </c>
      <c r="C34" s="77">
        <v>303.5</v>
      </c>
      <c r="D34" s="77">
        <v>366.2</v>
      </c>
      <c r="E34" s="77">
        <v>343.5</v>
      </c>
      <c r="F34" s="77">
        <v>319.4</v>
      </c>
      <c r="G34" s="77">
        <v>312.9</v>
      </c>
      <c r="H34" s="78">
        <v>282.5</v>
      </c>
      <c r="I34" s="78">
        <v>298.3</v>
      </c>
      <c r="J34" s="78">
        <v>276</v>
      </c>
      <c r="K34" s="78">
        <v>257</v>
      </c>
      <c r="L34" s="78">
        <v>267</v>
      </c>
      <c r="M34" s="36">
        <f>RATE(5.75,,-E34,K34)</f>
        <v>-0.04920242274521247</v>
      </c>
      <c r="N34" s="44"/>
      <c r="O34" s="6" t="s">
        <v>24</v>
      </c>
      <c r="P34" s="46">
        <f t="shared" si="11"/>
        <v>0.0302394941934645</v>
      </c>
      <c r="Q34" s="46">
        <f t="shared" si="11"/>
        <v>0.027259336434999733</v>
      </c>
      <c r="R34" s="46">
        <f t="shared" si="11"/>
        <v>0.03366551445171729</v>
      </c>
      <c r="S34" s="46">
        <f t="shared" si="11"/>
        <v>0.02936951726260709</v>
      </c>
      <c r="T34" s="46">
        <f t="shared" si="11"/>
        <v>0.027352681744611248</v>
      </c>
      <c r="U34" s="46">
        <f t="shared" si="11"/>
        <v>0.02499021635824901</v>
      </c>
      <c r="V34" s="47">
        <f t="shared" si="11"/>
        <v>0.022189407209004582</v>
      </c>
      <c r="W34" s="47">
        <f t="shared" si="11"/>
        <v>0.02153588471840188</v>
      </c>
      <c r="X34" s="47">
        <f t="shared" si="12"/>
        <v>0.018385083568864462</v>
      </c>
      <c r="Y34" s="47">
        <f t="shared" si="12"/>
        <v>0.01484122488036067</v>
      </c>
      <c r="Z34" s="47">
        <f t="shared" si="13"/>
        <v>0.01467597427582037</v>
      </c>
      <c r="AA34" s="25">
        <f t="shared" si="3"/>
        <v>0.025087541458574763</v>
      </c>
      <c r="AB34" s="8"/>
    </row>
    <row r="35" spans="1:28" ht="15">
      <c r="A35" s="23" t="s">
        <v>25</v>
      </c>
      <c r="B35" s="77">
        <f aca="true" t="shared" si="14" ref="B35:I35">SUM(B30:B34)</f>
        <v>2145.6</v>
      </c>
      <c r="C35" s="77">
        <f t="shared" si="14"/>
        <v>1853.5</v>
      </c>
      <c r="D35" s="77">
        <f t="shared" si="14"/>
        <v>2147.8999999999996</v>
      </c>
      <c r="E35" s="77">
        <f t="shared" si="14"/>
        <v>2147.9</v>
      </c>
      <c r="F35" s="77">
        <f t="shared" si="14"/>
        <v>1884.1999999999998</v>
      </c>
      <c r="G35" s="77">
        <f t="shared" si="14"/>
        <v>1816</v>
      </c>
      <c r="H35" s="79">
        <f t="shared" si="14"/>
        <v>1606.8</v>
      </c>
      <c r="I35" s="79">
        <f t="shared" si="14"/>
        <v>1930.1000000000001</v>
      </c>
      <c r="J35" s="79">
        <f>SUM(J30:J34)</f>
        <v>1582</v>
      </c>
      <c r="K35" s="79">
        <f>SUM(K30:K34)</f>
        <v>1967</v>
      </c>
      <c r="L35" s="79">
        <f>SUM(L30:L34)</f>
        <v>1818</v>
      </c>
      <c r="M35" s="36">
        <f>RATE(5.75,,-E35,K35)</f>
        <v>-0.01518459119810811</v>
      </c>
      <c r="N35" s="44"/>
      <c r="O35" s="6" t="s">
        <v>25</v>
      </c>
      <c r="P35" s="46">
        <f t="shared" si="11"/>
        <v>0.17436672599166197</v>
      </c>
      <c r="Q35" s="46">
        <f t="shared" si="11"/>
        <v>0.16647505793170347</v>
      </c>
      <c r="R35" s="46">
        <f t="shared" si="11"/>
        <v>0.197460836949327</v>
      </c>
      <c r="S35" s="46">
        <f t="shared" si="11"/>
        <v>0.18364712118880283</v>
      </c>
      <c r="T35" s="46">
        <f t="shared" si="11"/>
        <v>0.16135855649090955</v>
      </c>
      <c r="U35" s="46">
        <f t="shared" si="11"/>
        <v>0.14503749730450688</v>
      </c>
      <c r="V35" s="51">
        <f t="shared" si="11"/>
        <v>0.1262086354103666</v>
      </c>
      <c r="W35" s="51">
        <f t="shared" si="11"/>
        <v>0.1393443214716308</v>
      </c>
      <c r="X35" s="51">
        <f t="shared" si="12"/>
        <v>0.10538116741283905</v>
      </c>
      <c r="Y35" s="51">
        <f t="shared" si="12"/>
        <v>0.1135902308936554</v>
      </c>
      <c r="Z35" s="51">
        <f t="shared" si="13"/>
        <v>0.09992854394547353</v>
      </c>
      <c r="AA35" s="51">
        <f t="shared" si="3"/>
        <v>0.15111922637324332</v>
      </c>
      <c r="AB35" s="8"/>
    </row>
    <row r="36" spans="1:28" ht="15">
      <c r="A36" s="23" t="s">
        <v>26</v>
      </c>
      <c r="B36" s="77">
        <f aca="true" t="shared" si="15" ref="B36:L36">B27+B35</f>
        <v>11343.9</v>
      </c>
      <c r="C36" s="77">
        <f t="shared" si="15"/>
        <v>9776.4</v>
      </c>
      <c r="D36" s="77">
        <f t="shared" si="15"/>
        <v>10117.4</v>
      </c>
      <c r="E36" s="77">
        <f t="shared" si="15"/>
        <v>10846.4</v>
      </c>
      <c r="F36" s="77">
        <f t="shared" si="15"/>
        <v>10920.7</v>
      </c>
      <c r="G36" s="77">
        <f t="shared" si="15"/>
        <v>11306.599999999999</v>
      </c>
      <c r="H36" s="76">
        <f t="shared" si="15"/>
        <v>11715.999999999998</v>
      </c>
      <c r="I36" s="76">
        <f t="shared" si="15"/>
        <v>12740.5</v>
      </c>
      <c r="J36" s="76">
        <f>J27+J35</f>
        <v>13431</v>
      </c>
      <c r="K36" s="76">
        <f>K27+K35</f>
        <v>15791</v>
      </c>
      <c r="L36" s="76">
        <f t="shared" si="15"/>
        <v>16454</v>
      </c>
      <c r="M36" s="36">
        <f>RATE(5.75,,-E36,K36)</f>
        <v>0.06750371297497841</v>
      </c>
      <c r="N36" s="48"/>
      <c r="O36" s="6" t="s">
        <v>26</v>
      </c>
      <c r="P36" s="46">
        <f t="shared" si="11"/>
        <v>0.9218860472487017</v>
      </c>
      <c r="Q36" s="46">
        <f t="shared" si="11"/>
        <v>0.8780829546066932</v>
      </c>
      <c r="R36" s="46">
        <f t="shared" si="11"/>
        <v>0.9301132602780025</v>
      </c>
      <c r="S36" s="46">
        <f t="shared" si="11"/>
        <v>0.927375639118316</v>
      </c>
      <c r="T36" s="46">
        <f t="shared" si="11"/>
        <v>0.9352236428565314</v>
      </c>
      <c r="U36" s="46">
        <f t="shared" si="11"/>
        <v>0.9030181536471021</v>
      </c>
      <c r="V36" s="51">
        <f t="shared" si="11"/>
        <v>0.9202516632237085</v>
      </c>
      <c r="W36" s="51">
        <f t="shared" si="11"/>
        <v>0.9198053612296319</v>
      </c>
      <c r="X36" s="51">
        <f t="shared" si="12"/>
        <v>0.8946741210631108</v>
      </c>
      <c r="Y36" s="51">
        <f t="shared" si="12"/>
        <v>0.9118979847695539</v>
      </c>
      <c r="Z36" s="51">
        <f t="shared" si="13"/>
        <v>0.904413785521904</v>
      </c>
      <c r="AA36" s="25">
        <f t="shared" si="3"/>
        <v>0.921134892015058</v>
      </c>
      <c r="AB36" s="8"/>
    </row>
    <row r="37" spans="1:28" ht="15.75" thickBot="1">
      <c r="A37" s="23" t="s">
        <v>27</v>
      </c>
      <c r="B37" s="80">
        <f aca="true" t="shared" si="16" ref="B37:G37">B16+B27+B35</f>
        <v>12305.1</v>
      </c>
      <c r="C37" s="80">
        <f t="shared" si="16"/>
        <v>11133.8</v>
      </c>
      <c r="D37" s="80">
        <f t="shared" si="16"/>
        <v>10877.6</v>
      </c>
      <c r="E37" s="80">
        <f t="shared" si="16"/>
        <v>11695.8</v>
      </c>
      <c r="F37" s="80">
        <f t="shared" si="16"/>
        <v>11677.099999999999</v>
      </c>
      <c r="G37" s="80">
        <f t="shared" si="16"/>
        <v>12520.899999999998</v>
      </c>
      <c r="H37" s="81">
        <f>H16+H27+H35</f>
        <v>12731.299999999997</v>
      </c>
      <c r="I37" s="81">
        <f>I16+I27+I35</f>
        <v>13851.300000000001</v>
      </c>
      <c r="J37" s="81">
        <f>J16+J27+J35</f>
        <v>15012.17</v>
      </c>
      <c r="K37" s="81">
        <f>K16+K27+K35</f>
        <v>17316.63</v>
      </c>
      <c r="L37" s="81">
        <f>L16+L27+L35</f>
        <v>18193</v>
      </c>
      <c r="M37" s="36">
        <f>RATE(5.75,,-E37,K37)</f>
        <v>0.07063293483213039</v>
      </c>
      <c r="N37" s="49"/>
      <c r="O37" s="6" t="s">
        <v>27</v>
      </c>
      <c r="P37" s="52">
        <f t="shared" si="11"/>
        <v>1</v>
      </c>
      <c r="Q37" s="52">
        <f t="shared" si="11"/>
        <v>1</v>
      </c>
      <c r="R37" s="52">
        <f t="shared" si="11"/>
        <v>1</v>
      </c>
      <c r="S37" s="52">
        <f t="shared" si="11"/>
        <v>1</v>
      </c>
      <c r="T37" s="52">
        <f t="shared" si="11"/>
        <v>1</v>
      </c>
      <c r="U37" s="52">
        <f t="shared" si="11"/>
        <v>1</v>
      </c>
      <c r="V37" s="53">
        <f t="shared" si="11"/>
        <v>1</v>
      </c>
      <c r="W37" s="53">
        <f t="shared" si="11"/>
        <v>1</v>
      </c>
      <c r="X37" s="53">
        <f t="shared" si="12"/>
        <v>1</v>
      </c>
      <c r="Y37" s="53">
        <f t="shared" si="12"/>
        <v>1</v>
      </c>
      <c r="Z37" s="53">
        <f t="shared" si="13"/>
        <v>1</v>
      </c>
      <c r="AA37" s="53">
        <f t="shared" si="3"/>
        <v>1</v>
      </c>
      <c r="AB37" s="8"/>
    </row>
    <row r="38" spans="1:28" ht="15.75" thickTop="1">
      <c r="A38" s="2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36"/>
      <c r="N38" s="44"/>
      <c r="O38" s="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8"/>
    </row>
    <row r="39" spans="1:28" ht="15">
      <c r="A39" s="35" t="s">
        <v>28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36"/>
      <c r="N39" s="49"/>
      <c r="O39" s="6" t="s">
        <v>28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8"/>
    </row>
    <row r="40" spans="1:28" ht="15">
      <c r="A40" s="23" t="s">
        <v>29</v>
      </c>
      <c r="B40" s="75">
        <v>186.9</v>
      </c>
      <c r="C40" s="75">
        <v>51.2</v>
      </c>
      <c r="D40" s="75">
        <v>144.5</v>
      </c>
      <c r="E40" s="75">
        <v>136.7</v>
      </c>
      <c r="F40" s="75">
        <v>240</v>
      </c>
      <c r="G40" s="75">
        <v>269.9</v>
      </c>
      <c r="H40" s="75">
        <v>216.9</v>
      </c>
      <c r="I40" s="75">
        <v>126.9</v>
      </c>
      <c r="J40" s="75">
        <v>414</v>
      </c>
      <c r="K40" s="75">
        <v>144</v>
      </c>
      <c r="L40" s="75">
        <v>143</v>
      </c>
      <c r="M40" s="36">
        <f aca="true" t="shared" si="17" ref="M40:M45">RATE(5.75,,-E40,K40)</f>
        <v>0.009088803446196038</v>
      </c>
      <c r="N40" s="49"/>
      <c r="O40" s="6" t="str">
        <f aca="true" t="shared" si="18" ref="O40:O45">A40</f>
        <v>Current Maturities LTD</v>
      </c>
      <c r="P40" s="25">
        <f aca="true" t="shared" si="19" ref="P40:Z46">B40/B$37</f>
        <v>0.015188824146085769</v>
      </c>
      <c r="Q40" s="25">
        <f t="shared" si="19"/>
        <v>0.0045986096391169235</v>
      </c>
      <c r="R40" s="25">
        <f t="shared" si="19"/>
        <v>0.013284180333897182</v>
      </c>
      <c r="S40" s="25">
        <f t="shared" si="19"/>
        <v>0.011687956360402879</v>
      </c>
      <c r="T40" s="25">
        <f t="shared" si="19"/>
        <v>0.020553048273972137</v>
      </c>
      <c r="U40" s="25">
        <f t="shared" si="19"/>
        <v>0.021555958437492515</v>
      </c>
      <c r="V40" s="25">
        <f t="shared" si="19"/>
        <v>0.01703675194206405</v>
      </c>
      <c r="W40" s="25">
        <f t="shared" si="19"/>
        <v>0.009161594940547097</v>
      </c>
      <c r="X40" s="25">
        <f t="shared" si="19"/>
        <v>0.027577625353296692</v>
      </c>
      <c r="Y40" s="25">
        <f t="shared" si="19"/>
        <v>0.008315705769540608</v>
      </c>
      <c r="Z40" s="25">
        <f t="shared" si="19"/>
        <v>0.007860165997911285</v>
      </c>
      <c r="AA40" s="25">
        <f t="shared" si="3"/>
        <v>0.015999061990895735</v>
      </c>
      <c r="AB40" s="8"/>
    </row>
    <row r="41" spans="1:28" ht="15">
      <c r="A41" s="23" t="s">
        <v>30</v>
      </c>
      <c r="B41" s="75">
        <v>109</v>
      </c>
      <c r="C41" s="75">
        <v>240.5</v>
      </c>
      <c r="D41" s="75">
        <v>177.5</v>
      </c>
      <c r="E41" s="75">
        <v>25</v>
      </c>
      <c r="F41" s="75">
        <v>124.9</v>
      </c>
      <c r="G41" s="75">
        <v>468.8</v>
      </c>
      <c r="H41" s="75">
        <v>184.4</v>
      </c>
      <c r="I41" s="75">
        <v>397.3</v>
      </c>
      <c r="J41" s="75">
        <v>0</v>
      </c>
      <c r="K41" s="75">
        <v>85</v>
      </c>
      <c r="L41" s="75">
        <v>0</v>
      </c>
      <c r="M41" s="36">
        <f t="shared" si="17"/>
        <v>0.2371749444975641</v>
      </c>
      <c r="N41" s="49"/>
      <c r="O41" s="6" t="str">
        <f t="shared" si="18"/>
        <v>Notes Payable and Commercial Paper</v>
      </c>
      <c r="P41" s="25">
        <f t="shared" si="19"/>
        <v>0.00885811574062787</v>
      </c>
      <c r="Q41" s="25">
        <f t="shared" si="19"/>
        <v>0.02160089098061758</v>
      </c>
      <c r="R41" s="25">
        <f t="shared" si="19"/>
        <v>0.016317937780392734</v>
      </c>
      <c r="S41" s="25">
        <f t="shared" si="19"/>
        <v>0.0021375194514270082</v>
      </c>
      <c r="T41" s="25">
        <f t="shared" si="19"/>
        <v>0.010696148872579666</v>
      </c>
      <c r="U41" s="25">
        <f t="shared" si="19"/>
        <v>0.03744139798257314</v>
      </c>
      <c r="V41" s="25">
        <f t="shared" si="19"/>
        <v>0.014483988280851134</v>
      </c>
      <c r="W41" s="25">
        <f t="shared" si="19"/>
        <v>0.02868322828904146</v>
      </c>
      <c r="X41" s="25">
        <f t="shared" si="19"/>
        <v>0</v>
      </c>
      <c r="Y41" s="25">
        <f t="shared" si="19"/>
        <v>0.004908576322298276</v>
      </c>
      <c r="Z41" s="25">
        <f t="shared" si="19"/>
        <v>0</v>
      </c>
      <c r="AA41" s="25">
        <f t="shared" si="3"/>
        <v>0.01868845657529448</v>
      </c>
      <c r="AB41" s="8"/>
    </row>
    <row r="42" spans="1:28" ht="15">
      <c r="A42" s="23" t="s">
        <v>31</v>
      </c>
      <c r="B42" s="75">
        <v>437.4</v>
      </c>
      <c r="C42" s="75">
        <v>609.9</v>
      </c>
      <c r="D42" s="75">
        <v>292.7</v>
      </c>
      <c r="E42" s="75">
        <v>243.4</v>
      </c>
      <c r="F42" s="75">
        <v>262.6</v>
      </c>
      <c r="G42" s="75">
        <v>350.4</v>
      </c>
      <c r="H42" s="75">
        <f>347.6</f>
        <v>347.6</v>
      </c>
      <c r="I42" s="75">
        <f>385.4</f>
        <v>385.4</v>
      </c>
      <c r="J42" s="75">
        <v>449</v>
      </c>
      <c r="K42" s="75">
        <v>757</v>
      </c>
      <c r="L42" s="75">
        <v>580</v>
      </c>
      <c r="M42" s="36">
        <f t="shared" si="17"/>
        <v>0.21814799058384435</v>
      </c>
      <c r="N42" s="44"/>
      <c r="O42" s="6" t="str">
        <f t="shared" si="18"/>
        <v>Accounts Payable</v>
      </c>
      <c r="P42" s="25">
        <f t="shared" si="19"/>
        <v>0.035546236926152566</v>
      </c>
      <c r="Q42" s="25">
        <f t="shared" si="19"/>
        <v>0.05477914099409007</v>
      </c>
      <c r="R42" s="25">
        <f t="shared" si="19"/>
        <v>0.026908509229977198</v>
      </c>
      <c r="S42" s="25">
        <f t="shared" si="19"/>
        <v>0.020810889379093353</v>
      </c>
      <c r="T42" s="25">
        <f t="shared" si="19"/>
        <v>0.02248846031977118</v>
      </c>
      <c r="U42" s="25">
        <f t="shared" si="19"/>
        <v>0.027985208731001767</v>
      </c>
      <c r="V42" s="25">
        <f t="shared" si="19"/>
        <v>0.027302789188849534</v>
      </c>
      <c r="W42" s="25">
        <f t="shared" si="19"/>
        <v>0.02782410315277266</v>
      </c>
      <c r="X42" s="25">
        <f t="shared" si="19"/>
        <v>0.02990906711021791</v>
      </c>
      <c r="Y42" s="25">
        <f t="shared" si="19"/>
        <v>0.04371520324682112</v>
      </c>
      <c r="Z42" s="25">
        <f t="shared" si="19"/>
        <v>0.03188039355796185</v>
      </c>
      <c r="AA42" s="25">
        <f t="shared" si="3"/>
        <v>0.025282290154297705</v>
      </c>
      <c r="AB42" s="8"/>
    </row>
    <row r="43" spans="1:28" ht="15">
      <c r="A43" s="23" t="s">
        <v>32</v>
      </c>
      <c r="B43" s="75">
        <f>4.6+0</f>
        <v>4.6</v>
      </c>
      <c r="C43" s="75">
        <f>13.6+5.1</f>
        <v>18.7</v>
      </c>
      <c r="D43" s="75">
        <v>0</v>
      </c>
      <c r="E43" s="75">
        <v>39.6</v>
      </c>
      <c r="F43" s="75">
        <v>2.6</v>
      </c>
      <c r="G43" s="75">
        <v>3.9</v>
      </c>
      <c r="H43" s="75">
        <v>3.8</v>
      </c>
      <c r="I43" s="75">
        <v>0.7</v>
      </c>
      <c r="J43" s="75">
        <v>2</v>
      </c>
      <c r="K43" s="75">
        <v>0</v>
      </c>
      <c r="L43" s="75">
        <v>0</v>
      </c>
      <c r="M43" s="36">
        <f t="shared" si="17"/>
        <v>-0.9999993535016527</v>
      </c>
      <c r="N43" s="44"/>
      <c r="O43" s="6" t="str">
        <f t="shared" si="18"/>
        <v>Payable to Affiliates</v>
      </c>
      <c r="P43" s="25">
        <f t="shared" si="19"/>
        <v>0.00037382873767787336</v>
      </c>
      <c r="Q43" s="25">
        <f t="shared" si="19"/>
        <v>0.001679570317411845</v>
      </c>
      <c r="R43" s="25">
        <f t="shared" si="19"/>
        <v>0</v>
      </c>
      <c r="S43" s="25">
        <f t="shared" si="19"/>
        <v>0.003385830811060381</v>
      </c>
      <c r="T43" s="25">
        <f t="shared" si="19"/>
        <v>0.00022265802296803148</v>
      </c>
      <c r="U43" s="25">
        <f t="shared" si="19"/>
        <v>0.0003114792067662868</v>
      </c>
      <c r="V43" s="25">
        <f t="shared" si="19"/>
        <v>0.00029847698192643333</v>
      </c>
      <c r="W43" s="25">
        <f t="shared" si="19"/>
        <v>5.053677272169398E-05</v>
      </c>
      <c r="X43" s="25">
        <f t="shared" si="19"/>
        <v>0.000133225243252641</v>
      </c>
      <c r="Y43" s="25">
        <f t="shared" si="19"/>
        <v>0</v>
      </c>
      <c r="Z43" s="25">
        <f t="shared" si="19"/>
        <v>0</v>
      </c>
      <c r="AA43" s="25">
        <f t="shared" si="3"/>
        <v>0.0008537963590885654</v>
      </c>
      <c r="AB43" s="8"/>
    </row>
    <row r="44" spans="1:28" ht="15">
      <c r="A44" s="23" t="s">
        <v>33</v>
      </c>
      <c r="B44" s="75">
        <f>153.8+97.3+4.2</f>
        <v>255.3</v>
      </c>
      <c r="C44" s="75">
        <f>61.9+84.1+377.5</f>
        <v>523.5</v>
      </c>
      <c r="D44" s="75">
        <f>91.8+115.9+100.8+151.7</f>
        <v>460.2</v>
      </c>
      <c r="E44" s="75">
        <f>141.3+63.1+67.9+91.7</f>
        <v>364</v>
      </c>
      <c r="F44" s="75">
        <f>131.5+54.2+66.1+76.9+3.7</f>
        <v>332.4</v>
      </c>
      <c r="G44" s="75">
        <f>134.3+39.8+64.8+136.7+2+3.7</f>
        <v>381.3</v>
      </c>
      <c r="H44" s="75">
        <f>131.7+47+63+97.9+16.9+3.7</f>
        <v>360.2</v>
      </c>
      <c r="I44" s="75">
        <f>85.2+30+56.7+109.5+37.5</f>
        <v>318.9</v>
      </c>
      <c r="J44" s="75">
        <f>80+28+74+117</f>
        <v>299</v>
      </c>
      <c r="K44" s="75">
        <f>77+89+73+130</f>
        <v>369</v>
      </c>
      <c r="L44" s="75">
        <f>112+116+99+75</f>
        <v>402</v>
      </c>
      <c r="M44" s="36">
        <f t="shared" si="17"/>
        <v>0.0023754737434086774</v>
      </c>
      <c r="N44" s="44"/>
      <c r="O44" s="6" t="str">
        <f t="shared" si="18"/>
        <v>Other Payables and Accrued Expenses</v>
      </c>
      <c r="P44" s="25">
        <f t="shared" si="19"/>
        <v>0.020747494941121974</v>
      </c>
      <c r="Q44" s="25">
        <f t="shared" si="19"/>
        <v>0.04701898722808026</v>
      </c>
      <c r="R44" s="25">
        <f t="shared" si="19"/>
        <v>0.042307126572037945</v>
      </c>
      <c r="S44" s="25">
        <f t="shared" si="19"/>
        <v>0.031122283212777237</v>
      </c>
      <c r="T44" s="25">
        <f t="shared" si="19"/>
        <v>0.028465971859451406</v>
      </c>
      <c r="U44" s="25">
        <f t="shared" si="19"/>
        <v>0.030453082446150043</v>
      </c>
      <c r="V44" s="25">
        <f t="shared" si="19"/>
        <v>0.028292476023658232</v>
      </c>
      <c r="W44" s="25">
        <f t="shared" si="19"/>
        <v>0.02302310974421173</v>
      </c>
      <c r="X44" s="25">
        <f t="shared" si="19"/>
        <v>0.019917173866269833</v>
      </c>
      <c r="Y44" s="25">
        <f t="shared" si="19"/>
        <v>0.02130899603444781</v>
      </c>
      <c r="Z44" s="25">
        <f t="shared" si="19"/>
        <v>0.02209641070741494</v>
      </c>
      <c r="AA44" s="25">
        <f t="shared" si="3"/>
        <v>0.02827138465724973</v>
      </c>
      <c r="AB44" s="8"/>
    </row>
    <row r="45" spans="1:28" ht="15">
      <c r="A45" s="23" t="s">
        <v>34</v>
      </c>
      <c r="B45" s="77">
        <v>103</v>
      </c>
      <c r="C45" s="77">
        <v>157.4</v>
      </c>
      <c r="D45" s="77">
        <v>142</v>
      </c>
      <c r="E45" s="77">
        <v>127.3</v>
      </c>
      <c r="F45" s="77">
        <v>111.8</v>
      </c>
      <c r="G45" s="77">
        <v>123.4</v>
      </c>
      <c r="H45" s="78">
        <v>103.2</v>
      </c>
      <c r="I45" s="78">
        <v>134.9</v>
      </c>
      <c r="J45" s="78">
        <v>149</v>
      </c>
      <c r="K45" s="78">
        <v>111</v>
      </c>
      <c r="L45" s="78">
        <v>112</v>
      </c>
      <c r="M45" s="36">
        <f t="shared" si="17"/>
        <v>-0.02354725541475593</v>
      </c>
      <c r="N45" s="44"/>
      <c r="O45" s="6" t="str">
        <f t="shared" si="18"/>
        <v>Other </v>
      </c>
      <c r="P45" s="46">
        <f t="shared" si="19"/>
        <v>0.008370513039308905</v>
      </c>
      <c r="Q45" s="46">
        <f t="shared" si="19"/>
        <v>0.01413713197650398</v>
      </c>
      <c r="R45" s="46">
        <f t="shared" si="19"/>
        <v>0.013054350224314186</v>
      </c>
      <c r="S45" s="46">
        <f t="shared" si="19"/>
        <v>0.010884249046666326</v>
      </c>
      <c r="T45" s="46">
        <f t="shared" si="19"/>
        <v>0.009574294987625354</v>
      </c>
      <c r="U45" s="46">
        <f t="shared" si="19"/>
        <v>0.009855521567938409</v>
      </c>
      <c r="V45" s="47">
        <f t="shared" si="19"/>
        <v>0.0081060064565284</v>
      </c>
      <c r="W45" s="47">
        <f t="shared" si="19"/>
        <v>0.009739158057366457</v>
      </c>
      <c r="X45" s="47">
        <f t="shared" si="19"/>
        <v>0.009925280622321756</v>
      </c>
      <c r="Y45" s="47">
        <f t="shared" si="19"/>
        <v>0.006410023197354219</v>
      </c>
      <c r="Z45" s="47">
        <f t="shared" si="19"/>
        <v>0.0061562139284340135</v>
      </c>
      <c r="AA45" s="47">
        <f t="shared" si="3"/>
        <v>0.009631846023224987</v>
      </c>
      <c r="AB45" s="8"/>
    </row>
    <row r="46" spans="1:28" ht="15">
      <c r="A46" s="23" t="s">
        <v>35</v>
      </c>
      <c r="B46" s="75">
        <f aca="true" t="shared" si="20" ref="B46:L46">SUM(B39:B45)</f>
        <v>1096.2</v>
      </c>
      <c r="C46" s="75">
        <f t="shared" si="20"/>
        <v>1601.2</v>
      </c>
      <c r="D46" s="75">
        <f t="shared" si="20"/>
        <v>1216.9</v>
      </c>
      <c r="E46" s="75">
        <f t="shared" si="20"/>
        <v>936</v>
      </c>
      <c r="F46" s="75">
        <f t="shared" si="20"/>
        <v>1074.3</v>
      </c>
      <c r="G46" s="75">
        <f t="shared" si="20"/>
        <v>1597.7</v>
      </c>
      <c r="H46" s="75">
        <f t="shared" si="20"/>
        <v>1216.1000000000001</v>
      </c>
      <c r="I46" s="75">
        <f t="shared" si="20"/>
        <v>1364.1000000000001</v>
      </c>
      <c r="J46" s="75">
        <f>SUM(J39:J45)</f>
        <v>1313</v>
      </c>
      <c r="K46" s="75">
        <f>SUM(K39:K45)</f>
        <v>1466</v>
      </c>
      <c r="L46" s="75">
        <f t="shared" si="20"/>
        <v>1237</v>
      </c>
      <c r="M46" s="36">
        <f>RATE(5.75,,-E46,K46)</f>
        <v>0.08115601529556546</v>
      </c>
      <c r="N46" s="44"/>
      <c r="O46" s="6" t="s">
        <v>35</v>
      </c>
      <c r="P46" s="25">
        <f t="shared" si="19"/>
        <v>0.08908501353097496</v>
      </c>
      <c r="Q46" s="25">
        <f t="shared" si="19"/>
        <v>0.14381433113582068</v>
      </c>
      <c r="R46" s="25">
        <f t="shared" si="19"/>
        <v>0.11187210414061925</v>
      </c>
      <c r="S46" s="25">
        <f t="shared" si="19"/>
        <v>0.08002872826142718</v>
      </c>
      <c r="T46" s="25">
        <f t="shared" si="19"/>
        <v>0.09200058233636776</v>
      </c>
      <c r="U46" s="25">
        <f t="shared" si="19"/>
        <v>0.12760264837192217</v>
      </c>
      <c r="V46" s="25">
        <f t="shared" si="19"/>
        <v>0.09552048887387779</v>
      </c>
      <c r="W46" s="25">
        <f t="shared" si="19"/>
        <v>0.09848173095666111</v>
      </c>
      <c r="X46" s="25">
        <f t="shared" si="19"/>
        <v>0.08746237219535884</v>
      </c>
      <c r="Y46" s="25">
        <f t="shared" si="19"/>
        <v>0.08465850457046203</v>
      </c>
      <c r="Z46" s="25">
        <f t="shared" si="19"/>
        <v>0.0679931841917221</v>
      </c>
      <c r="AA46" s="25">
        <f t="shared" si="3"/>
        <v>0.09872683576005122</v>
      </c>
      <c r="AB46" s="8"/>
    </row>
    <row r="47" spans="1:28" ht="15">
      <c r="A47" s="23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36"/>
      <c r="N47" s="44"/>
      <c r="O47" s="6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8"/>
    </row>
    <row r="48" spans="1:28" ht="15">
      <c r="A48" s="23" t="s">
        <v>36</v>
      </c>
      <c r="B48" s="75">
        <f>4221.5+340.9</f>
        <v>4562.4</v>
      </c>
      <c r="C48" s="75">
        <v>2906.9</v>
      </c>
      <c r="D48" s="75">
        <v>3553.8</v>
      </c>
      <c r="E48" s="75">
        <v>3417.6</v>
      </c>
      <c r="F48" s="75">
        <v>3520.2</v>
      </c>
      <c r="G48" s="75">
        <v>3629</v>
      </c>
      <c r="H48" s="75">
        <v>3721</v>
      </c>
      <c r="I48" s="75">
        <v>3966.8</v>
      </c>
      <c r="J48" s="75">
        <v>4753</v>
      </c>
      <c r="K48" s="75">
        <v>5424</v>
      </c>
      <c r="L48" s="75">
        <v>6415</v>
      </c>
      <c r="M48" s="36">
        <f>RATE(5.75,,-E48,K48)</f>
        <v>0.0836441403059696</v>
      </c>
      <c r="N48" s="44"/>
      <c r="O48" s="6" t="s">
        <v>36</v>
      </c>
      <c r="P48" s="25">
        <f aca="true" t="shared" si="21" ref="P48:Z51">B48/B$37</f>
        <v>0.3707730940829412</v>
      </c>
      <c r="Q48" s="25">
        <f t="shared" si="21"/>
        <v>0.26108785859275363</v>
      </c>
      <c r="R48" s="25">
        <f t="shared" si="21"/>
        <v>0.32670809737442086</v>
      </c>
      <c r="S48" s="25">
        <f t="shared" si="21"/>
        <v>0.2922074590878777</v>
      </c>
      <c r="T48" s="25">
        <f t="shared" si="21"/>
        <v>0.30146183555848627</v>
      </c>
      <c r="U48" s="25">
        <f t="shared" si="21"/>
        <v>0.28983539521919355</v>
      </c>
      <c r="V48" s="25">
        <f t="shared" si="21"/>
        <v>0.2922718025653312</v>
      </c>
      <c r="W48" s="25">
        <f t="shared" si="21"/>
        <v>0.2863846714748796</v>
      </c>
      <c r="X48" s="25">
        <f t="shared" si="21"/>
        <v>0.3166097905899014</v>
      </c>
      <c r="Y48" s="25">
        <f t="shared" si="21"/>
        <v>0.3132249173193629</v>
      </c>
      <c r="Z48" s="25">
        <f t="shared" si="21"/>
        <v>0.352608145990216</v>
      </c>
      <c r="AA48" s="25">
        <f t="shared" si="3"/>
        <v>0.29243223278115366</v>
      </c>
      <c r="AB48" s="8"/>
    </row>
    <row r="49" spans="1:28" ht="15">
      <c r="A49" s="23" t="s">
        <v>37</v>
      </c>
      <c r="B49" s="75">
        <v>1642.2</v>
      </c>
      <c r="C49" s="75">
        <v>1645</v>
      </c>
      <c r="D49" s="75">
        <v>1434.8</v>
      </c>
      <c r="E49" s="75">
        <v>1511.1</v>
      </c>
      <c r="F49" s="75">
        <v>1564.6</v>
      </c>
      <c r="G49" s="75">
        <v>1629</v>
      </c>
      <c r="H49" s="75">
        <v>1621.2</v>
      </c>
      <c r="I49" s="75">
        <v>1641.4</v>
      </c>
      <c r="J49" s="75">
        <v>1701</v>
      </c>
      <c r="K49" s="75">
        <v>2025</v>
      </c>
      <c r="L49" s="75">
        <v>2173</v>
      </c>
      <c r="M49" s="36">
        <f>RATE(5.75,,-E49,K49)</f>
        <v>0.05222806736330575</v>
      </c>
      <c r="N49" s="44"/>
      <c r="O49" s="6" t="s">
        <v>37</v>
      </c>
      <c r="P49" s="25">
        <f t="shared" si="21"/>
        <v>0.1334568593510008</v>
      </c>
      <c r="Q49" s="25">
        <f t="shared" si="21"/>
        <v>0.14774829797553396</v>
      </c>
      <c r="R49" s="25">
        <f t="shared" si="21"/>
        <v>0.1319040964918732</v>
      </c>
      <c r="S49" s="25">
        <f t="shared" si="21"/>
        <v>0.12920022572205406</v>
      </c>
      <c r="T49" s="25">
        <f t="shared" si="21"/>
        <v>0.13398874720607</v>
      </c>
      <c r="U49" s="25">
        <f t="shared" si="21"/>
        <v>0.13010246867237982</v>
      </c>
      <c r="V49" s="25">
        <f t="shared" si="21"/>
        <v>0.12733970607871942</v>
      </c>
      <c r="W49" s="25">
        <f t="shared" si="21"/>
        <v>0.11850151249341216</v>
      </c>
      <c r="X49" s="25">
        <f t="shared" si="21"/>
        <v>0.1133080693863712</v>
      </c>
      <c r="Y49" s="25">
        <f t="shared" si="21"/>
        <v>0.11693961238416481</v>
      </c>
      <c r="Z49" s="25">
        <f t="shared" si="21"/>
        <v>0.11944154345077777</v>
      </c>
      <c r="AA49" s="25">
        <f t="shared" si="3"/>
        <v>0.1278265320345271</v>
      </c>
      <c r="AB49" s="8"/>
    </row>
    <row r="50" spans="1:28" ht="15">
      <c r="A50" s="23" t="s">
        <v>38</v>
      </c>
      <c r="B50" s="76">
        <f>115.2+101.6+691.1</f>
        <v>907.9000000000001</v>
      </c>
      <c r="C50" s="76">
        <f>107.2+256+645.4</f>
        <v>1008.5999999999999</v>
      </c>
      <c r="D50" s="76">
        <f>99.3+219.7+560.5+443.7</f>
        <v>1323.2</v>
      </c>
      <c r="E50" s="76">
        <f>801.9+91.4+643.5+650.1</f>
        <v>2186.9</v>
      </c>
      <c r="F50" s="76">
        <f>3706.3-1564.6</f>
        <v>2141.7000000000003</v>
      </c>
      <c r="G50" s="76">
        <f>3868.3-1629</f>
        <v>2239.3</v>
      </c>
      <c r="H50" s="76">
        <f>3701.1-H49</f>
        <v>2079.8999999999996</v>
      </c>
      <c r="I50" s="76">
        <f>4093.6-I49</f>
        <v>2452.2</v>
      </c>
      <c r="J50" s="76">
        <f>3761-J49</f>
        <v>2060</v>
      </c>
      <c r="K50" s="76">
        <f>821+490+874+80</f>
        <v>2265</v>
      </c>
      <c r="L50" s="78">
        <f>827+405+836</f>
        <v>2068</v>
      </c>
      <c r="M50" s="36">
        <f>RATE(5.75,,-E50,K50)</f>
        <v>0.006121222583436026</v>
      </c>
      <c r="N50" s="48"/>
      <c r="O50" s="6" t="s">
        <v>38</v>
      </c>
      <c r="P50" s="46">
        <f t="shared" si="21"/>
        <v>0.07378241542124811</v>
      </c>
      <c r="Q50" s="46">
        <f t="shared" si="21"/>
        <v>0.09058901722682283</v>
      </c>
      <c r="R50" s="46">
        <f t="shared" si="21"/>
        <v>0.12164448040008825</v>
      </c>
      <c r="S50" s="46">
        <f t="shared" si="21"/>
        <v>0.18698165153302898</v>
      </c>
      <c r="T50" s="46">
        <f t="shared" si="21"/>
        <v>0.18341026453485887</v>
      </c>
      <c r="U50" s="46">
        <f t="shared" si="21"/>
        <v>0.17884497120814002</v>
      </c>
      <c r="V50" s="47">
        <f t="shared" si="21"/>
        <v>0.16336901966020753</v>
      </c>
      <c r="W50" s="47">
        <f t="shared" si="21"/>
        <v>0.17703753438305428</v>
      </c>
      <c r="X50" s="47">
        <f t="shared" si="21"/>
        <v>0.13722200055022024</v>
      </c>
      <c r="Y50" s="47">
        <f t="shared" si="21"/>
        <v>0.13079912200006583</v>
      </c>
      <c r="Z50" s="47">
        <f t="shared" si="21"/>
        <v>0.11367009289287089</v>
      </c>
      <c r="AA50" s="47">
        <f t="shared" si="3"/>
        <v>0.17792868826385794</v>
      </c>
      <c r="AB50" s="8"/>
    </row>
    <row r="51" spans="1:28" ht="15">
      <c r="A51" s="40" t="s">
        <v>39</v>
      </c>
      <c r="B51" s="82">
        <f aca="true" t="shared" si="22" ref="B51:L51">SUM(B48:B50)</f>
        <v>7112.5</v>
      </c>
      <c r="C51" s="82">
        <f t="shared" si="22"/>
        <v>5560.5</v>
      </c>
      <c r="D51" s="82">
        <f t="shared" si="22"/>
        <v>6311.8</v>
      </c>
      <c r="E51" s="82">
        <f t="shared" si="22"/>
        <v>7115.6</v>
      </c>
      <c r="F51" s="82">
        <f t="shared" si="22"/>
        <v>7226.5</v>
      </c>
      <c r="G51" s="82">
        <f t="shared" si="22"/>
        <v>7497.3</v>
      </c>
      <c r="H51" s="82">
        <f t="shared" si="22"/>
        <v>7422.099999999999</v>
      </c>
      <c r="I51" s="82">
        <f t="shared" si="22"/>
        <v>8060.400000000001</v>
      </c>
      <c r="J51" s="82">
        <f>SUM(J48:J50)</f>
        <v>8514</v>
      </c>
      <c r="K51" s="82">
        <f>SUM(K48:K50)</f>
        <v>9714</v>
      </c>
      <c r="L51" s="82">
        <f t="shared" si="22"/>
        <v>10656</v>
      </c>
      <c r="M51" s="36">
        <f>RATE(5.75,,-E51,K51)</f>
        <v>0.055627531248613304</v>
      </c>
      <c r="N51" s="49"/>
      <c r="O51" s="37" t="s">
        <v>39</v>
      </c>
      <c r="P51" s="25">
        <f t="shared" si="21"/>
        <v>0.5780123688551901</v>
      </c>
      <c r="Q51" s="25">
        <f t="shared" si="21"/>
        <v>0.4994251737951104</v>
      </c>
      <c r="R51" s="25">
        <f t="shared" si="21"/>
        <v>0.5802566742663823</v>
      </c>
      <c r="S51" s="25">
        <f t="shared" si="21"/>
        <v>0.6083893363429608</v>
      </c>
      <c r="T51" s="25">
        <f t="shared" si="21"/>
        <v>0.6188608472994152</v>
      </c>
      <c r="U51" s="25">
        <f t="shared" si="21"/>
        <v>0.5987828350997134</v>
      </c>
      <c r="V51" s="25">
        <f t="shared" si="21"/>
        <v>0.5829805283042581</v>
      </c>
      <c r="W51" s="25">
        <f t="shared" si="21"/>
        <v>0.581923718351346</v>
      </c>
      <c r="X51" s="25">
        <f t="shared" si="21"/>
        <v>0.5671398605264928</v>
      </c>
      <c r="Y51" s="25">
        <f t="shared" si="21"/>
        <v>0.5609636517035935</v>
      </c>
      <c r="Z51" s="25">
        <f t="shared" si="21"/>
        <v>0.5857197823338647</v>
      </c>
      <c r="AA51" s="25">
        <f t="shared" si="3"/>
        <v>0.5981874530795388</v>
      </c>
      <c r="AB51" s="8"/>
    </row>
    <row r="52" spans="1:28" ht="15">
      <c r="A52" s="4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36"/>
      <c r="N52" s="44"/>
      <c r="O52" s="37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8"/>
    </row>
    <row r="53" spans="1:28" ht="15">
      <c r="A53" s="23" t="s">
        <v>40</v>
      </c>
      <c r="B53" s="75">
        <f aca="true" t="shared" si="23" ref="B53:G53">B51+B46</f>
        <v>8208.7</v>
      </c>
      <c r="C53" s="75">
        <f t="shared" si="23"/>
        <v>7161.7</v>
      </c>
      <c r="D53" s="75">
        <f t="shared" si="23"/>
        <v>7528.700000000001</v>
      </c>
      <c r="E53" s="75">
        <f t="shared" si="23"/>
        <v>8051.6</v>
      </c>
      <c r="F53" s="75">
        <f t="shared" si="23"/>
        <v>8300.8</v>
      </c>
      <c r="G53" s="75">
        <f t="shared" si="23"/>
        <v>9095</v>
      </c>
      <c r="H53" s="75">
        <f>H51+H46</f>
        <v>8638.199999999999</v>
      </c>
      <c r="I53" s="75">
        <f>I51+I46</f>
        <v>9424.5</v>
      </c>
      <c r="J53" s="75">
        <f>J51+J46</f>
        <v>9827</v>
      </c>
      <c r="K53" s="75">
        <f>K51+K46</f>
        <v>11180</v>
      </c>
      <c r="L53" s="75">
        <f>L51+L46</f>
        <v>11893</v>
      </c>
      <c r="M53" s="36">
        <f>RATE(5.75,,-E53,K53)</f>
        <v>0.058748909602874544</v>
      </c>
      <c r="N53" s="44"/>
      <c r="O53" s="6" t="s">
        <v>40</v>
      </c>
      <c r="P53" s="25">
        <f aca="true" t="shared" si="24" ref="P53:Z53">B53/B$37</f>
        <v>0.6670973823861651</v>
      </c>
      <c r="Q53" s="25">
        <f t="shared" si="24"/>
        <v>0.6432395049309311</v>
      </c>
      <c r="R53" s="25">
        <f t="shared" si="24"/>
        <v>0.6921287784070016</v>
      </c>
      <c r="S53" s="25">
        <f t="shared" si="24"/>
        <v>0.6884180646043879</v>
      </c>
      <c r="T53" s="25">
        <f t="shared" si="24"/>
        <v>0.7108614296357829</v>
      </c>
      <c r="U53" s="25">
        <f t="shared" si="24"/>
        <v>0.7263854834716356</v>
      </c>
      <c r="V53" s="25">
        <f t="shared" si="24"/>
        <v>0.6785010171781358</v>
      </c>
      <c r="W53" s="25">
        <f t="shared" si="24"/>
        <v>0.6804054493080072</v>
      </c>
      <c r="X53" s="25">
        <f t="shared" si="24"/>
        <v>0.6546022327218517</v>
      </c>
      <c r="Y53" s="25">
        <f t="shared" si="24"/>
        <v>0.6456221562740556</v>
      </c>
      <c r="Z53" s="25">
        <f t="shared" si="24"/>
        <v>0.6537129665255867</v>
      </c>
      <c r="AA53" s="25">
        <f t="shared" si="3"/>
        <v>0.6969142888395898</v>
      </c>
      <c r="AB53" s="8"/>
    </row>
    <row r="54" spans="1:28" ht="15">
      <c r="A54" s="2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36"/>
      <c r="N54" s="49"/>
      <c r="O54" s="6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8"/>
    </row>
    <row r="55" spans="1:28" ht="15">
      <c r="A55" s="23" t="s">
        <v>41</v>
      </c>
      <c r="B55" s="75">
        <f>175+41.5</f>
        <v>216.5</v>
      </c>
      <c r="C55" s="75">
        <f>341.2+175+41.5</f>
        <v>557.7</v>
      </c>
      <c r="D55" s="75">
        <f>341.5+74.2+41.3</f>
        <v>457</v>
      </c>
      <c r="E55" s="75">
        <f>341.8+66.7+41.3</f>
        <v>449.8</v>
      </c>
      <c r="F55" s="75">
        <f>56.3+41.3</f>
        <v>97.6</v>
      </c>
      <c r="G55" s="75">
        <f>48.8+41.3</f>
        <v>90.1</v>
      </c>
      <c r="H55" s="75">
        <f>41.3+41.3</f>
        <v>82.6</v>
      </c>
      <c r="I55" s="75">
        <v>41.3</v>
      </c>
      <c r="J55" s="75">
        <v>41.3</v>
      </c>
      <c r="K55" s="75">
        <v>41</v>
      </c>
      <c r="L55" s="75">
        <v>41</v>
      </c>
      <c r="M55" s="36">
        <f>RATE(5.75,,-E55,K55)</f>
        <v>-0.34069030522140953</v>
      </c>
      <c r="N55" s="49"/>
      <c r="O55" s="6" t="s">
        <v>41</v>
      </c>
      <c r="P55" s="25">
        <f aca="true" t="shared" si="25" ref="P55:Z55">B55/B$37</f>
        <v>0.017594330805925998</v>
      </c>
      <c r="Q55" s="25">
        <f t="shared" si="25"/>
        <v>0.05009071476045915</v>
      </c>
      <c r="R55" s="25">
        <f t="shared" si="25"/>
        <v>0.042012944031771714</v>
      </c>
      <c r="S55" s="25">
        <f t="shared" si="25"/>
        <v>0.03845824997007473</v>
      </c>
      <c r="T55" s="25">
        <f t="shared" si="25"/>
        <v>0.008358239631415335</v>
      </c>
      <c r="U55" s="25">
        <f t="shared" si="25"/>
        <v>0.0071959683409339595</v>
      </c>
      <c r="V55" s="25">
        <f t="shared" si="25"/>
        <v>0.006487947028190367</v>
      </c>
      <c r="W55" s="25">
        <f t="shared" si="25"/>
        <v>0.002981669590579945</v>
      </c>
      <c r="X55" s="25">
        <f t="shared" si="25"/>
        <v>0.002751101273167037</v>
      </c>
      <c r="Y55" s="25">
        <f t="shared" si="25"/>
        <v>0.0023676662260497566</v>
      </c>
      <c r="Z55" s="25">
        <f t="shared" si="25"/>
        <v>0.0022536140273731655</v>
      </c>
      <c r="AA55" s="25">
        <f t="shared" si="3"/>
        <v>0.012696414912238866</v>
      </c>
      <c r="AB55" s="8"/>
    </row>
    <row r="56" spans="1:28" ht="15">
      <c r="A56" s="3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36"/>
      <c r="N56" s="49"/>
      <c r="O56" s="54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8"/>
    </row>
    <row r="57" spans="1:28" ht="15">
      <c r="A57" s="35" t="s">
        <v>42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36"/>
      <c r="N57" s="49"/>
      <c r="O57" s="6" t="s">
        <v>42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5"/>
      <c r="AB57" s="8"/>
    </row>
    <row r="58" spans="1:28" ht="15">
      <c r="A58" s="56" t="s">
        <v>43</v>
      </c>
      <c r="B58" s="75">
        <v>3284.9</v>
      </c>
      <c r="C58" s="75">
        <f>3284.9+0.9</f>
        <v>3285.8</v>
      </c>
      <c r="D58" s="75">
        <f>2742.1+0.7-24</f>
        <v>2718.7999999999997</v>
      </c>
      <c r="E58" s="75">
        <f>2892.1-1.7-1.9</f>
        <v>2888.5</v>
      </c>
      <c r="F58" s="75">
        <f>2892.1+4.5-8</f>
        <v>2888.6</v>
      </c>
      <c r="G58" s="75">
        <f>2894.1+4.3-9</f>
        <v>2889.4</v>
      </c>
      <c r="H58" s="75">
        <f>3381.9</f>
        <v>3381.9</v>
      </c>
      <c r="I58" s="75">
        <v>3600.1</v>
      </c>
      <c r="J58" s="75">
        <v>3804</v>
      </c>
      <c r="K58" s="75">
        <v>4254</v>
      </c>
      <c r="L58" s="75">
        <v>4254</v>
      </c>
      <c r="M58" s="36">
        <f>RATE(5.75,,-E58,K58)</f>
        <v>0.06964373105405962</v>
      </c>
      <c r="N58" s="44"/>
      <c r="O58" s="55" t="s">
        <v>43</v>
      </c>
      <c r="P58" s="25">
        <f aca="true" t="shared" si="26" ref="P58:Z61">B58/B$37</f>
        <v>0.26695435226044484</v>
      </c>
      <c r="Q58" s="25">
        <f t="shared" si="26"/>
        <v>0.29511936625410917</v>
      </c>
      <c r="R58" s="25">
        <f t="shared" si="26"/>
        <v>0.24994484077370005</v>
      </c>
      <c r="S58" s="25">
        <f t="shared" si="26"/>
        <v>0.2469689974178765</v>
      </c>
      <c r="T58" s="25">
        <f t="shared" si="26"/>
        <v>0.24737306351748295</v>
      </c>
      <c r="U58" s="25">
        <f t="shared" si="26"/>
        <v>0.23076615898218183</v>
      </c>
      <c r="V58" s="25">
        <f t="shared" si="26"/>
        <v>0.26563665925710656</v>
      </c>
      <c r="W58" s="25">
        <f t="shared" si="26"/>
        <v>0.2599106221076722</v>
      </c>
      <c r="X58" s="25">
        <f t="shared" si="26"/>
        <v>0.25339441266652324</v>
      </c>
      <c r="Y58" s="25">
        <f t="shared" si="26"/>
        <v>0.24565980794184547</v>
      </c>
      <c r="Z58" s="25">
        <f t="shared" si="26"/>
        <v>0.23382619688891332</v>
      </c>
      <c r="AA58" s="25">
        <f t="shared" si="3"/>
        <v>0.250131100256464</v>
      </c>
      <c r="AB58" s="8"/>
    </row>
    <row r="59" spans="1:28" ht="15">
      <c r="A59" s="56" t="s">
        <v>44</v>
      </c>
      <c r="B59" s="77">
        <f>622.2-27.2</f>
        <v>595</v>
      </c>
      <c r="C59" s="77">
        <v>128.6</v>
      </c>
      <c r="D59" s="77">
        <v>173.1</v>
      </c>
      <c r="E59" s="77">
        <v>305.9</v>
      </c>
      <c r="F59" s="77">
        <v>390.1</v>
      </c>
      <c r="G59" s="77">
        <v>446.4</v>
      </c>
      <c r="H59" s="78">
        <f>630-1.4</f>
        <v>628.6</v>
      </c>
      <c r="I59" s="78">
        <f>789.3-3.9</f>
        <v>785.4</v>
      </c>
      <c r="J59" s="78">
        <f>1239-4+161.8*0.65</f>
        <v>1340.17</v>
      </c>
      <c r="K59" s="78">
        <f>1694-2+230.2*0.65</f>
        <v>1841.63</v>
      </c>
      <c r="L59" s="78">
        <f>1926-3</f>
        <v>1923</v>
      </c>
      <c r="M59" s="36">
        <f>RATE(5.75,,-E59,K59)</f>
        <v>0.366427494278889</v>
      </c>
      <c r="N59" s="44"/>
      <c r="O59" s="55" t="s">
        <v>44</v>
      </c>
      <c r="P59" s="46">
        <f t="shared" si="26"/>
        <v>0.04835393454746406</v>
      </c>
      <c r="Q59" s="46">
        <f t="shared" si="26"/>
        <v>0.01155041405450071</v>
      </c>
      <c r="R59" s="46">
        <f t="shared" si="26"/>
        <v>0.015913436787526658</v>
      </c>
      <c r="S59" s="46">
        <f t="shared" si="26"/>
        <v>0.02615468800766087</v>
      </c>
      <c r="T59" s="46">
        <f t="shared" si="26"/>
        <v>0.03340726721531888</v>
      </c>
      <c r="U59" s="46">
        <f t="shared" si="26"/>
        <v>0.03565238920524883</v>
      </c>
      <c r="V59" s="47">
        <f t="shared" si="26"/>
        <v>0.04937437653656737</v>
      </c>
      <c r="W59" s="47">
        <f t="shared" si="26"/>
        <v>0.05670225899374065</v>
      </c>
      <c r="X59" s="47">
        <f t="shared" si="26"/>
        <v>0.08927223712494596</v>
      </c>
      <c r="Y59" s="47">
        <f t="shared" si="26"/>
        <v>0.10635036955804911</v>
      </c>
      <c r="Z59" s="47">
        <f t="shared" si="26"/>
        <v>0.10569999450338043</v>
      </c>
      <c r="AA59" s="25">
        <f t="shared" si="3"/>
        <v>0.04025819599170732</v>
      </c>
      <c r="AB59" s="8"/>
    </row>
    <row r="60" spans="1:28" ht="15">
      <c r="A60" s="23" t="s">
        <v>45</v>
      </c>
      <c r="B60" s="77">
        <f aca="true" t="shared" si="27" ref="B60:L60">SUM(B57:B59)</f>
        <v>3879.9</v>
      </c>
      <c r="C60" s="77">
        <f t="shared" si="27"/>
        <v>3414.4</v>
      </c>
      <c r="D60" s="77">
        <f t="shared" si="27"/>
        <v>2891.8999999999996</v>
      </c>
      <c r="E60" s="77">
        <f t="shared" si="27"/>
        <v>3194.4</v>
      </c>
      <c r="F60" s="77">
        <f t="shared" si="27"/>
        <v>3278.7</v>
      </c>
      <c r="G60" s="77">
        <f t="shared" si="27"/>
        <v>3335.8</v>
      </c>
      <c r="H60" s="76">
        <f t="shared" si="27"/>
        <v>4010.5</v>
      </c>
      <c r="I60" s="76">
        <f t="shared" si="27"/>
        <v>4385.5</v>
      </c>
      <c r="J60" s="76">
        <f>SUM(J57:J59)</f>
        <v>5144.17</v>
      </c>
      <c r="K60" s="76">
        <f>SUM(K57:K59)</f>
        <v>6095.63</v>
      </c>
      <c r="L60" s="76">
        <f t="shared" si="27"/>
        <v>6177</v>
      </c>
      <c r="M60" s="36">
        <f>RATE(5.75,,-E60,K60)</f>
        <v>0.11893561081545899</v>
      </c>
      <c r="N60" s="44"/>
      <c r="O60" s="6" t="s">
        <v>45</v>
      </c>
      <c r="P60" s="46">
        <f t="shared" si="26"/>
        <v>0.3153082868079089</v>
      </c>
      <c r="Q60" s="46">
        <f t="shared" si="26"/>
        <v>0.30666978030860986</v>
      </c>
      <c r="R60" s="46">
        <f t="shared" si="26"/>
        <v>0.2658582775612267</v>
      </c>
      <c r="S60" s="46">
        <f t="shared" si="26"/>
        <v>0.2731236854255374</v>
      </c>
      <c r="T60" s="46">
        <f t="shared" si="26"/>
        <v>0.28078033073280184</v>
      </c>
      <c r="U60" s="46">
        <f t="shared" si="26"/>
        <v>0.26641854818743066</v>
      </c>
      <c r="V60" s="51">
        <f t="shared" si="26"/>
        <v>0.3150110357936739</v>
      </c>
      <c r="W60" s="51">
        <f t="shared" si="26"/>
        <v>0.31661288110141284</v>
      </c>
      <c r="X60" s="51">
        <f t="shared" si="26"/>
        <v>0.3426666497914692</v>
      </c>
      <c r="Y60" s="51">
        <f t="shared" si="26"/>
        <v>0.3520101774998946</v>
      </c>
      <c r="Z60" s="51">
        <f t="shared" si="26"/>
        <v>0.33952619139229373</v>
      </c>
      <c r="AA60" s="51">
        <f t="shared" si="3"/>
        <v>0.29038929624817134</v>
      </c>
      <c r="AB60" s="8"/>
    </row>
    <row r="61" spans="1:28" ht="15.75" thickBot="1">
      <c r="A61" s="23" t="s">
        <v>46</v>
      </c>
      <c r="B61" s="80">
        <f aca="true" t="shared" si="28" ref="B61:L61">B60+B53+B55</f>
        <v>12305.1</v>
      </c>
      <c r="C61" s="80">
        <f t="shared" si="28"/>
        <v>11133.800000000001</v>
      </c>
      <c r="D61" s="80">
        <f t="shared" si="28"/>
        <v>10877.6</v>
      </c>
      <c r="E61" s="80">
        <f t="shared" si="28"/>
        <v>11695.8</v>
      </c>
      <c r="F61" s="80">
        <f t="shared" si="28"/>
        <v>11677.1</v>
      </c>
      <c r="G61" s="80">
        <f t="shared" si="28"/>
        <v>12520.9</v>
      </c>
      <c r="H61" s="81">
        <f t="shared" si="28"/>
        <v>12731.3</v>
      </c>
      <c r="I61" s="81">
        <f t="shared" si="28"/>
        <v>13851.3</v>
      </c>
      <c r="J61" s="81">
        <f>J60+J53+J55</f>
        <v>15012.47</v>
      </c>
      <c r="K61" s="81">
        <f>K60+K53+K55</f>
        <v>17316.63</v>
      </c>
      <c r="L61" s="81">
        <f t="shared" si="28"/>
        <v>18111</v>
      </c>
      <c r="M61" s="36">
        <f>RATE(5.75,,-E61,K61)</f>
        <v>0.07063293483213039</v>
      </c>
      <c r="N61" s="44"/>
      <c r="O61" s="6" t="s">
        <v>46</v>
      </c>
      <c r="P61" s="52">
        <f t="shared" si="26"/>
        <v>1</v>
      </c>
      <c r="Q61" s="52">
        <f t="shared" si="26"/>
        <v>1.0000000000000002</v>
      </c>
      <c r="R61" s="52">
        <f t="shared" si="26"/>
        <v>1</v>
      </c>
      <c r="S61" s="52">
        <f t="shared" si="26"/>
        <v>1</v>
      </c>
      <c r="T61" s="52">
        <f t="shared" si="26"/>
        <v>1.0000000000000002</v>
      </c>
      <c r="U61" s="52">
        <f t="shared" si="26"/>
        <v>1.0000000000000002</v>
      </c>
      <c r="V61" s="53">
        <f t="shared" si="26"/>
        <v>1.0000000000000002</v>
      </c>
      <c r="W61" s="53">
        <f t="shared" si="26"/>
        <v>0.9999999999999999</v>
      </c>
      <c r="X61" s="53">
        <f t="shared" si="26"/>
        <v>1.0000199837864878</v>
      </c>
      <c r="Y61" s="53">
        <f t="shared" si="26"/>
        <v>1</v>
      </c>
      <c r="Z61" s="53">
        <f t="shared" si="26"/>
        <v>0.9954927719452537</v>
      </c>
      <c r="AA61" s="53">
        <f t="shared" si="3"/>
        <v>1</v>
      </c>
      <c r="AB61" s="8"/>
    </row>
    <row r="62" spans="1:28" ht="15.75" thickTop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57"/>
      <c r="N62" s="49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45"/>
      <c r="AB62" s="8"/>
    </row>
    <row r="63" spans="1:28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9"/>
      <c r="N63" s="5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7" t="s">
        <v>0</v>
      </c>
      <c r="AB63" s="8"/>
    </row>
    <row r="64" spans="1:28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4" t="s">
        <v>125</v>
      </c>
      <c r="N64" s="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0" t="s">
        <v>106</v>
      </c>
      <c r="AB64" s="8"/>
    </row>
    <row r="65" spans="1:28" ht="18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58" t="s">
        <v>128</v>
      </c>
      <c r="N65" s="5"/>
      <c r="O65" s="14" t="str">
        <f>A3</f>
        <v>PacifiCorp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  <c r="AB65" s="8"/>
    </row>
    <row r="66" spans="1:28" ht="18.75">
      <c r="A66" s="11" t="str">
        <f>A3</f>
        <v>PacifiCorp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5"/>
      <c r="O66" s="20" t="s">
        <v>2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  <c r="AB66" s="8"/>
    </row>
    <row r="67" spans="1:28" ht="15.75">
      <c r="A67" s="17" t="s">
        <v>47</v>
      </c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9"/>
      <c r="N67" s="5"/>
      <c r="O67" s="20" t="s">
        <v>47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6"/>
      <c r="AB67" s="8"/>
    </row>
    <row r="68" spans="1:28" ht="15">
      <c r="A68" s="92" t="str">
        <f>A5</f>
        <v>Fiscal Years Ended March 31 (through 3/31/2006), Fiscal Year Ended December 31 (beginning 12/31/ 2006)</v>
      </c>
      <c r="B68" s="1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9"/>
      <c r="N68" s="5"/>
      <c r="O68" s="22" t="str">
        <f>A5</f>
        <v>Fiscal Years Ended March 31 (through 3/31/2006), Fiscal Year Ended December 31 (beginning 12/31/ 2006)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  <c r="AB68" s="8"/>
    </row>
    <row r="69" spans="1:28" ht="15">
      <c r="A69" s="92" t="s">
        <v>123</v>
      </c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9"/>
      <c r="N69" s="5"/>
      <c r="O69" s="22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  <c r="AB69" s="8"/>
    </row>
    <row r="70" spans="1:28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 t="str">
        <f>M7</f>
        <v>2003-2008</v>
      </c>
      <c r="N70" s="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5"/>
      <c r="AB70" s="8"/>
    </row>
    <row r="71" spans="1:28" ht="15">
      <c r="A71" s="23"/>
      <c r="B71" s="23"/>
      <c r="C71" s="23"/>
      <c r="D71" s="23"/>
      <c r="E71" s="23"/>
      <c r="F71" s="23"/>
      <c r="G71" s="23"/>
      <c r="H71" s="24"/>
      <c r="I71" s="24" t="str">
        <f>I8</f>
        <v>Nine Months</v>
      </c>
      <c r="J71" s="24"/>
      <c r="K71" s="24"/>
      <c r="L71" s="24" t="str">
        <f>Z8</f>
        <v>Six Months</v>
      </c>
      <c r="M71" s="21" t="s">
        <v>5</v>
      </c>
      <c r="N71" s="5"/>
      <c r="O71" s="6"/>
      <c r="P71" s="6"/>
      <c r="Q71" s="6"/>
      <c r="R71" s="6"/>
      <c r="S71" s="6"/>
      <c r="T71" s="6"/>
      <c r="U71" s="6"/>
      <c r="V71" s="30"/>
      <c r="W71" s="30" t="str">
        <f>I71</f>
        <v>Nine Months</v>
      </c>
      <c r="X71" s="30"/>
      <c r="Y71" s="30"/>
      <c r="Z71" s="30" t="str">
        <f>L71</f>
        <v>Six Months</v>
      </c>
      <c r="AA71" s="31" t="str">
        <f>M7</f>
        <v>2003-2008</v>
      </c>
      <c r="AB71" s="8"/>
    </row>
    <row r="72" spans="1:28" ht="15">
      <c r="A72" s="42" t="s">
        <v>6</v>
      </c>
      <c r="B72" s="26">
        <f>B9</f>
        <v>2000</v>
      </c>
      <c r="C72" s="26">
        <f aca="true" t="shared" si="29" ref="C72:H72">B72+1</f>
        <v>2001</v>
      </c>
      <c r="D72" s="26">
        <f t="shared" si="29"/>
        <v>2002</v>
      </c>
      <c r="E72" s="26">
        <f t="shared" si="29"/>
        <v>2003</v>
      </c>
      <c r="F72" s="26">
        <f t="shared" si="29"/>
        <v>2004</v>
      </c>
      <c r="G72" s="26">
        <f t="shared" si="29"/>
        <v>2005</v>
      </c>
      <c r="H72" s="26">
        <f t="shared" si="29"/>
        <v>2006</v>
      </c>
      <c r="I72" s="73" t="str">
        <f>I9</f>
        <v>Dec 2006</v>
      </c>
      <c r="J72" s="73">
        <f>J9</f>
        <v>2007</v>
      </c>
      <c r="K72" s="73">
        <f>K9</f>
        <v>2008</v>
      </c>
      <c r="L72" s="26" t="str">
        <f>Z9</f>
        <v>June 2009</v>
      </c>
      <c r="M72" s="29" t="s">
        <v>7</v>
      </c>
      <c r="N72" s="49"/>
      <c r="O72" s="32" t="s">
        <v>6</v>
      </c>
      <c r="P72" s="33">
        <f aca="true" t="shared" si="30" ref="P72:W72">B72</f>
        <v>2000</v>
      </c>
      <c r="Q72" s="33">
        <f t="shared" si="30"/>
        <v>2001</v>
      </c>
      <c r="R72" s="33">
        <f t="shared" si="30"/>
        <v>2002</v>
      </c>
      <c r="S72" s="33">
        <f t="shared" si="30"/>
        <v>2003</v>
      </c>
      <c r="T72" s="33">
        <f t="shared" si="30"/>
        <v>2004</v>
      </c>
      <c r="U72" s="33">
        <f t="shared" si="30"/>
        <v>2005</v>
      </c>
      <c r="V72" s="33">
        <f t="shared" si="30"/>
        <v>2006</v>
      </c>
      <c r="W72" s="33" t="str">
        <f t="shared" si="30"/>
        <v>Dec 2006</v>
      </c>
      <c r="X72" s="33">
        <f>J72</f>
        <v>2007</v>
      </c>
      <c r="Y72" s="33">
        <f>K72</f>
        <v>2008</v>
      </c>
      <c r="Z72" s="33" t="str">
        <f>L72</f>
        <v>June 2009</v>
      </c>
      <c r="AA72" s="34" t="s">
        <v>48</v>
      </c>
      <c r="AB72" s="8"/>
    </row>
    <row r="73" spans="1:28" ht="15">
      <c r="A73" s="23" t="s">
        <v>49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36"/>
      <c r="N73" s="44"/>
      <c r="O73" s="6" t="s">
        <v>50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8"/>
    </row>
    <row r="74" spans="1:28" ht="15">
      <c r="A74" s="23" t="s">
        <v>108</v>
      </c>
      <c r="B74" s="84">
        <v>3986.9</v>
      </c>
      <c r="C74" s="77">
        <v>5055.7</v>
      </c>
      <c r="D74" s="77">
        <v>3353.7</v>
      </c>
      <c r="E74" s="77">
        <v>3082.4</v>
      </c>
      <c r="F74" s="77">
        <v>3194.5</v>
      </c>
      <c r="G74" s="77">
        <v>3048.8</v>
      </c>
      <c r="H74" s="77">
        <v>3896.7</v>
      </c>
      <c r="I74" s="77">
        <v>2924.1</v>
      </c>
      <c r="J74" s="77">
        <f>4258+161.8</f>
        <v>4419.8</v>
      </c>
      <c r="K74" s="77">
        <f>4498+230.2</f>
        <v>4728.2</v>
      </c>
      <c r="L74" s="78">
        <v>2132</v>
      </c>
      <c r="M74" s="36">
        <f>RATE(5.75,,-E74,K74)</f>
        <v>0.07724437121659254</v>
      </c>
      <c r="N74" s="44"/>
      <c r="O74" s="6" t="s">
        <v>107</v>
      </c>
      <c r="P74" s="46">
        <f aca="true" t="shared" si="31" ref="P74:W75">B74/B$75</f>
        <v>1</v>
      </c>
      <c r="Q74" s="46">
        <f t="shared" si="31"/>
        <v>1</v>
      </c>
      <c r="R74" s="46">
        <f t="shared" si="31"/>
        <v>1</v>
      </c>
      <c r="S74" s="46">
        <f t="shared" si="31"/>
        <v>1</v>
      </c>
      <c r="T74" s="46">
        <f t="shared" si="31"/>
        <v>1</v>
      </c>
      <c r="U74" s="46">
        <f t="shared" si="31"/>
        <v>1</v>
      </c>
      <c r="V74" s="46">
        <f t="shared" si="31"/>
        <v>1</v>
      </c>
      <c r="W74" s="46">
        <f t="shared" si="31"/>
        <v>1</v>
      </c>
      <c r="X74" s="46">
        <f aca="true" t="shared" si="32" ref="X74:Z75">J74/J$75</f>
        <v>1</v>
      </c>
      <c r="Y74" s="46">
        <f t="shared" si="32"/>
        <v>1</v>
      </c>
      <c r="Z74" s="46">
        <f t="shared" si="32"/>
        <v>1</v>
      </c>
      <c r="AA74" s="46">
        <f>SUM(B74:H74)/SUM(B$75:H$75)</f>
        <v>1</v>
      </c>
      <c r="AB74" s="8"/>
    </row>
    <row r="75" spans="1:28" ht="15">
      <c r="A75" s="23" t="s">
        <v>52</v>
      </c>
      <c r="B75" s="75">
        <f aca="true" t="shared" si="33" ref="B75:L75">SUM(B73:B74)</f>
        <v>3986.9</v>
      </c>
      <c r="C75" s="75">
        <f t="shared" si="33"/>
        <v>5055.7</v>
      </c>
      <c r="D75" s="75">
        <f t="shared" si="33"/>
        <v>3353.7</v>
      </c>
      <c r="E75" s="75">
        <f t="shared" si="33"/>
        <v>3082.4</v>
      </c>
      <c r="F75" s="75">
        <f t="shared" si="33"/>
        <v>3194.5</v>
      </c>
      <c r="G75" s="75">
        <f t="shared" si="33"/>
        <v>3048.8</v>
      </c>
      <c r="H75" s="75">
        <f t="shared" si="33"/>
        <v>3896.7</v>
      </c>
      <c r="I75" s="75">
        <f t="shared" si="33"/>
        <v>2924.1</v>
      </c>
      <c r="J75" s="75">
        <f>SUM(J73:J74)</f>
        <v>4419.8</v>
      </c>
      <c r="K75" s="75">
        <f>SUM(K73:K74)</f>
        <v>4728.2</v>
      </c>
      <c r="L75" s="75">
        <f t="shared" si="33"/>
        <v>2132</v>
      </c>
      <c r="M75" s="36">
        <f>RATE(5.75,,-E75,K75)</f>
        <v>0.07724437121659254</v>
      </c>
      <c r="N75" s="44"/>
      <c r="O75" s="6" t="s">
        <v>51</v>
      </c>
      <c r="P75" s="25">
        <f t="shared" si="31"/>
        <v>1</v>
      </c>
      <c r="Q75" s="25">
        <f t="shared" si="31"/>
        <v>1</v>
      </c>
      <c r="R75" s="25">
        <f t="shared" si="31"/>
        <v>1</v>
      </c>
      <c r="S75" s="25">
        <f t="shared" si="31"/>
        <v>1</v>
      </c>
      <c r="T75" s="25">
        <f t="shared" si="31"/>
        <v>1</v>
      </c>
      <c r="U75" s="25">
        <f t="shared" si="31"/>
        <v>1</v>
      </c>
      <c r="V75" s="25">
        <f t="shared" si="31"/>
        <v>1</v>
      </c>
      <c r="W75" s="25">
        <f t="shared" si="31"/>
        <v>1</v>
      </c>
      <c r="X75" s="25">
        <f t="shared" si="32"/>
        <v>1</v>
      </c>
      <c r="Y75" s="25">
        <f t="shared" si="32"/>
        <v>1</v>
      </c>
      <c r="Z75" s="25">
        <f t="shared" si="32"/>
        <v>1</v>
      </c>
      <c r="AA75" s="25">
        <f>SUM(B75:H75)/SUM(B$75:H$75)</f>
        <v>1</v>
      </c>
      <c r="AB75" s="8"/>
    </row>
    <row r="76" spans="1:28" ht="15">
      <c r="A76" s="2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41"/>
      <c r="N76" s="44"/>
      <c r="O76" s="6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8"/>
    </row>
    <row r="77" spans="1:28" ht="15">
      <c r="A77" s="23" t="s">
        <v>53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41"/>
      <c r="N77" s="44"/>
      <c r="O77" s="6" t="s">
        <v>53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8"/>
    </row>
    <row r="78" spans="1:28" ht="15">
      <c r="A78" s="61" t="s">
        <v>54</v>
      </c>
      <c r="B78" s="85">
        <v>1217.8</v>
      </c>
      <c r="C78" s="75">
        <v>2636</v>
      </c>
      <c r="D78" s="75">
        <v>974.4</v>
      </c>
      <c r="E78" s="75">
        <v>698.5</v>
      </c>
      <c r="F78" s="75">
        <v>672.8</v>
      </c>
      <c r="G78" s="75">
        <v>448</v>
      </c>
      <c r="H78" s="86" t="s">
        <v>109</v>
      </c>
      <c r="I78" s="87">
        <v>0</v>
      </c>
      <c r="J78" s="87">
        <v>0</v>
      </c>
      <c r="K78" s="87">
        <v>0</v>
      </c>
      <c r="L78" s="87">
        <v>0</v>
      </c>
      <c r="M78" s="36">
        <f>RATE(5.75,,-E78,K78)</f>
        <v>-0.9999993535016527</v>
      </c>
      <c r="N78" s="44"/>
      <c r="O78" s="60" t="s">
        <v>54</v>
      </c>
      <c r="P78" s="25">
        <f aca="true" t="shared" si="34" ref="P78:V93">B78/B$75</f>
        <v>0.3054503498959091</v>
      </c>
      <c r="Q78" s="25">
        <f t="shared" si="34"/>
        <v>0.5213916965009792</v>
      </c>
      <c r="R78" s="25">
        <f t="shared" si="34"/>
        <v>0.2905447714464621</v>
      </c>
      <c r="S78" s="25">
        <f t="shared" si="34"/>
        <v>0.22660913573838568</v>
      </c>
      <c r="T78" s="25">
        <f t="shared" si="34"/>
        <v>0.21061198935670683</v>
      </c>
      <c r="U78" s="25">
        <f t="shared" si="34"/>
        <v>0.14694305956441878</v>
      </c>
      <c r="V78" s="25" t="s">
        <v>109</v>
      </c>
      <c r="W78" s="25">
        <f aca="true" t="shared" si="35" ref="W78:W85">I78/I$75</f>
        <v>0</v>
      </c>
      <c r="X78" s="25">
        <f aca="true" t="shared" si="36" ref="X78:Y85">J78/J$75</f>
        <v>0</v>
      </c>
      <c r="Y78" s="25">
        <f t="shared" si="36"/>
        <v>0</v>
      </c>
      <c r="Z78" s="25">
        <f aca="true" t="shared" si="37" ref="Z78:Z99">L78/L$75</f>
        <v>0</v>
      </c>
      <c r="AA78" s="25">
        <f aca="true" t="shared" si="38" ref="AA78:AA99">AVERAGE(S78:W78)</f>
        <v>0.1460410461648778</v>
      </c>
      <c r="AB78" s="8"/>
    </row>
    <row r="79" spans="1:28" ht="15">
      <c r="A79" s="61" t="s">
        <v>55</v>
      </c>
      <c r="B79" s="85">
        <v>512.3</v>
      </c>
      <c r="C79" s="75">
        <v>491</v>
      </c>
      <c r="D79" s="75">
        <v>490.9</v>
      </c>
      <c r="E79" s="75">
        <v>482.2</v>
      </c>
      <c r="F79" s="75">
        <v>483.9</v>
      </c>
      <c r="G79" s="75">
        <v>500</v>
      </c>
      <c r="H79" s="75">
        <v>1545.1</v>
      </c>
      <c r="I79" s="87">
        <v>1297.3</v>
      </c>
      <c r="J79" s="87">
        <v>1768</v>
      </c>
      <c r="K79" s="87">
        <v>1957</v>
      </c>
      <c r="L79" s="75">
        <v>796</v>
      </c>
      <c r="M79" s="36">
        <f>RATE(5.75,,-E79,K79)</f>
        <v>0.27585808081929014</v>
      </c>
      <c r="N79" s="44"/>
      <c r="O79" s="60" t="s">
        <v>55</v>
      </c>
      <c r="P79" s="25">
        <f t="shared" si="34"/>
        <v>0.12849582382302038</v>
      </c>
      <c r="Q79" s="25">
        <f t="shared" si="34"/>
        <v>0.09711810431789861</v>
      </c>
      <c r="R79" s="25">
        <f t="shared" si="34"/>
        <v>0.14637564481020962</v>
      </c>
      <c r="S79" s="25">
        <f t="shared" si="34"/>
        <v>0.15643654295354267</v>
      </c>
      <c r="T79" s="25">
        <f t="shared" si="34"/>
        <v>0.15147910471122242</v>
      </c>
      <c r="U79" s="25">
        <f t="shared" si="34"/>
        <v>0.1639989504067174</v>
      </c>
      <c r="V79" s="25">
        <f t="shared" si="34"/>
        <v>0.3965149998716863</v>
      </c>
      <c r="W79" s="25">
        <f t="shared" si="35"/>
        <v>0.4436578776375637</v>
      </c>
      <c r="X79" s="25">
        <f t="shared" si="36"/>
        <v>0.4000181003665324</v>
      </c>
      <c r="Y79" s="25">
        <f t="shared" si="36"/>
        <v>0.41389958123598836</v>
      </c>
      <c r="Z79" s="25">
        <f t="shared" si="37"/>
        <v>0.37335834896810505</v>
      </c>
      <c r="AA79" s="25">
        <f t="shared" si="38"/>
        <v>0.26241749511614654</v>
      </c>
      <c r="AB79" s="8"/>
    </row>
    <row r="80" spans="1:28" ht="15">
      <c r="A80" s="61" t="s">
        <v>56</v>
      </c>
      <c r="B80" s="85">
        <f>726+283</f>
        <v>1009</v>
      </c>
      <c r="C80" s="75">
        <f>705.2+200.8</f>
        <v>906</v>
      </c>
      <c r="D80" s="75">
        <v>813.4</v>
      </c>
      <c r="E80" s="75">
        <v>885.1</v>
      </c>
      <c r="F80" s="75">
        <v>895.8</v>
      </c>
      <c r="G80" s="75">
        <v>913.1</v>
      </c>
      <c r="H80" s="75">
        <v>1014.5</v>
      </c>
      <c r="I80" s="87">
        <v>780.3</v>
      </c>
      <c r="J80" s="87">
        <v>1004</v>
      </c>
      <c r="K80" s="87">
        <v>992</v>
      </c>
      <c r="L80" s="75">
        <v>514</v>
      </c>
      <c r="M80" s="36">
        <f>RATE(5.75,,-E80,K80)</f>
        <v>0.02002791598272533</v>
      </c>
      <c r="N80" s="44"/>
      <c r="O80" s="60" t="s">
        <v>56</v>
      </c>
      <c r="P80" s="25">
        <f t="shared" si="34"/>
        <v>0.2530788331786601</v>
      </c>
      <c r="Q80" s="25">
        <f t="shared" si="34"/>
        <v>0.17920367110390253</v>
      </c>
      <c r="R80" s="25">
        <f t="shared" si="34"/>
        <v>0.24253809225631393</v>
      </c>
      <c r="S80" s="25">
        <f t="shared" si="34"/>
        <v>0.28714637944458865</v>
      </c>
      <c r="T80" s="25">
        <f t="shared" si="34"/>
        <v>0.28041947096572234</v>
      </c>
      <c r="U80" s="25">
        <f t="shared" si="34"/>
        <v>0.2994948832327473</v>
      </c>
      <c r="V80" s="25">
        <f t="shared" si="34"/>
        <v>0.2603485000128314</v>
      </c>
      <c r="W80" s="25">
        <f t="shared" si="35"/>
        <v>0.26685133887349954</v>
      </c>
      <c r="X80" s="25">
        <f t="shared" si="36"/>
        <v>0.22715959998189963</v>
      </c>
      <c r="Y80" s="25">
        <f t="shared" si="36"/>
        <v>0.20980499978850303</v>
      </c>
      <c r="Z80" s="25">
        <f t="shared" si="37"/>
        <v>0.24108818011257035</v>
      </c>
      <c r="AA80" s="25">
        <f t="shared" si="38"/>
        <v>0.2788521145058779</v>
      </c>
      <c r="AB80" s="8"/>
    </row>
    <row r="81" spans="1:28" ht="15">
      <c r="A81" s="61" t="s">
        <v>57</v>
      </c>
      <c r="B81" s="85">
        <v>441.3</v>
      </c>
      <c r="C81" s="75">
        <v>429</v>
      </c>
      <c r="D81" s="75">
        <v>403</v>
      </c>
      <c r="E81" s="75">
        <v>434.3</v>
      </c>
      <c r="F81" s="75">
        <v>428.8</v>
      </c>
      <c r="G81" s="75">
        <v>436.9</v>
      </c>
      <c r="H81" s="75">
        <v>448.3</v>
      </c>
      <c r="I81" s="87">
        <v>354.6</v>
      </c>
      <c r="J81" s="87">
        <v>497</v>
      </c>
      <c r="K81" s="87">
        <v>490</v>
      </c>
      <c r="L81" s="75">
        <v>270</v>
      </c>
      <c r="M81" s="36">
        <f>RATE(5.75,,-E81,K81)</f>
        <v>0.021207817067108954</v>
      </c>
      <c r="N81" s="48"/>
      <c r="O81" s="60" t="s">
        <v>57</v>
      </c>
      <c r="P81" s="25">
        <f t="shared" si="34"/>
        <v>0.110687501567634</v>
      </c>
      <c r="Q81" s="25">
        <f t="shared" si="34"/>
        <v>0.0848547184366161</v>
      </c>
      <c r="R81" s="25">
        <f t="shared" si="34"/>
        <v>0.1201657870411784</v>
      </c>
      <c r="S81" s="25">
        <f t="shared" si="34"/>
        <v>0.14089670386711653</v>
      </c>
      <c r="T81" s="25">
        <f t="shared" si="34"/>
        <v>0.13423070903114728</v>
      </c>
      <c r="U81" s="25">
        <f t="shared" si="34"/>
        <v>0.14330228286538965</v>
      </c>
      <c r="V81" s="25">
        <f t="shared" si="34"/>
        <v>0.11504606461878</v>
      </c>
      <c r="W81" s="25">
        <f t="shared" si="35"/>
        <v>0.12126808248691906</v>
      </c>
      <c r="X81" s="25">
        <f t="shared" si="36"/>
        <v>0.11244852708267342</v>
      </c>
      <c r="Y81" s="25">
        <f t="shared" si="36"/>
        <v>0.10363351804069203</v>
      </c>
      <c r="Z81" s="25">
        <f t="shared" si="37"/>
        <v>0.12664165103189493</v>
      </c>
      <c r="AA81" s="25">
        <f t="shared" si="38"/>
        <v>0.13094876857387053</v>
      </c>
      <c r="AB81" s="8"/>
    </row>
    <row r="82" spans="1:28" ht="15">
      <c r="A82" s="61" t="s">
        <v>58</v>
      </c>
      <c r="B82" s="85">
        <v>101.4</v>
      </c>
      <c r="C82" s="75">
        <v>100.3</v>
      </c>
      <c r="D82" s="75">
        <v>90.8</v>
      </c>
      <c r="E82" s="75">
        <v>93.4</v>
      </c>
      <c r="F82" s="75">
        <v>95.3</v>
      </c>
      <c r="G82" s="75">
        <v>94.4</v>
      </c>
      <c r="H82" s="75">
        <v>96.8</v>
      </c>
      <c r="I82" s="87">
        <v>76.7</v>
      </c>
      <c r="J82" s="87">
        <v>101</v>
      </c>
      <c r="K82" s="87">
        <v>112</v>
      </c>
      <c r="L82" s="75">
        <v>65</v>
      </c>
      <c r="M82" s="36">
        <f>RATE(5.75,,-E82,K82)</f>
        <v>0.032087982289114324</v>
      </c>
      <c r="N82" s="49"/>
      <c r="O82" s="60" t="s">
        <v>58</v>
      </c>
      <c r="P82" s="25">
        <f t="shared" si="34"/>
        <v>0.025433294037974365</v>
      </c>
      <c r="Q82" s="25">
        <f t="shared" si="34"/>
        <v>0.01983899361117155</v>
      </c>
      <c r="R82" s="25">
        <f t="shared" si="34"/>
        <v>0.02707457435071712</v>
      </c>
      <c r="S82" s="25">
        <f t="shared" si="34"/>
        <v>0.030301064105891513</v>
      </c>
      <c r="T82" s="25">
        <f t="shared" si="34"/>
        <v>0.029832524651745185</v>
      </c>
      <c r="U82" s="25">
        <f t="shared" si="34"/>
        <v>0.030963001836788243</v>
      </c>
      <c r="V82" s="25">
        <f t="shared" si="34"/>
        <v>0.02484153257884877</v>
      </c>
      <c r="W82" s="25">
        <f t="shared" si="35"/>
        <v>0.026230293081631956</v>
      </c>
      <c r="X82" s="25">
        <f t="shared" si="36"/>
        <v>0.02285171274718313</v>
      </c>
      <c r="Y82" s="25">
        <f t="shared" si="36"/>
        <v>0.02368766126644389</v>
      </c>
      <c r="Z82" s="25">
        <f t="shared" si="37"/>
        <v>0.03048780487804878</v>
      </c>
      <c r="AA82" s="25">
        <f t="shared" si="38"/>
        <v>0.028433683250981133</v>
      </c>
      <c r="AB82" s="8"/>
    </row>
    <row r="83" spans="1:28" ht="15">
      <c r="A83" s="61" t="s">
        <v>59</v>
      </c>
      <c r="B83" s="88">
        <v>0</v>
      </c>
      <c r="C83" s="77">
        <v>-30.6</v>
      </c>
      <c r="D83" s="77">
        <v>-32.4</v>
      </c>
      <c r="E83" s="77">
        <v>0</v>
      </c>
      <c r="F83" s="77">
        <v>0</v>
      </c>
      <c r="G83" s="77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43"/>
      <c r="N83" s="44"/>
      <c r="O83" s="60" t="s">
        <v>59</v>
      </c>
      <c r="P83" s="46">
        <f t="shared" si="34"/>
        <v>0</v>
      </c>
      <c r="Q83" s="46">
        <f t="shared" si="34"/>
        <v>-0.006052574322052338</v>
      </c>
      <c r="R83" s="46">
        <f t="shared" si="34"/>
        <v>-0.009660971464352805</v>
      </c>
      <c r="S83" s="46">
        <f t="shared" si="34"/>
        <v>0</v>
      </c>
      <c r="T83" s="46">
        <f t="shared" si="34"/>
        <v>0</v>
      </c>
      <c r="U83" s="47">
        <f t="shared" si="34"/>
        <v>0</v>
      </c>
      <c r="V83" s="47">
        <f t="shared" si="34"/>
        <v>0</v>
      </c>
      <c r="W83" s="47">
        <f t="shared" si="35"/>
        <v>0</v>
      </c>
      <c r="X83" s="47">
        <f t="shared" si="36"/>
        <v>0</v>
      </c>
      <c r="Y83" s="47">
        <f t="shared" si="36"/>
        <v>0</v>
      </c>
      <c r="Z83" s="47">
        <f t="shared" si="37"/>
        <v>0</v>
      </c>
      <c r="AA83" s="25">
        <f t="shared" si="38"/>
        <v>0</v>
      </c>
      <c r="AB83" s="8"/>
    </row>
    <row r="84" spans="1:28" ht="15">
      <c r="A84" s="23" t="s">
        <v>60</v>
      </c>
      <c r="B84" s="77">
        <f aca="true" t="shared" si="39" ref="B84:L84">SUM(B77:B83)</f>
        <v>3281.8</v>
      </c>
      <c r="C84" s="77">
        <f t="shared" si="39"/>
        <v>4531.7</v>
      </c>
      <c r="D84" s="77">
        <f t="shared" si="39"/>
        <v>2740.1</v>
      </c>
      <c r="E84" s="77">
        <f t="shared" si="39"/>
        <v>2593.5000000000005</v>
      </c>
      <c r="F84" s="77">
        <f t="shared" si="39"/>
        <v>2576.6000000000004</v>
      </c>
      <c r="G84" s="77">
        <f t="shared" si="39"/>
        <v>2392.4</v>
      </c>
      <c r="H84" s="79">
        <f t="shared" si="39"/>
        <v>3104.7000000000003</v>
      </c>
      <c r="I84" s="79">
        <f t="shared" si="39"/>
        <v>2508.8999999999996</v>
      </c>
      <c r="J84" s="79">
        <f>SUM(J77:J83)</f>
        <v>3370</v>
      </c>
      <c r="K84" s="79">
        <f>SUM(K77:K83)</f>
        <v>3551</v>
      </c>
      <c r="L84" s="79">
        <f t="shared" si="39"/>
        <v>1645</v>
      </c>
      <c r="M84" s="36">
        <f>RATE(5.75,,-E84,K84)</f>
        <v>0.05616784824233232</v>
      </c>
      <c r="N84" s="44"/>
      <c r="O84" s="6" t="s">
        <v>60</v>
      </c>
      <c r="P84" s="46">
        <f t="shared" si="34"/>
        <v>0.823145802503198</v>
      </c>
      <c r="Q84" s="46">
        <f t="shared" si="34"/>
        <v>0.8963546096485155</v>
      </c>
      <c r="R84" s="46">
        <f t="shared" si="34"/>
        <v>0.8170378984405284</v>
      </c>
      <c r="S84" s="46">
        <f t="shared" si="34"/>
        <v>0.8413898261095252</v>
      </c>
      <c r="T84" s="47">
        <f t="shared" si="34"/>
        <v>0.8065737987165442</v>
      </c>
      <c r="U84" s="47">
        <f t="shared" si="34"/>
        <v>0.7847021779060613</v>
      </c>
      <c r="V84" s="47">
        <f t="shared" si="34"/>
        <v>0.7967510970821465</v>
      </c>
      <c r="W84" s="47">
        <f t="shared" si="35"/>
        <v>0.8580075920796142</v>
      </c>
      <c r="X84" s="47">
        <f t="shared" si="36"/>
        <v>0.7624779401782886</v>
      </c>
      <c r="Y84" s="47">
        <f t="shared" si="36"/>
        <v>0.7510257603316273</v>
      </c>
      <c r="Z84" s="47">
        <f t="shared" si="37"/>
        <v>0.7715759849906192</v>
      </c>
      <c r="AA84" s="51">
        <f t="shared" si="38"/>
        <v>0.8174848983787782</v>
      </c>
      <c r="AB84" s="8"/>
    </row>
    <row r="85" spans="1:28" ht="15">
      <c r="A85" s="23" t="s">
        <v>110</v>
      </c>
      <c r="B85" s="75">
        <f aca="true" t="shared" si="40" ref="B85:L85">B75-B84</f>
        <v>705.0999999999999</v>
      </c>
      <c r="C85" s="75">
        <f t="shared" si="40"/>
        <v>524</v>
      </c>
      <c r="D85" s="75">
        <f t="shared" si="40"/>
        <v>613.5999999999999</v>
      </c>
      <c r="E85" s="75">
        <f t="shared" si="40"/>
        <v>488.89999999999964</v>
      </c>
      <c r="F85" s="75">
        <f t="shared" si="40"/>
        <v>617.8999999999996</v>
      </c>
      <c r="G85" s="75">
        <f t="shared" si="40"/>
        <v>656.4000000000001</v>
      </c>
      <c r="H85" s="75">
        <f t="shared" si="40"/>
        <v>791.9999999999995</v>
      </c>
      <c r="I85" s="75">
        <f t="shared" si="40"/>
        <v>415.2000000000003</v>
      </c>
      <c r="J85" s="75">
        <f>J75-J84</f>
        <v>1049.8000000000002</v>
      </c>
      <c r="K85" s="75">
        <f>K75-K84</f>
        <v>1177.1999999999998</v>
      </c>
      <c r="L85" s="75">
        <f t="shared" si="40"/>
        <v>487</v>
      </c>
      <c r="M85" s="36">
        <f>RATE(5.75,,-E85,K85)</f>
        <v>0.1651195040079138</v>
      </c>
      <c r="N85" s="49"/>
      <c r="O85" s="6" t="s">
        <v>110</v>
      </c>
      <c r="P85" s="25">
        <f t="shared" si="34"/>
        <v>0.176854197496802</v>
      </c>
      <c r="Q85" s="25">
        <f t="shared" si="34"/>
        <v>0.10364539035148447</v>
      </c>
      <c r="R85" s="25">
        <f t="shared" si="34"/>
        <v>0.18296210155947162</v>
      </c>
      <c r="S85" s="25">
        <f t="shared" si="34"/>
        <v>0.15861017389047483</v>
      </c>
      <c r="T85" s="25">
        <f t="shared" si="34"/>
        <v>0.19342620128345583</v>
      </c>
      <c r="U85" s="25">
        <f t="shared" si="34"/>
        <v>0.2152978220939386</v>
      </c>
      <c r="V85" s="25">
        <f t="shared" si="34"/>
        <v>0.20324890291785347</v>
      </c>
      <c r="W85" s="25">
        <f t="shared" si="35"/>
        <v>0.14199240792038587</v>
      </c>
      <c r="X85" s="25">
        <f t="shared" si="36"/>
        <v>0.23752205982171143</v>
      </c>
      <c r="Y85" s="25">
        <f t="shared" si="36"/>
        <v>0.2489742396683727</v>
      </c>
      <c r="Z85" s="25">
        <f t="shared" si="37"/>
        <v>0.22842401500938087</v>
      </c>
      <c r="AA85" s="25">
        <f t="shared" si="38"/>
        <v>0.18251510162122173</v>
      </c>
      <c r="AB85" s="8"/>
    </row>
    <row r="86" spans="1:28" ht="15">
      <c r="A86" s="23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41"/>
      <c r="N86" s="49"/>
      <c r="O86" s="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8"/>
    </row>
    <row r="87" spans="1:28" ht="15">
      <c r="A87" s="61" t="s">
        <v>61</v>
      </c>
      <c r="B87" s="75">
        <f>341.4-20.2</f>
        <v>321.2</v>
      </c>
      <c r="C87" s="75">
        <f>290.4-12.9</f>
        <v>277.5</v>
      </c>
      <c r="D87" s="75">
        <f>227.7-6.9</f>
        <v>220.79999999999998</v>
      </c>
      <c r="E87" s="75">
        <f>270.3-18</f>
        <v>252.3</v>
      </c>
      <c r="F87" s="75">
        <f>256.5-19.9</f>
        <v>236.6</v>
      </c>
      <c r="G87" s="75">
        <v>267.4</v>
      </c>
      <c r="H87" s="75">
        <v>279.9</v>
      </c>
      <c r="I87" s="75">
        <v>215.3</v>
      </c>
      <c r="J87" s="75">
        <v>314</v>
      </c>
      <c r="K87" s="75">
        <v>343</v>
      </c>
      <c r="L87" s="75">
        <v>199</v>
      </c>
      <c r="M87" s="36">
        <f>RATE(5.75,,-E87,K87)</f>
        <v>0.05486280051769755</v>
      </c>
      <c r="N87" s="49"/>
      <c r="O87" s="60" t="s">
        <v>61</v>
      </c>
      <c r="P87" s="45">
        <f aca="true" t="shared" si="41" ref="P87:T91">B87/B$75</f>
        <v>0.08056384659760715</v>
      </c>
      <c r="Q87" s="45">
        <f t="shared" si="41"/>
        <v>0.05488854164606286</v>
      </c>
      <c r="R87" s="45">
        <f t="shared" si="41"/>
        <v>0.06583773146077466</v>
      </c>
      <c r="S87" s="45">
        <f t="shared" si="41"/>
        <v>0.08185180378925512</v>
      </c>
      <c r="T87" s="45">
        <f t="shared" si="41"/>
        <v>0.07406479887306308</v>
      </c>
      <c r="U87" s="25">
        <f t="shared" si="34"/>
        <v>0.08770663867751245</v>
      </c>
      <c r="V87" s="25">
        <f t="shared" si="34"/>
        <v>0.0718300100084687</v>
      </c>
      <c r="W87" s="25">
        <f>I87/I$75</f>
        <v>0.07362949283540235</v>
      </c>
      <c r="X87" s="25">
        <f aca="true" t="shared" si="42" ref="X87:Y91">J87/J$75</f>
        <v>0.07104393863975746</v>
      </c>
      <c r="Y87" s="25">
        <f t="shared" si="42"/>
        <v>0.07254346262848442</v>
      </c>
      <c r="Z87" s="25">
        <f t="shared" si="37"/>
        <v>0.09333958724202626</v>
      </c>
      <c r="AA87" s="25">
        <f t="shared" si="38"/>
        <v>0.07781654883674034</v>
      </c>
      <c r="AB87" s="8"/>
    </row>
    <row r="88" spans="1:28" ht="15">
      <c r="A88" s="61" t="s">
        <v>62</v>
      </c>
      <c r="B88" s="75">
        <v>-17.1</v>
      </c>
      <c r="C88" s="75">
        <v>-32.6</v>
      </c>
      <c r="D88" s="75">
        <v>-47.5</v>
      </c>
      <c r="E88" s="75">
        <v>-21.6</v>
      </c>
      <c r="F88" s="75">
        <v>-13.8</v>
      </c>
      <c r="G88" s="75">
        <v>-9.1</v>
      </c>
      <c r="H88" s="75">
        <v>-9.5</v>
      </c>
      <c r="I88" s="75">
        <v>-6.3</v>
      </c>
      <c r="J88" s="75">
        <v>-15</v>
      </c>
      <c r="K88" s="75">
        <v>-11</v>
      </c>
      <c r="L88" s="75">
        <v>-12</v>
      </c>
      <c r="M88" s="36">
        <f>RATE(5.75,,-E88,K88)</f>
        <v>-0.11073160393487363</v>
      </c>
      <c r="N88" s="49"/>
      <c r="O88" s="60" t="s">
        <v>62</v>
      </c>
      <c r="P88" s="45">
        <f t="shared" si="41"/>
        <v>-0.004289046627705737</v>
      </c>
      <c r="Q88" s="45">
        <f t="shared" si="41"/>
        <v>-0.006448167414996935</v>
      </c>
      <c r="R88" s="45">
        <f t="shared" si="41"/>
        <v>-0.014163461251751797</v>
      </c>
      <c r="S88" s="45">
        <f t="shared" si="41"/>
        <v>-0.007007526602647288</v>
      </c>
      <c r="T88" s="45">
        <f t="shared" si="41"/>
        <v>-0.0043199248708718115</v>
      </c>
      <c r="U88" s="25">
        <f t="shared" si="34"/>
        <v>-0.0029847808974022565</v>
      </c>
      <c r="V88" s="25">
        <f t="shared" si="34"/>
        <v>-0.002437960325403547</v>
      </c>
      <c r="W88" s="25">
        <f>I88/I$75</f>
        <v>-0.0021545090797168358</v>
      </c>
      <c r="X88" s="25">
        <f t="shared" si="42"/>
        <v>-0.003393818724829178</v>
      </c>
      <c r="Y88" s="25">
        <f t="shared" si="42"/>
        <v>-0.0023264667315257394</v>
      </c>
      <c r="Z88" s="25">
        <f t="shared" si="37"/>
        <v>-0.005628517823639775</v>
      </c>
      <c r="AA88" s="25">
        <f t="shared" si="38"/>
        <v>-0.0037809403552083475</v>
      </c>
      <c r="AB88" s="8"/>
    </row>
    <row r="89" spans="1:28" ht="15">
      <c r="A89" s="61" t="s">
        <v>63</v>
      </c>
      <c r="B89" s="75">
        <v>0</v>
      </c>
      <c r="C89" s="75">
        <v>184.2</v>
      </c>
      <c r="D89" s="75">
        <v>-27.4</v>
      </c>
      <c r="E89" s="75">
        <v>0</v>
      </c>
      <c r="F89" s="75">
        <v>0</v>
      </c>
      <c r="G89" s="75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41"/>
      <c r="N89" s="44"/>
      <c r="O89" s="60" t="s">
        <v>63</v>
      </c>
      <c r="P89" s="45">
        <f t="shared" si="41"/>
        <v>0</v>
      </c>
      <c r="Q89" s="45">
        <f t="shared" si="41"/>
        <v>0.0364341238601974</v>
      </c>
      <c r="R89" s="45">
        <f t="shared" si="41"/>
        <v>-0.008170080806273667</v>
      </c>
      <c r="S89" s="45">
        <f t="shared" si="41"/>
        <v>0</v>
      </c>
      <c r="T89" s="45">
        <f t="shared" si="41"/>
        <v>0</v>
      </c>
      <c r="U89" s="45">
        <f t="shared" si="34"/>
        <v>0</v>
      </c>
      <c r="V89" s="45">
        <f t="shared" si="34"/>
        <v>0</v>
      </c>
      <c r="W89" s="45">
        <f>I89/I$75</f>
        <v>0</v>
      </c>
      <c r="X89" s="45">
        <f t="shared" si="42"/>
        <v>0</v>
      </c>
      <c r="Y89" s="45">
        <f t="shared" si="42"/>
        <v>0</v>
      </c>
      <c r="Z89" s="45">
        <f t="shared" si="37"/>
        <v>0</v>
      </c>
      <c r="AA89" s="25">
        <f t="shared" si="38"/>
        <v>0</v>
      </c>
      <c r="AB89" s="8"/>
    </row>
    <row r="90" spans="1:28" ht="15">
      <c r="A90" s="63" t="s">
        <v>99</v>
      </c>
      <c r="B90" s="77">
        <f>2.6-13.7</f>
        <v>-11.1</v>
      </c>
      <c r="C90" s="77">
        <v>2.7</v>
      </c>
      <c r="D90" s="77">
        <f>-1.8</f>
        <v>-1.8</v>
      </c>
      <c r="E90" s="77">
        <v>19</v>
      </c>
      <c r="F90" s="77">
        <v>1.6</v>
      </c>
      <c r="G90" s="77">
        <f>-7.3-8.8-6+2.1</f>
        <v>-20</v>
      </c>
      <c r="H90" s="78">
        <f>-6.1-18.5-13.9+2.1</f>
        <v>-36.4</v>
      </c>
      <c r="I90" s="78">
        <f>-18.1-17.2-5.1+1.6</f>
        <v>-38.8</v>
      </c>
      <c r="J90" s="78">
        <f>-29-41</f>
        <v>-70</v>
      </c>
      <c r="K90" s="78">
        <f>-34-47</f>
        <v>-81</v>
      </c>
      <c r="L90" s="78">
        <f>-15-27+1+3</f>
        <v>-38</v>
      </c>
      <c r="M90" s="36"/>
      <c r="N90" s="44"/>
      <c r="O90" s="62" t="s">
        <v>64</v>
      </c>
      <c r="P90" s="46">
        <f t="shared" si="41"/>
        <v>-0.0027841179864054777</v>
      </c>
      <c r="Q90" s="46">
        <f t="shared" si="41"/>
        <v>0.0005340506754752063</v>
      </c>
      <c r="R90" s="46">
        <f t="shared" si="41"/>
        <v>-0.0005367206369084891</v>
      </c>
      <c r="S90" s="46">
        <f t="shared" si="41"/>
        <v>0.006164028030106411</v>
      </c>
      <c r="T90" s="47">
        <f t="shared" si="41"/>
        <v>0.0005008608545938332</v>
      </c>
      <c r="U90" s="47">
        <f t="shared" si="34"/>
        <v>-0.006559958016268696</v>
      </c>
      <c r="V90" s="47">
        <f t="shared" si="34"/>
        <v>-0.009341237457335694</v>
      </c>
      <c r="W90" s="47">
        <f>I90/I$75</f>
        <v>-0.013269040046510036</v>
      </c>
      <c r="X90" s="47">
        <f t="shared" si="42"/>
        <v>-0.015837820715869495</v>
      </c>
      <c r="Y90" s="47">
        <f t="shared" si="42"/>
        <v>-0.017131255023053172</v>
      </c>
      <c r="Z90" s="47">
        <f t="shared" si="37"/>
        <v>-0.017823639774859287</v>
      </c>
      <c r="AA90" s="47">
        <f t="shared" si="38"/>
        <v>-0.004501069327082836</v>
      </c>
      <c r="AB90" s="8"/>
    </row>
    <row r="91" spans="1:28" ht="15">
      <c r="A91" s="23" t="s">
        <v>65</v>
      </c>
      <c r="B91" s="75">
        <f aca="true" t="shared" si="43" ref="B91:L91">SUM(B87:B90)</f>
        <v>292.99999999999994</v>
      </c>
      <c r="C91" s="75">
        <f t="shared" si="43"/>
        <v>431.8</v>
      </c>
      <c r="D91" s="75">
        <f t="shared" si="43"/>
        <v>144.09999999999997</v>
      </c>
      <c r="E91" s="75">
        <f t="shared" si="43"/>
        <v>249.70000000000002</v>
      </c>
      <c r="F91" s="75">
        <f t="shared" si="43"/>
        <v>224.39999999999998</v>
      </c>
      <c r="G91" s="75">
        <f t="shared" si="43"/>
        <v>238.29999999999995</v>
      </c>
      <c r="H91" s="75">
        <f t="shared" si="43"/>
        <v>233.99999999999997</v>
      </c>
      <c r="I91" s="75">
        <f t="shared" si="43"/>
        <v>170.2</v>
      </c>
      <c r="J91" s="75">
        <f>SUM(J87:J90)</f>
        <v>229</v>
      </c>
      <c r="K91" s="75">
        <f>SUM(K87:K90)</f>
        <v>251</v>
      </c>
      <c r="L91" s="75">
        <f t="shared" si="43"/>
        <v>149</v>
      </c>
      <c r="M91" s="36">
        <f>RATE(5.75,,-E91,K91)</f>
        <v>0.0009034934429738365</v>
      </c>
      <c r="N91" s="44"/>
      <c r="O91" s="6" t="s">
        <v>65</v>
      </c>
      <c r="P91" s="45">
        <f t="shared" si="41"/>
        <v>0.07349068198349594</v>
      </c>
      <c r="Q91" s="45">
        <f t="shared" si="41"/>
        <v>0.08540854876673853</v>
      </c>
      <c r="R91" s="45">
        <f t="shared" si="41"/>
        <v>0.042967468765840705</v>
      </c>
      <c r="S91" s="45">
        <f t="shared" si="41"/>
        <v>0.08100830521671425</v>
      </c>
      <c r="T91" s="45">
        <f t="shared" si="41"/>
        <v>0.07024573485678509</v>
      </c>
      <c r="U91" s="25">
        <f t="shared" si="34"/>
        <v>0.0781618997638415</v>
      </c>
      <c r="V91" s="25">
        <f t="shared" si="34"/>
        <v>0.06005081222572946</v>
      </c>
      <c r="W91" s="25">
        <f>I91/I$75</f>
        <v>0.05820594370917547</v>
      </c>
      <c r="X91" s="25">
        <f t="shared" si="42"/>
        <v>0.051812299199058776</v>
      </c>
      <c r="Y91" s="25">
        <f t="shared" si="42"/>
        <v>0.0530857408739055</v>
      </c>
      <c r="Z91" s="25">
        <f t="shared" si="37"/>
        <v>0.0698874296435272</v>
      </c>
      <c r="AA91" s="25">
        <f t="shared" si="38"/>
        <v>0.06953453915444915</v>
      </c>
      <c r="AB91" s="8"/>
    </row>
    <row r="92" spans="1:28" ht="15">
      <c r="A92" s="23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89"/>
      <c r="M92" s="41"/>
      <c r="N92" s="44"/>
      <c r="O92" s="6"/>
      <c r="P92" s="45"/>
      <c r="Q92" s="45"/>
      <c r="R92" s="45"/>
      <c r="S92" s="45"/>
      <c r="T92" s="45"/>
      <c r="U92" s="25"/>
      <c r="V92" s="25"/>
      <c r="W92" s="25"/>
      <c r="X92" s="25"/>
      <c r="Y92" s="25"/>
      <c r="Z92" s="25"/>
      <c r="AA92" s="25"/>
      <c r="AB92" s="8"/>
    </row>
    <row r="93" spans="1:28" ht="15">
      <c r="A93" s="23" t="s">
        <v>66</v>
      </c>
      <c r="B93" s="77">
        <f aca="true" t="shared" si="44" ref="B93:G93">B85-B91</f>
        <v>412.09999999999997</v>
      </c>
      <c r="C93" s="77">
        <f t="shared" si="44"/>
        <v>92.19999999999999</v>
      </c>
      <c r="D93" s="77">
        <f t="shared" si="44"/>
        <v>469.49999999999994</v>
      </c>
      <c r="E93" s="77">
        <f t="shared" si="44"/>
        <v>239.19999999999962</v>
      </c>
      <c r="F93" s="77">
        <f t="shared" si="44"/>
        <v>393.49999999999966</v>
      </c>
      <c r="G93" s="77">
        <f t="shared" si="44"/>
        <v>418.10000000000014</v>
      </c>
      <c r="H93" s="78">
        <f>H85-H91</f>
        <v>557.9999999999995</v>
      </c>
      <c r="I93" s="78">
        <f>I85-I91</f>
        <v>245.00000000000028</v>
      </c>
      <c r="J93" s="78">
        <f>J85-J91</f>
        <v>820.8000000000002</v>
      </c>
      <c r="K93" s="78">
        <f>K85-K91</f>
        <v>926.1999999999998</v>
      </c>
      <c r="L93" s="78">
        <f>L85-L91</f>
        <v>338</v>
      </c>
      <c r="M93" s="36">
        <f>RATE(5.75,,-E93,K93)</f>
        <v>0.2654676897110834</v>
      </c>
      <c r="N93" s="49"/>
      <c r="O93" s="6" t="s">
        <v>66</v>
      </c>
      <c r="P93" s="25">
        <f aca="true" t="shared" si="45" ref="P93:V99">B93/B$75</f>
        <v>0.10336351551330607</v>
      </c>
      <c r="Q93" s="25">
        <f t="shared" si="45"/>
        <v>0.01823684158474593</v>
      </c>
      <c r="R93" s="25">
        <f t="shared" si="45"/>
        <v>0.13999463279363092</v>
      </c>
      <c r="S93" s="25">
        <f t="shared" si="45"/>
        <v>0.07760186867376058</v>
      </c>
      <c r="T93" s="25">
        <f t="shared" si="45"/>
        <v>0.12318046642667073</v>
      </c>
      <c r="U93" s="25">
        <f t="shared" si="34"/>
        <v>0.13713592233009714</v>
      </c>
      <c r="V93" s="25">
        <f t="shared" si="34"/>
        <v>0.143198090692124</v>
      </c>
      <c r="W93" s="25">
        <f aca="true" t="shared" si="46" ref="W93:W99">I93/I$75</f>
        <v>0.08378646421121039</v>
      </c>
      <c r="X93" s="25">
        <f aca="true" t="shared" si="47" ref="X93:Y99">J93/J$75</f>
        <v>0.18570976062265265</v>
      </c>
      <c r="Y93" s="25">
        <f t="shared" si="47"/>
        <v>0.1958884987944672</v>
      </c>
      <c r="Z93" s="25">
        <f t="shared" si="37"/>
        <v>0.15853658536585366</v>
      </c>
      <c r="AA93" s="25">
        <f t="shared" si="38"/>
        <v>0.11298056246677257</v>
      </c>
      <c r="AB93" s="8"/>
    </row>
    <row r="94" spans="1:28" ht="15">
      <c r="A94" s="23" t="s">
        <v>67</v>
      </c>
      <c r="B94" s="75">
        <f>195.5+-1.1</f>
        <v>194.4</v>
      </c>
      <c r="C94" s="75">
        <v>0</v>
      </c>
      <c r="D94" s="75">
        <f>-146.7+112.8</f>
        <v>-33.89999999999999</v>
      </c>
      <c r="E94" s="75">
        <v>1.9</v>
      </c>
      <c r="F94" s="75">
        <v>0.9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36">
        <f>RATE(5.75,,-E94,K94)</f>
        <v>-0.9999993535016527</v>
      </c>
      <c r="N94" s="44"/>
      <c r="O94" s="6" t="s">
        <v>67</v>
      </c>
      <c r="P94" s="25">
        <f t="shared" si="45"/>
        <v>0.04875968797812837</v>
      </c>
      <c r="Q94" s="25">
        <f t="shared" si="45"/>
        <v>0</v>
      </c>
      <c r="R94" s="25">
        <f t="shared" si="45"/>
        <v>-0.010108238661776544</v>
      </c>
      <c r="S94" s="25">
        <f t="shared" si="45"/>
        <v>0.000616402803010641</v>
      </c>
      <c r="T94" s="25">
        <f t="shared" si="45"/>
        <v>0.00028173423070903115</v>
      </c>
      <c r="U94" s="25">
        <f t="shared" si="45"/>
        <v>0</v>
      </c>
      <c r="V94" s="25">
        <f t="shared" si="45"/>
        <v>0</v>
      </c>
      <c r="W94" s="25">
        <f t="shared" si="46"/>
        <v>0</v>
      </c>
      <c r="X94" s="25">
        <f t="shared" si="47"/>
        <v>0</v>
      </c>
      <c r="Y94" s="25">
        <f t="shared" si="47"/>
        <v>0</v>
      </c>
      <c r="Z94" s="25">
        <f t="shared" si="37"/>
        <v>0</v>
      </c>
      <c r="AA94" s="25">
        <f t="shared" si="38"/>
        <v>0.00017962740674393443</v>
      </c>
      <c r="AB94" s="8"/>
    </row>
    <row r="95" spans="1:28" ht="15">
      <c r="A95" s="23" t="s">
        <v>68</v>
      </c>
      <c r="B95" s="77">
        <v>134</v>
      </c>
      <c r="C95" s="77">
        <v>180.4</v>
      </c>
      <c r="D95" s="77">
        <v>176.1</v>
      </c>
      <c r="E95" s="77">
        <v>97.2</v>
      </c>
      <c r="F95" s="77">
        <v>144.5</v>
      </c>
      <c r="G95" s="77">
        <v>168.5</v>
      </c>
      <c r="H95" s="78">
        <v>199.4</v>
      </c>
      <c r="I95" s="78">
        <v>85.7</v>
      </c>
      <c r="J95" s="78">
        <f>220+(0.35*161.8)</f>
        <v>276.63</v>
      </c>
      <c r="K95" s="78">
        <f>238+230.2*0.35</f>
        <v>318.57</v>
      </c>
      <c r="L95" s="76">
        <v>105</v>
      </c>
      <c r="M95" s="36">
        <f>RATE(5.75,,-E95,K95)</f>
        <v>0.22930285088616165</v>
      </c>
      <c r="N95" s="44"/>
      <c r="O95" s="6" t="s">
        <v>68</v>
      </c>
      <c r="P95" s="46">
        <f t="shared" si="45"/>
        <v>0.033610072989039105</v>
      </c>
      <c r="Q95" s="46">
        <f t="shared" si="45"/>
        <v>0.035682496983602666</v>
      </c>
      <c r="R95" s="46">
        <f t="shared" si="45"/>
        <v>0.05250916897754719</v>
      </c>
      <c r="S95" s="46">
        <f t="shared" si="45"/>
        <v>0.0315338697119128</v>
      </c>
      <c r="T95" s="45">
        <f t="shared" si="45"/>
        <v>0.045233995930505554</v>
      </c>
      <c r="U95" s="25">
        <f t="shared" si="45"/>
        <v>0.05526764628706376</v>
      </c>
      <c r="V95" s="25">
        <f t="shared" si="45"/>
        <v>0.051171504093207074</v>
      </c>
      <c r="W95" s="25">
        <f t="shared" si="46"/>
        <v>0.029308163195513152</v>
      </c>
      <c r="X95" s="25">
        <f t="shared" si="47"/>
        <v>0.0625888049232997</v>
      </c>
      <c r="Y95" s="25">
        <f t="shared" si="47"/>
        <v>0.06737659151474135</v>
      </c>
      <c r="Z95" s="25">
        <f t="shared" si="37"/>
        <v>0.04924953095684803</v>
      </c>
      <c r="AA95" s="25">
        <f t="shared" si="38"/>
        <v>0.04250303584364047</v>
      </c>
      <c r="AB95" s="8"/>
    </row>
    <row r="96" spans="1:28" ht="15.75" thickBot="1">
      <c r="A96" s="23" t="s">
        <v>69</v>
      </c>
      <c r="B96" s="80">
        <f aca="true" t="shared" si="48" ref="B96:L96">B93-B94-B95</f>
        <v>83.69999999999996</v>
      </c>
      <c r="C96" s="80">
        <f t="shared" si="48"/>
        <v>-88.20000000000002</v>
      </c>
      <c r="D96" s="80">
        <f t="shared" si="48"/>
        <v>327.29999999999995</v>
      </c>
      <c r="E96" s="80">
        <f t="shared" si="48"/>
        <v>140.09999999999962</v>
      </c>
      <c r="F96" s="80">
        <f t="shared" si="48"/>
        <v>248.09999999999968</v>
      </c>
      <c r="G96" s="80">
        <f t="shared" si="48"/>
        <v>249.60000000000014</v>
      </c>
      <c r="H96" s="81">
        <f t="shared" si="48"/>
        <v>358.59999999999957</v>
      </c>
      <c r="I96" s="81">
        <f t="shared" si="48"/>
        <v>159.3000000000003</v>
      </c>
      <c r="J96" s="81">
        <f>J93-J94-J95</f>
        <v>544.1700000000002</v>
      </c>
      <c r="K96" s="81">
        <f>K93-K94-K95</f>
        <v>607.6299999999999</v>
      </c>
      <c r="L96" s="81">
        <f t="shared" si="48"/>
        <v>233</v>
      </c>
      <c r="M96" s="36">
        <f>RATE(5.75,,-E96,K96)</f>
        <v>0.29067702042670474</v>
      </c>
      <c r="N96" s="2"/>
      <c r="O96" s="6" t="s">
        <v>69</v>
      </c>
      <c r="P96" s="52">
        <f t="shared" si="45"/>
        <v>0.020993754546138593</v>
      </c>
      <c r="Q96" s="52">
        <f t="shared" si="45"/>
        <v>-0.01744565539885674</v>
      </c>
      <c r="R96" s="52">
        <f t="shared" si="45"/>
        <v>0.09759370247786027</v>
      </c>
      <c r="S96" s="52">
        <f t="shared" si="45"/>
        <v>0.04545159615883715</v>
      </c>
      <c r="T96" s="53">
        <f t="shared" si="45"/>
        <v>0.07766473626545616</v>
      </c>
      <c r="U96" s="53">
        <f t="shared" si="45"/>
        <v>0.08186827604303336</v>
      </c>
      <c r="V96" s="53">
        <f t="shared" si="45"/>
        <v>0.09202658659891692</v>
      </c>
      <c r="W96" s="53">
        <f t="shared" si="46"/>
        <v>0.05447830101569724</v>
      </c>
      <c r="X96" s="53">
        <f t="shared" si="47"/>
        <v>0.12312095569935295</v>
      </c>
      <c r="Y96" s="53">
        <f t="shared" si="47"/>
        <v>0.1285119072797259</v>
      </c>
      <c r="Z96" s="53">
        <f t="shared" si="37"/>
        <v>0.10928705440900563</v>
      </c>
      <c r="AA96" s="53">
        <f t="shared" si="38"/>
        <v>0.07029789921638815</v>
      </c>
      <c r="AB96" s="8"/>
    </row>
    <row r="97" spans="1:28" ht="15.75" thickTop="1">
      <c r="A97" s="23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41"/>
      <c r="N97" s="5"/>
      <c r="O97" s="6"/>
      <c r="P97" s="6"/>
      <c r="Q97" s="6"/>
      <c r="R97" s="6"/>
      <c r="S97" s="6"/>
      <c r="T97" s="6"/>
      <c r="U97" s="25">
        <f t="shared" si="45"/>
        <v>0</v>
      </c>
      <c r="V97" s="25">
        <f t="shared" si="45"/>
        <v>0</v>
      </c>
      <c r="W97" s="25">
        <f t="shared" si="46"/>
        <v>0</v>
      </c>
      <c r="X97" s="25">
        <f t="shared" si="47"/>
        <v>0</v>
      </c>
      <c r="Y97" s="25">
        <f t="shared" si="47"/>
        <v>0</v>
      </c>
      <c r="Z97" s="25">
        <f t="shared" si="37"/>
        <v>0</v>
      </c>
      <c r="AA97" s="25">
        <f t="shared" si="38"/>
        <v>0</v>
      </c>
      <c r="AB97" s="8"/>
    </row>
    <row r="98" spans="1:28" ht="15">
      <c r="A98" s="23" t="s">
        <v>70</v>
      </c>
      <c r="B98" s="75">
        <v>18.9</v>
      </c>
      <c r="C98" s="75">
        <v>17.9</v>
      </c>
      <c r="D98" s="75">
        <v>12.7</v>
      </c>
      <c r="E98" s="75">
        <v>7.3</v>
      </c>
      <c r="F98" s="75">
        <v>3.3</v>
      </c>
      <c r="G98" s="75">
        <v>2.1</v>
      </c>
      <c r="H98" s="75">
        <v>2.1</v>
      </c>
      <c r="I98" s="75">
        <v>1.6</v>
      </c>
      <c r="J98" s="75">
        <v>2</v>
      </c>
      <c r="K98" s="75">
        <v>2</v>
      </c>
      <c r="L98" s="75">
        <v>1</v>
      </c>
      <c r="M98" s="36">
        <f>RATE(5.75,,-E98,K98)</f>
        <v>-0.20161947130573904</v>
      </c>
      <c r="N98" s="5"/>
      <c r="O98" s="6" t="s">
        <v>71</v>
      </c>
      <c r="P98" s="25">
        <f aca="true" t="shared" si="49" ref="P98:T99">B98/B$96</f>
        <v>0.2258064516129033</v>
      </c>
      <c r="Q98" s="25">
        <f t="shared" si="49"/>
        <v>-0.20294784580498862</v>
      </c>
      <c r="R98" s="25">
        <f t="shared" si="49"/>
        <v>0.03880232202871983</v>
      </c>
      <c r="S98" s="25">
        <f t="shared" si="49"/>
        <v>0.052105638829407705</v>
      </c>
      <c r="T98" s="25">
        <f t="shared" si="49"/>
        <v>0.013301088270858541</v>
      </c>
      <c r="U98" s="25">
        <f t="shared" si="45"/>
        <v>0.0006887955917082131</v>
      </c>
      <c r="V98" s="25">
        <f t="shared" si="45"/>
        <v>0.0005389175456155208</v>
      </c>
      <c r="W98" s="25">
        <f t="shared" si="46"/>
        <v>0.0005471769091344345</v>
      </c>
      <c r="X98" s="25">
        <f t="shared" si="47"/>
        <v>0.000452509163310557</v>
      </c>
      <c r="Y98" s="25">
        <f t="shared" si="47"/>
        <v>0.00042299395118649804</v>
      </c>
      <c r="Z98" s="25">
        <f t="shared" si="37"/>
        <v>0.00046904315196998124</v>
      </c>
      <c r="AA98" s="25">
        <f t="shared" si="38"/>
        <v>0.013436323429344884</v>
      </c>
      <c r="AB98" s="8"/>
    </row>
    <row r="99" spans="1:28" ht="15">
      <c r="A99" s="23" t="s">
        <v>72</v>
      </c>
      <c r="B99" s="75">
        <f>269.5-B98</f>
        <v>250.6</v>
      </c>
      <c r="C99" s="75">
        <f>347.7-C98</f>
        <v>329.8</v>
      </c>
      <c r="D99" s="75">
        <f>310.3-D98</f>
        <v>297.6</v>
      </c>
      <c r="E99" s="75">
        <f>7.3-E98</f>
        <v>0</v>
      </c>
      <c r="F99" s="75">
        <v>160.6</v>
      </c>
      <c r="G99" s="75">
        <f>195.4-G98</f>
        <v>193.3</v>
      </c>
      <c r="H99" s="75">
        <v>175</v>
      </c>
      <c r="I99" s="75"/>
      <c r="J99" s="75"/>
      <c r="K99" s="75"/>
      <c r="L99" s="75"/>
      <c r="M99" s="41"/>
      <c r="N99" s="5"/>
      <c r="O99" s="6" t="s">
        <v>73</v>
      </c>
      <c r="P99" s="25">
        <f t="shared" si="49"/>
        <v>2.9940262843488665</v>
      </c>
      <c r="Q99" s="25">
        <f t="shared" si="49"/>
        <v>-3.73922902494331</v>
      </c>
      <c r="R99" s="25">
        <f t="shared" si="49"/>
        <v>0.9092575618698444</v>
      </c>
      <c r="S99" s="25">
        <f t="shared" si="49"/>
        <v>0</v>
      </c>
      <c r="T99" s="25">
        <f t="shared" si="49"/>
        <v>0.6473196291817823</v>
      </c>
      <c r="U99" s="25">
        <f t="shared" si="45"/>
        <v>0.06340199422723694</v>
      </c>
      <c r="V99" s="25">
        <f t="shared" si="45"/>
        <v>0.04490979546796007</v>
      </c>
      <c r="W99" s="25">
        <f t="shared" si="46"/>
        <v>0</v>
      </c>
      <c r="X99" s="25">
        <f t="shared" si="47"/>
        <v>0</v>
      </c>
      <c r="Y99" s="25">
        <f t="shared" si="47"/>
        <v>0</v>
      </c>
      <c r="Z99" s="25">
        <f t="shared" si="37"/>
        <v>0</v>
      </c>
      <c r="AA99" s="25">
        <f t="shared" si="38"/>
        <v>0.15112628377539586</v>
      </c>
      <c r="AB99" s="8"/>
    </row>
    <row r="100" spans="1:28" ht="15">
      <c r="A100" s="24" t="s">
        <v>111</v>
      </c>
      <c r="B100" s="59" t="s">
        <v>113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6"/>
      <c r="N100" s="5"/>
      <c r="O100" s="30" t="s">
        <v>111</v>
      </c>
      <c r="P100" s="64" t="s">
        <v>112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8"/>
    </row>
    <row r="101" spans="1:28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36"/>
      <c r="N101" s="5"/>
      <c r="O101" s="5"/>
      <c r="P101" s="5"/>
      <c r="Q101" s="5"/>
      <c r="R101" s="5"/>
      <c r="S101" s="5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36"/>
      <c r="N102" s="5"/>
      <c r="O102" s="5"/>
      <c r="P102" s="5"/>
      <c r="Q102" s="5"/>
      <c r="R102" s="5"/>
      <c r="S102" s="5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4" t="str">
        <f>M64</f>
        <v>DPU Exhibit 1.2</v>
      </c>
      <c r="N103" s="5"/>
      <c r="O103" s="5"/>
      <c r="P103" s="5"/>
      <c r="Q103" s="5"/>
      <c r="R103" s="5"/>
      <c r="S103" s="5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">
      <c r="A104" s="23"/>
      <c r="B104" s="23"/>
      <c r="C104" s="23"/>
      <c r="D104" s="23"/>
      <c r="E104" s="23"/>
      <c r="F104" s="3"/>
      <c r="G104" s="3"/>
      <c r="H104" s="3"/>
      <c r="I104" s="3"/>
      <c r="J104" s="3"/>
      <c r="K104" s="3"/>
      <c r="L104" s="3"/>
      <c r="M104" s="93" t="s">
        <v>126</v>
      </c>
      <c r="N104" s="5"/>
      <c r="O104" s="5"/>
      <c r="P104" s="5"/>
      <c r="Q104" s="5"/>
      <c r="R104" s="5"/>
      <c r="S104" s="5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8.75">
      <c r="A105" s="11" t="str">
        <f>A3</f>
        <v>PacifiCorp</v>
      </c>
      <c r="B105" s="12"/>
      <c r="C105" s="12"/>
      <c r="D105" s="12"/>
      <c r="E105" s="12"/>
      <c r="F105" s="18"/>
      <c r="G105" s="18"/>
      <c r="H105" s="18"/>
      <c r="I105" s="18"/>
      <c r="J105" s="18"/>
      <c r="K105" s="18"/>
      <c r="L105" s="18"/>
      <c r="M105" s="12"/>
      <c r="N105" s="5"/>
      <c r="O105" s="5"/>
      <c r="P105" s="5"/>
      <c r="Q105" s="5"/>
      <c r="R105" s="5"/>
      <c r="S105" s="5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.75">
      <c r="A106" s="17" t="s">
        <v>74</v>
      </c>
      <c r="B106" s="18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9"/>
      <c r="N106" s="5"/>
      <c r="O106" s="5"/>
      <c r="P106" s="5"/>
      <c r="Q106" s="5"/>
      <c r="R106" s="5"/>
      <c r="S106" s="5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">
      <c r="A107" s="92" t="str">
        <f>A5</f>
        <v>Fiscal Years Ended March 31 (through 3/31/2006), Fiscal Year Ended December 31 (beginning 12/31/ 2006)</v>
      </c>
      <c r="B107" s="1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9"/>
      <c r="N107" s="5"/>
      <c r="O107" s="5"/>
      <c r="P107" s="5"/>
      <c r="Q107" s="5"/>
      <c r="R107" s="5"/>
      <c r="S107" s="5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">
      <c r="A108" s="92" t="s">
        <v>124</v>
      </c>
      <c r="B108" s="1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9"/>
      <c r="N108" s="5"/>
      <c r="O108" s="5"/>
      <c r="P108" s="5"/>
      <c r="Q108" s="5"/>
      <c r="R108" s="5"/>
      <c r="S108" s="5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36"/>
      <c r="N109" s="5"/>
      <c r="O109" s="5"/>
      <c r="P109" s="5"/>
      <c r="Q109" s="5"/>
      <c r="R109" s="5"/>
      <c r="S109" s="5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">
      <c r="A110" s="23"/>
      <c r="B110" s="23"/>
      <c r="C110" s="23"/>
      <c r="D110" s="23"/>
      <c r="E110" s="23"/>
      <c r="F110" s="23"/>
      <c r="G110" s="23"/>
      <c r="H110" s="24"/>
      <c r="I110" s="24" t="str">
        <f>I8</f>
        <v>Nine Months</v>
      </c>
      <c r="J110" s="24"/>
      <c r="K110" s="24"/>
      <c r="L110" s="24" t="str">
        <f>Z71</f>
        <v>Six Months</v>
      </c>
      <c r="M110" s="21" t="str">
        <f>M7</f>
        <v>2003-2008</v>
      </c>
      <c r="N110" s="5"/>
      <c r="O110" s="5"/>
      <c r="P110" s="5"/>
      <c r="Q110" s="5"/>
      <c r="R110" s="5"/>
      <c r="S110" s="5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">
      <c r="A111" s="42" t="s">
        <v>75</v>
      </c>
      <c r="B111" s="26">
        <f aca="true" t="shared" si="50" ref="B111:H111">P9</f>
        <v>2000</v>
      </c>
      <c r="C111" s="26">
        <f t="shared" si="50"/>
        <v>2001</v>
      </c>
      <c r="D111" s="26">
        <f t="shared" si="50"/>
        <v>2002</v>
      </c>
      <c r="E111" s="26">
        <f t="shared" si="50"/>
        <v>2003</v>
      </c>
      <c r="F111" s="26">
        <f t="shared" si="50"/>
        <v>2004</v>
      </c>
      <c r="G111" s="26">
        <f t="shared" si="50"/>
        <v>2005</v>
      </c>
      <c r="H111" s="26">
        <f t="shared" si="50"/>
        <v>2006</v>
      </c>
      <c r="I111" s="73" t="str">
        <f>I9</f>
        <v>Dec 2006</v>
      </c>
      <c r="J111" s="73">
        <f>J9</f>
        <v>2007</v>
      </c>
      <c r="K111" s="73">
        <f>K9</f>
        <v>2008</v>
      </c>
      <c r="L111" s="26" t="str">
        <f>Z72</f>
        <v>June 2009</v>
      </c>
      <c r="M111" s="29" t="s">
        <v>48</v>
      </c>
      <c r="N111" s="5"/>
      <c r="O111" s="5"/>
      <c r="P111" s="5"/>
      <c r="Q111" s="5"/>
      <c r="R111" s="5"/>
      <c r="S111" s="5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">
      <c r="A112" s="40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6"/>
      <c r="N112" s="5"/>
      <c r="O112" s="5"/>
      <c r="P112" s="5"/>
      <c r="Q112" s="5"/>
      <c r="R112" s="5"/>
      <c r="S112" s="5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">
      <c r="A113" s="35" t="s">
        <v>76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5"/>
      <c r="O113" s="5"/>
      <c r="P113" s="5"/>
      <c r="Q113" s="5"/>
      <c r="R113" s="5"/>
      <c r="S113" s="5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">
      <c r="A114" s="23" t="s">
        <v>77</v>
      </c>
      <c r="B114" s="67">
        <f aca="true" t="shared" si="51" ref="B114:L114">B16/B46</f>
        <v>0.876847290640394</v>
      </c>
      <c r="C114" s="67">
        <f t="shared" si="51"/>
        <v>0.8477391956032975</v>
      </c>
      <c r="D114" s="67">
        <f t="shared" si="51"/>
        <v>0.6247021119237406</v>
      </c>
      <c r="E114" s="67">
        <f t="shared" si="51"/>
        <v>0.9074786324786325</v>
      </c>
      <c r="F114" s="67">
        <f t="shared" si="51"/>
        <v>0.7040863818300289</v>
      </c>
      <c r="G114" s="67">
        <f t="shared" si="51"/>
        <v>0.7600300431870813</v>
      </c>
      <c r="H114" s="67">
        <f t="shared" si="51"/>
        <v>0.8348819998355397</v>
      </c>
      <c r="I114" s="67">
        <f t="shared" si="51"/>
        <v>0.814309801334213</v>
      </c>
      <c r="J114" s="67">
        <f t="shared" si="51"/>
        <v>1.2042421934501144</v>
      </c>
      <c r="K114" s="67">
        <f t="shared" si="51"/>
        <v>1.0406753069577082</v>
      </c>
      <c r="L114" s="67">
        <f t="shared" si="51"/>
        <v>1.4058205335489087</v>
      </c>
      <c r="M114" s="67">
        <f>AVERAGE(E114:K114)</f>
        <v>0.8951006227247598</v>
      </c>
      <c r="N114" s="5"/>
      <c r="O114" s="5"/>
      <c r="P114" s="5"/>
      <c r="Q114" s="5"/>
      <c r="R114" s="5"/>
      <c r="S114" s="5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">
      <c r="A115" s="23" t="s">
        <v>78</v>
      </c>
      <c r="B115" s="67">
        <f aca="true" t="shared" si="52" ref="B115:L115">(B12+B13)/B46</f>
        <v>0.6529830322933771</v>
      </c>
      <c r="C115" s="67">
        <f t="shared" si="52"/>
        <v>0.44116912315763174</v>
      </c>
      <c r="D115" s="67">
        <f t="shared" si="52"/>
        <v>0.33445640562083984</v>
      </c>
      <c r="E115" s="67">
        <f t="shared" si="52"/>
        <v>0.4387820512820513</v>
      </c>
      <c r="F115" s="67">
        <f t="shared" si="52"/>
        <v>0.2732942381085358</v>
      </c>
      <c r="G115" s="67">
        <f t="shared" si="52"/>
        <v>0.3081304375039119</v>
      </c>
      <c r="H115" s="67">
        <f t="shared" si="52"/>
        <v>0.3177370282049173</v>
      </c>
      <c r="I115" s="67">
        <f t="shared" si="52"/>
        <v>0.29404002639102705</v>
      </c>
      <c r="J115" s="67">
        <f t="shared" si="52"/>
        <v>0.5515384615384616</v>
      </c>
      <c r="K115" s="67">
        <f t="shared" si="52"/>
        <v>0.5577285129604366</v>
      </c>
      <c r="L115" s="67">
        <f t="shared" si="52"/>
        <v>0.8617623282134196</v>
      </c>
      <c r="M115" s="67">
        <f>AVERAGE(E115:K115)</f>
        <v>0.3916072508556202</v>
      </c>
      <c r="N115" s="5"/>
      <c r="O115" s="5"/>
      <c r="P115" s="5"/>
      <c r="Q115" s="5"/>
      <c r="R115" s="5"/>
      <c r="S115" s="5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">
      <c r="A116" s="23" t="s">
        <v>79</v>
      </c>
      <c r="B116" s="67">
        <f>365*(B13/B75)</f>
        <v>51.414382101382024</v>
      </c>
      <c r="C116" s="67">
        <f aca="true" t="shared" si="53" ref="C116:H116">365*(((B13+C13)/2)/((B75+C75)/2))</f>
        <v>45.55537124278415</v>
      </c>
      <c r="D116" s="67">
        <f t="shared" si="53"/>
        <v>35.42184935905059</v>
      </c>
      <c r="E116" s="67">
        <f t="shared" si="53"/>
        <v>28.76967418156958</v>
      </c>
      <c r="F116" s="67">
        <f t="shared" si="53"/>
        <v>28.685258646784238</v>
      </c>
      <c r="G116" s="67">
        <f t="shared" si="53"/>
        <v>30.87413707494434</v>
      </c>
      <c r="H116" s="67">
        <f t="shared" si="53"/>
        <v>29.41861637031171</v>
      </c>
      <c r="I116" s="74">
        <f>365*(((H13+I13)/2)/((H75+I75*4/3)/2))</f>
        <v>28.50984542364185</v>
      </c>
      <c r="J116" s="67">
        <f>365*(((I13+J13)/2)/((I75+J75)/2))</f>
        <v>36.4358855648906</v>
      </c>
      <c r="K116" s="67">
        <f>365*(((J13+K13)/2)/((J75+K75)/2))</f>
        <v>39.89943156974202</v>
      </c>
      <c r="L116" s="67">
        <f>365*((K13+L13)/2)/((K75+L75*(2))/2)</f>
        <v>45.58339449745335</v>
      </c>
      <c r="M116" s="67">
        <f>AVERAGE(E116:K116)</f>
        <v>31.798978404554905</v>
      </c>
      <c r="N116" s="5"/>
      <c r="O116" s="5"/>
      <c r="P116" s="5"/>
      <c r="Q116" s="5"/>
      <c r="R116" s="5"/>
      <c r="S116" s="5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">
      <c r="A117" s="23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5"/>
      <c r="O117" s="5"/>
      <c r="P117" s="5"/>
      <c r="Q117" s="5"/>
      <c r="R117" s="5"/>
      <c r="S117" s="5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">
      <c r="A118" s="35" t="s">
        <v>80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5"/>
      <c r="O118" s="5"/>
      <c r="P118" s="5"/>
      <c r="Q118" s="5"/>
      <c r="R118" s="5"/>
      <c r="S118" s="5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">
      <c r="A119" s="23" t="s">
        <v>81</v>
      </c>
      <c r="B119" s="67">
        <f aca="true" t="shared" si="54" ref="B119:L119">B60/B53</f>
        <v>0.47265705897401533</v>
      </c>
      <c r="C119" s="67">
        <f t="shared" si="54"/>
        <v>0.4767583115740676</v>
      </c>
      <c r="D119" s="67">
        <f t="shared" si="54"/>
        <v>0.3841167797893394</v>
      </c>
      <c r="E119" s="67">
        <f t="shared" si="54"/>
        <v>0.39674102041830195</v>
      </c>
      <c r="F119" s="67">
        <f t="shared" si="54"/>
        <v>0.3949860254433308</v>
      </c>
      <c r="G119" s="67">
        <f t="shared" si="54"/>
        <v>0.36677295217152284</v>
      </c>
      <c r="H119" s="67">
        <f t="shared" si="54"/>
        <v>0.46427496469171825</v>
      </c>
      <c r="I119" s="67">
        <f t="shared" si="54"/>
        <v>0.46532972571489206</v>
      </c>
      <c r="J119" s="67">
        <f>J60/J53</f>
        <v>0.523473084359418</v>
      </c>
      <c r="K119" s="67">
        <f>K60/K53</f>
        <v>0.5452262969588552</v>
      </c>
      <c r="L119" s="67">
        <f t="shared" si="54"/>
        <v>0.5193811485747919</v>
      </c>
      <c r="M119" s="67">
        <f>AVERAGE(E119:K119)</f>
        <v>0.45097200996543424</v>
      </c>
      <c r="N119" s="5"/>
      <c r="O119" s="5"/>
      <c r="P119" s="5"/>
      <c r="Q119" s="5"/>
      <c r="R119" s="5"/>
      <c r="S119" s="5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">
      <c r="A120" s="23" t="s">
        <v>82</v>
      </c>
      <c r="B120" s="67">
        <f aca="true" t="shared" si="55" ref="B120:L120">B60/B51</f>
        <v>0.5455043936731108</v>
      </c>
      <c r="C120" s="67">
        <f t="shared" si="55"/>
        <v>0.6140454995054402</v>
      </c>
      <c r="D120" s="67">
        <f t="shared" si="55"/>
        <v>0.45817357964447536</v>
      </c>
      <c r="E120" s="67">
        <f t="shared" si="55"/>
        <v>0.44892911349710496</v>
      </c>
      <c r="F120" s="67">
        <f t="shared" si="55"/>
        <v>0.4537051131253027</v>
      </c>
      <c r="G120" s="67">
        <f t="shared" si="55"/>
        <v>0.44493350939671616</v>
      </c>
      <c r="H120" s="67">
        <f t="shared" si="55"/>
        <v>0.5403457242559384</v>
      </c>
      <c r="I120" s="67">
        <f t="shared" si="55"/>
        <v>0.5440796982780011</v>
      </c>
      <c r="J120" s="67">
        <f>J60/J51</f>
        <v>0.6042013154803852</v>
      </c>
      <c r="K120" s="67">
        <f>K60/K51</f>
        <v>0.6275097796994029</v>
      </c>
      <c r="L120" s="67">
        <f t="shared" si="55"/>
        <v>0.5796734234234234</v>
      </c>
      <c r="M120" s="67">
        <f>AVERAGE(E120:K120)</f>
        <v>0.523386321961836</v>
      </c>
      <c r="N120" s="5"/>
      <c r="O120" s="5"/>
      <c r="P120" s="5"/>
      <c r="Q120" s="5"/>
      <c r="R120" s="5"/>
      <c r="S120" s="5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">
      <c r="A121" s="23" t="s">
        <v>83</v>
      </c>
      <c r="B121" s="67">
        <f aca="true" t="shared" si="56" ref="B121:L121">B60/B27</f>
        <v>0.42180620332017876</v>
      </c>
      <c r="C121" s="67">
        <f t="shared" si="56"/>
        <v>0.43095331254969776</v>
      </c>
      <c r="D121" s="67">
        <f t="shared" si="56"/>
        <v>0.3628709454796411</v>
      </c>
      <c r="E121" s="67">
        <f t="shared" si="56"/>
        <v>0.3672357302983273</v>
      </c>
      <c r="F121" s="67">
        <f t="shared" si="56"/>
        <v>0.362828528744536</v>
      </c>
      <c r="G121" s="67">
        <f t="shared" si="56"/>
        <v>0.35148462689397936</v>
      </c>
      <c r="H121" s="67">
        <f t="shared" si="56"/>
        <v>0.39671784117437586</v>
      </c>
      <c r="I121" s="67">
        <f t="shared" si="56"/>
        <v>0.4056741656182935</v>
      </c>
      <c r="J121" s="67">
        <f t="shared" si="56"/>
        <v>0.434143809604186</v>
      </c>
      <c r="K121" s="67">
        <f t="shared" si="56"/>
        <v>0.4409454571759259</v>
      </c>
      <c r="L121" s="67">
        <f t="shared" si="56"/>
        <v>0.4220415414047554</v>
      </c>
      <c r="M121" s="67">
        <f>AVERAGE(E121:K121)</f>
        <v>0.394147165644232</v>
      </c>
      <c r="N121" s="5"/>
      <c r="O121" s="5"/>
      <c r="P121" s="5"/>
      <c r="Q121" s="5"/>
      <c r="R121" s="5"/>
      <c r="S121" s="5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">
      <c r="A122" s="23" t="s">
        <v>84</v>
      </c>
      <c r="B122" s="67">
        <f aca="true" t="shared" si="57" ref="B122:I122">(B93+B87)/B87</f>
        <v>2.2830012453300124</v>
      </c>
      <c r="C122" s="67">
        <f t="shared" si="57"/>
        <v>1.3322522522522522</v>
      </c>
      <c r="D122" s="67">
        <f t="shared" si="57"/>
        <v>3.126358695652174</v>
      </c>
      <c r="E122" s="67">
        <f t="shared" si="57"/>
        <v>1.948077685295282</v>
      </c>
      <c r="F122" s="67">
        <f t="shared" si="57"/>
        <v>2.663144547759931</v>
      </c>
      <c r="G122" s="67">
        <f t="shared" si="57"/>
        <v>2.563575168287211</v>
      </c>
      <c r="H122" s="67">
        <f t="shared" si="57"/>
        <v>2.993569131832796</v>
      </c>
      <c r="I122" s="67">
        <f t="shared" si="57"/>
        <v>2.1379470506270333</v>
      </c>
      <c r="J122" s="67">
        <f>(J93+J87)/J87</f>
        <v>3.614012738853504</v>
      </c>
      <c r="K122" s="67">
        <f>(K93+K87)/K87</f>
        <v>3.7002915451895038</v>
      </c>
      <c r="L122" s="67">
        <f>((L93+L87)/L87)</f>
        <v>2.698492462311558</v>
      </c>
      <c r="M122" s="67">
        <f>AVERAGE(E122:K122)</f>
        <v>2.8029454096921804</v>
      </c>
      <c r="N122" s="5"/>
      <c r="O122" s="5"/>
      <c r="P122" s="5"/>
      <c r="Q122" s="5"/>
      <c r="R122" s="5"/>
      <c r="S122" s="5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">
      <c r="A123" s="23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5"/>
      <c r="O123" s="5"/>
      <c r="P123" s="5"/>
      <c r="Q123" s="5"/>
      <c r="R123" s="5"/>
      <c r="S123" s="5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">
      <c r="A124" s="35" t="s">
        <v>85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5"/>
      <c r="O124" s="5"/>
      <c r="P124" s="5"/>
      <c r="Q124" s="5"/>
      <c r="R124" s="5"/>
      <c r="S124" s="5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">
      <c r="A125" s="23" t="s">
        <v>86</v>
      </c>
      <c r="B125" s="36">
        <f>(B96+(B87*(1-(B95/B93))))/((B37)/1)</f>
        <v>0.024417305749913163</v>
      </c>
      <c r="C125" s="36">
        <f aca="true" t="shared" si="58" ref="C125:H125">(C96+(C87*(1-(C95/C93))))/((B37+C37)/2)</f>
        <v>-0.030177265524137634</v>
      </c>
      <c r="D125" s="36">
        <f t="shared" si="58"/>
        <v>0.042276489838652</v>
      </c>
      <c r="E125" s="36">
        <f t="shared" si="58"/>
        <v>0.025683038962038707</v>
      </c>
      <c r="F125" s="36">
        <f t="shared" si="58"/>
        <v>0.03404082431872751</v>
      </c>
      <c r="G125" s="36">
        <f t="shared" si="58"/>
        <v>0.03382379986019431</v>
      </c>
      <c r="H125" s="36">
        <f t="shared" si="58"/>
        <v>0.04264803756478831</v>
      </c>
      <c r="I125" s="9">
        <f>(I96+(I87*(1-(I95/I93))))*4/3/((H37+I37)/2)</f>
        <v>0.030023543097164873</v>
      </c>
      <c r="J125" s="36">
        <f>(J96+(J87*(1-(J95/J93))))/((I37+J37)/2)</f>
        <v>0.05213123688222054</v>
      </c>
      <c r="K125" s="36">
        <f>(K96+(K87*(1-(K95/K93))))/((J37+K37)/2)</f>
        <v>0.051511584107072225</v>
      </c>
      <c r="L125" s="9">
        <f>(2*((L96+(L87*(1-(L95/L93)))))/((K37+L37)/2))</f>
        <v>0.041699164240548946</v>
      </c>
      <c r="M125" s="68">
        <f>AVERAGE(E125:K125)</f>
        <v>0.038551723541743785</v>
      </c>
      <c r="N125" s="5"/>
      <c r="O125" s="5"/>
      <c r="P125" s="5"/>
      <c r="Q125" s="5"/>
      <c r="R125" s="5"/>
      <c r="S125" s="5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">
      <c r="A126" s="23" t="s">
        <v>87</v>
      </c>
      <c r="B126" s="36">
        <f>(B96+(B87*(1-(B95/B93))))/((B48+B55+B60)/1)</f>
        <v>0.03469965687892739</v>
      </c>
      <c r="C126" s="36">
        <f aca="true" t="shared" si="59" ref="C126:H126">(C96+(C87*(1-(C95/C93))))/((B48+C48+B55+C55+B60+C60)/2)</f>
        <v>-0.04552265500223389</v>
      </c>
      <c r="D126" s="36">
        <f t="shared" si="59"/>
        <v>0.06752176643189915</v>
      </c>
      <c r="E126" s="36">
        <f t="shared" si="59"/>
        <v>0.041516238440737915</v>
      </c>
      <c r="F126" s="36">
        <f t="shared" si="59"/>
        <v>0.05700069368900124</v>
      </c>
      <c r="G126" s="36">
        <f t="shared" si="59"/>
        <v>0.05866567577569146</v>
      </c>
      <c r="H126" s="36">
        <f t="shared" si="59"/>
        <v>0.0724296707373426</v>
      </c>
      <c r="I126" s="9">
        <f>(I96+(I87*(1-(I95/I93))))*4/3/((H48+I48+H55+I55+H60+I60)/2)</f>
        <v>0.049242263660772036</v>
      </c>
      <c r="J126" s="36">
        <f>(J96+(J87*(1-(J95/J93))))/((I48+J48+I55+J55+I60+J60)/2)</f>
        <v>0.08207956830913618</v>
      </c>
      <c r="K126" s="36">
        <f>(K96+(K87*(1-(K95/K93))))/((J48+K48+J55+K55+J60+K60)/2)</f>
        <v>0.07745941459320237</v>
      </c>
      <c r="L126" s="9">
        <f>((L96+(L87*(1-(L95/L93))))/((K48+L48+K55+L55+K60+L60)/2))*2</f>
        <v>0.06120296513963073</v>
      </c>
      <c r="M126" s="68">
        <f>AVERAGE(E126:K126)</f>
        <v>0.0626276464579834</v>
      </c>
      <c r="N126" s="5"/>
      <c r="O126" s="5"/>
      <c r="P126" s="5"/>
      <c r="Q126" s="5"/>
      <c r="R126" s="5"/>
      <c r="S126" s="5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">
      <c r="A127" s="23" t="s">
        <v>88</v>
      </c>
      <c r="B127" s="36">
        <f>(B96-B98)/((B60)/1)</f>
        <v>0.01670146137787055</v>
      </c>
      <c r="C127" s="36">
        <f aca="true" t="shared" si="60" ref="C127:H127">(C96-C98)/((C60+B60)/2)</f>
        <v>-0.029091208203665883</v>
      </c>
      <c r="D127" s="36">
        <f t="shared" si="60"/>
        <v>0.09977324263038549</v>
      </c>
      <c r="E127" s="36">
        <f t="shared" si="60"/>
        <v>0.04363899249133287</v>
      </c>
      <c r="F127" s="36">
        <f t="shared" si="60"/>
        <v>0.07563609398896963</v>
      </c>
      <c r="G127" s="36">
        <f t="shared" si="60"/>
        <v>0.0748355884798549</v>
      </c>
      <c r="H127" s="36">
        <f t="shared" si="60"/>
        <v>0.09705566067271948</v>
      </c>
      <c r="I127" s="9">
        <f>(I96-I98)*4/3/((I60+H60)/2)</f>
        <v>0.050087343179291824</v>
      </c>
      <c r="J127" s="36">
        <f>(J96-J98)/((J60+I60)/2)</f>
        <v>0.11378568198059329</v>
      </c>
      <c r="K127" s="36">
        <f>(K96-K98)/((K60+J60)/2)</f>
        <v>0.10776526272709477</v>
      </c>
      <c r="L127" s="9">
        <f>((L96-L98)/((L60+K60)/2))*2</f>
        <v>0.07561541413698612</v>
      </c>
      <c r="M127" s="68">
        <f>AVERAGE(E127:K127)</f>
        <v>0.08040066050283667</v>
      </c>
      <c r="N127" s="5"/>
      <c r="O127" s="5"/>
      <c r="P127" s="5"/>
      <c r="Q127" s="5"/>
      <c r="R127" s="5"/>
      <c r="S127" s="5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">
      <c r="A128" s="23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5"/>
      <c r="O128" s="5"/>
      <c r="P128" s="5"/>
      <c r="Q128" s="5"/>
      <c r="R128" s="5"/>
      <c r="S128" s="5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5">
      <c r="A129" s="69" t="s">
        <v>114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5"/>
      <c r="O129" s="5"/>
      <c r="P129" s="5"/>
      <c r="Q129" s="5"/>
      <c r="R129" s="5"/>
      <c r="S129" s="5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5">
      <c r="A130" s="23" t="s">
        <v>89</v>
      </c>
      <c r="B130" s="67">
        <f>B75/B12</f>
        <v>25.855382619974062</v>
      </c>
      <c r="C130" s="67">
        <f aca="true" t="shared" si="61" ref="C130:H130">C75/((B12+C12)/2)</f>
        <v>34.439373297002724</v>
      </c>
      <c r="D130" s="67">
        <f t="shared" si="61"/>
        <v>22.561049445005043</v>
      </c>
      <c r="E130" s="67">
        <f t="shared" si="61"/>
        <v>19.860824742268044</v>
      </c>
      <c r="F130" s="74">
        <f t="shared" si="61"/>
        <v>30.27962085308057</v>
      </c>
      <c r="G130" s="74">
        <f t="shared" si="61"/>
        <v>23.652443754848722</v>
      </c>
      <c r="H130" s="74">
        <f t="shared" si="61"/>
        <v>24.438381937911572</v>
      </c>
      <c r="I130" s="74">
        <f>I75*4/3/((H12+I12)/2)</f>
        <v>43.659574468085104</v>
      </c>
      <c r="J130" s="74">
        <f>J75/((I12+J12)/2)</f>
        <v>22.540224902465766</v>
      </c>
      <c r="K130" s="74">
        <f>K75/((J12+K12)/2)</f>
        <v>17.453672942045035</v>
      </c>
      <c r="L130" s="74">
        <f>L75*2/((K12+L12)/2)</f>
        <v>11.211758673730985</v>
      </c>
      <c r="M130" s="67">
        <f>AVERAGE(E130:K130)</f>
        <v>25.983534800100692</v>
      </c>
      <c r="N130" s="5"/>
      <c r="O130" s="5"/>
      <c r="P130" s="5"/>
      <c r="Q130" s="5"/>
      <c r="R130" s="5"/>
      <c r="S130" s="5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5">
      <c r="A131" s="23" t="s">
        <v>90</v>
      </c>
      <c r="B131" s="67">
        <f>B75/B13</f>
        <v>7.099180911680912</v>
      </c>
      <c r="C131" s="67">
        <f aca="true" t="shared" si="62" ref="C131:H131">C75/((B13+C13)/2)</f>
        <v>8.959241538188907</v>
      </c>
      <c r="D131" s="67">
        <f t="shared" si="62"/>
        <v>8.218845729689988</v>
      </c>
      <c r="E131" s="67">
        <f t="shared" si="62"/>
        <v>12.152178198304751</v>
      </c>
      <c r="F131" s="74">
        <f t="shared" si="62"/>
        <v>12.95155078045814</v>
      </c>
      <c r="G131" s="74">
        <f t="shared" si="62"/>
        <v>11.546298049611815</v>
      </c>
      <c r="H131" s="74">
        <f t="shared" si="62"/>
        <v>13.92175777063237</v>
      </c>
      <c r="I131" s="74">
        <f>I75*4/3/((H13+I13)/2)</f>
        <v>12.806043685334206</v>
      </c>
      <c r="J131" s="74">
        <f>J75/((I13+J13)/2)</f>
        <v>12.057836584367754</v>
      </c>
      <c r="K131" s="74">
        <f>K75/((J13+K13)/2)</f>
        <v>9.4564</v>
      </c>
      <c r="L131" s="74">
        <f>L75*2/((K13+L13)/2)</f>
        <v>7.593944790739092</v>
      </c>
      <c r="M131" s="67">
        <f>AVERAGE(E131:K131)</f>
        <v>12.127437866958433</v>
      </c>
      <c r="N131" s="5"/>
      <c r="O131" s="5"/>
      <c r="P131" s="5"/>
      <c r="Q131" s="5"/>
      <c r="R131" s="5"/>
      <c r="S131" s="5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5">
      <c r="A132" s="23" t="s">
        <v>91</v>
      </c>
      <c r="B132" s="67">
        <f>B75/(B16-B46)</f>
        <v>-29.532592592592568</v>
      </c>
      <c r="C132" s="67">
        <f aca="true" t="shared" si="63" ref="C132:H132">C75/((B16+C16-B46-C46)/2)</f>
        <v>-26.693241816261867</v>
      </c>
      <c r="D132" s="67">
        <f t="shared" si="63"/>
        <v>-9.575160599571731</v>
      </c>
      <c r="E132" s="67">
        <f t="shared" si="63"/>
        <v>-11.346953800846673</v>
      </c>
      <c r="F132" s="74">
        <f t="shared" si="63"/>
        <v>-15.794808405438822</v>
      </c>
      <c r="G132" s="74">
        <f t="shared" si="63"/>
        <v>-8.694709824611436</v>
      </c>
      <c r="H132" s="74">
        <f t="shared" si="63"/>
        <v>-13.340294419719267</v>
      </c>
      <c r="I132" s="74">
        <f>I75*4/3/((H16+I16-H46-I46)/2)</f>
        <v>-17.171548117154813</v>
      </c>
      <c r="J132" s="74">
        <f>J75/((I16+J16-I46-J46)/2)</f>
        <v>594.4586415601837</v>
      </c>
      <c r="K132" s="74">
        <f>K75/((J16+K16-J46-K46)/2)</f>
        <v>28.848078096400226</v>
      </c>
      <c r="L132" s="74">
        <f>L75*2/((K16+L16-K46-L46)/2)</f>
        <v>15.18437405409255</v>
      </c>
      <c r="M132" s="67">
        <f>AVERAGE(E132:K132)</f>
        <v>79.56548644125897</v>
      </c>
      <c r="N132" s="5"/>
      <c r="O132" s="5"/>
      <c r="P132" s="5"/>
      <c r="Q132" s="5"/>
      <c r="R132" s="5"/>
      <c r="S132" s="5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5">
      <c r="A133" s="23" t="s">
        <v>92</v>
      </c>
      <c r="B133" s="67">
        <f>B75/(B27)</f>
        <v>0.43343878760205695</v>
      </c>
      <c r="C133" s="67">
        <f aca="true" t="shared" si="64" ref="C133:H133">C75/((B27+C27)/2)</f>
        <v>0.5905777632408944</v>
      </c>
      <c r="D133" s="67">
        <f t="shared" si="64"/>
        <v>0.42205079157333064</v>
      </c>
      <c r="E133" s="67">
        <f t="shared" si="64"/>
        <v>0.36985841132709385</v>
      </c>
      <c r="F133" s="74">
        <f t="shared" si="64"/>
        <v>0.36024809698336624</v>
      </c>
      <c r="G133" s="74">
        <f t="shared" si="64"/>
        <v>0.32911788677127024</v>
      </c>
      <c r="H133" s="74">
        <f t="shared" si="64"/>
        <v>0.39762650639292246</v>
      </c>
      <c r="I133" s="74">
        <f>I75*4/3/((H27+I27)/2)</f>
        <v>0.37274135260712443</v>
      </c>
      <c r="J133" s="74">
        <f>J75/((I27+J27)/2)</f>
        <v>0.39010741678950017</v>
      </c>
      <c r="K133" s="74">
        <f>K75/((J27+K27)/2)</f>
        <v>0.36834027967124994</v>
      </c>
      <c r="L133" s="74">
        <f>L75*2/((K27+L27)/2)</f>
        <v>0.2996486296556571</v>
      </c>
      <c r="M133" s="67">
        <f>AVERAGE(E133:K133)</f>
        <v>0.3697199929346468</v>
      </c>
      <c r="N133" s="5"/>
      <c r="O133" s="5"/>
      <c r="P133" s="5"/>
      <c r="Q133" s="5"/>
      <c r="R133" s="5"/>
      <c r="S133" s="5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5">
      <c r="A134" s="23" t="s">
        <v>93</v>
      </c>
      <c r="B134" s="67">
        <f>B75/B37</f>
        <v>0.3240038683147638</v>
      </c>
      <c r="C134" s="67">
        <f aca="true" t="shared" si="65" ref="C134:H134">C75/((B37+C37)/2)</f>
        <v>0.43139396473383984</v>
      </c>
      <c r="D134" s="67">
        <f t="shared" si="65"/>
        <v>0.3047239157890911</v>
      </c>
      <c r="E134" s="67">
        <f t="shared" si="65"/>
        <v>0.2731001975776799</v>
      </c>
      <c r="F134" s="74">
        <f t="shared" si="65"/>
        <v>0.2733507609239761</v>
      </c>
      <c r="G134" s="74">
        <f t="shared" si="65"/>
        <v>0.2519877675840979</v>
      </c>
      <c r="H134" s="74">
        <f t="shared" si="65"/>
        <v>0.30862261505928196</v>
      </c>
      <c r="I134" s="74">
        <f>I75*4/3/((H37+I37)/2)</f>
        <v>0.2933347377607909</v>
      </c>
      <c r="J134" s="74">
        <f>J75/((I37+J37)/2)</f>
        <v>0.3062556234576092</v>
      </c>
      <c r="K134" s="74">
        <f>K75/((J37+K37)/2)</f>
        <v>0.2925069906708569</v>
      </c>
      <c r="L134" s="74">
        <f>L75*2/((K37+L37)/2)</f>
        <v>0.24016020442905203</v>
      </c>
      <c r="M134" s="67">
        <f>AVERAGE(E134:K134)</f>
        <v>0.28559409900489896</v>
      </c>
      <c r="N134" s="5"/>
      <c r="O134" s="5"/>
      <c r="P134" s="5"/>
      <c r="Q134" s="5"/>
      <c r="R134" s="5"/>
      <c r="S134" s="5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67"/>
      <c r="N135" s="5"/>
      <c r="O135" s="5"/>
      <c r="P135" s="5"/>
      <c r="Q135" s="5"/>
      <c r="R135" s="5"/>
      <c r="S135" s="5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5">
      <c r="A136" s="35" t="s">
        <v>115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7"/>
      <c r="N136" s="5"/>
      <c r="O136" s="5"/>
      <c r="P136" s="5"/>
      <c r="Q136" s="5"/>
      <c r="R136" s="5"/>
      <c r="S136" s="5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5">
      <c r="A137" s="23" t="s">
        <v>96</v>
      </c>
      <c r="B137" s="9">
        <f aca="true" t="shared" si="66" ref="B137:L137">B60/B$140</f>
        <v>0.43861989441197424</v>
      </c>
      <c r="C137" s="9">
        <f t="shared" si="66"/>
        <v>0.4926841938183602</v>
      </c>
      <c r="D137" s="9">
        <f t="shared" si="66"/>
        <v>0.4103615620388239</v>
      </c>
      <c r="E137" s="9">
        <f t="shared" si="66"/>
        <v>0.4437591164826006</v>
      </c>
      <c r="F137" s="9">
        <f t="shared" si="66"/>
        <v>0.4594268899320395</v>
      </c>
      <c r="G137" s="9">
        <f t="shared" si="66"/>
        <v>0.455411751856706</v>
      </c>
      <c r="H137" s="9">
        <f t="shared" si="66"/>
        <v>0.49937741252645995</v>
      </c>
      <c r="I137" s="9">
        <f t="shared" si="66"/>
        <v>0.5146998415585939</v>
      </c>
      <c r="J137" s="9">
        <f t="shared" si="66"/>
        <v>0.4969026715363579</v>
      </c>
      <c r="K137" s="9">
        <f t="shared" si="66"/>
        <v>0.5207879275124458</v>
      </c>
      <c r="L137" s="9">
        <f t="shared" si="66"/>
        <v>0.48348465873512836</v>
      </c>
      <c r="M137" s="68">
        <f>AVERAGE(E137:K137)</f>
        <v>0.4843379444864578</v>
      </c>
      <c r="N137" s="5"/>
      <c r="O137" s="5"/>
      <c r="P137" s="5"/>
      <c r="Q137" s="5"/>
      <c r="R137" s="5"/>
      <c r="S137" s="5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5">
      <c r="A138" s="23" t="s">
        <v>41</v>
      </c>
      <c r="B138" s="9">
        <f aca="true" t="shared" si="67" ref="B138:L138">B55/B$140</f>
        <v>0.024475168726047686</v>
      </c>
      <c r="C138" s="9">
        <f t="shared" si="67"/>
        <v>0.08047386799803757</v>
      </c>
      <c r="D138" s="9">
        <f t="shared" si="67"/>
        <v>0.06484845044840504</v>
      </c>
      <c r="E138" s="9">
        <f t="shared" si="67"/>
        <v>0.062485239980551506</v>
      </c>
      <c r="F138" s="9">
        <f t="shared" si="67"/>
        <v>0.013676171792895677</v>
      </c>
      <c r="G138" s="9">
        <f t="shared" si="67"/>
        <v>0.012300677151594582</v>
      </c>
      <c r="H138" s="9">
        <f t="shared" si="67"/>
        <v>0.010285145062881335</v>
      </c>
      <c r="I138" s="9">
        <f t="shared" si="67"/>
        <v>0.004847133384191068</v>
      </c>
      <c r="J138" s="9">
        <f t="shared" si="67"/>
        <v>0.003989386107856385</v>
      </c>
      <c r="K138" s="9">
        <f t="shared" si="67"/>
        <v>0.003502887318949851</v>
      </c>
      <c r="L138" s="9">
        <f t="shared" si="67"/>
        <v>0.0032091421415153414</v>
      </c>
      <c r="M138" s="68">
        <f>AVERAGE(E138:K138)</f>
        <v>0.015869520114131487</v>
      </c>
      <c r="N138" s="5"/>
      <c r="O138" s="5"/>
      <c r="P138" s="5"/>
      <c r="Q138" s="5"/>
      <c r="R138" s="5"/>
      <c r="S138" s="5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5">
      <c r="A139" s="23" t="s">
        <v>116</v>
      </c>
      <c r="B139" s="9">
        <f aca="true" t="shared" si="68" ref="B139:L139">(B40+B48)/B$140</f>
        <v>0.5369049368619782</v>
      </c>
      <c r="C139" s="9">
        <f t="shared" si="68"/>
        <v>0.42684193818360217</v>
      </c>
      <c r="D139" s="9">
        <f t="shared" si="68"/>
        <v>0.5247899875127711</v>
      </c>
      <c r="E139" s="70">
        <f t="shared" si="68"/>
        <v>0.4937556435368479</v>
      </c>
      <c r="F139" s="70">
        <f t="shared" si="68"/>
        <v>0.5268969382750648</v>
      </c>
      <c r="G139" s="70">
        <f t="shared" si="68"/>
        <v>0.5322875709916994</v>
      </c>
      <c r="H139" s="70">
        <f t="shared" si="68"/>
        <v>0.4903374424106587</v>
      </c>
      <c r="I139" s="70">
        <f t="shared" si="68"/>
        <v>0.480453025057215</v>
      </c>
      <c r="J139" s="70">
        <f t="shared" si="68"/>
        <v>0.4991079423557856</v>
      </c>
      <c r="K139" s="70">
        <f t="shared" si="68"/>
        <v>0.47570918516860417</v>
      </c>
      <c r="L139" s="70">
        <f t="shared" si="68"/>
        <v>0.5133061991233563</v>
      </c>
      <c r="M139" s="43">
        <f>AVERAGE(E139:K139)</f>
        <v>0.4997925353994109</v>
      </c>
      <c r="N139" s="5"/>
      <c r="O139" s="5"/>
      <c r="P139" s="5"/>
      <c r="Q139" s="5"/>
      <c r="R139" s="5"/>
      <c r="S139" s="5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5">
      <c r="A140" s="23" t="s">
        <v>117</v>
      </c>
      <c r="B140" s="1">
        <f>B40+B48+B55+B60</f>
        <v>8845.699999999999</v>
      </c>
      <c r="C140" s="1">
        <f aca="true" t="shared" si="69" ref="C140:L140">C40+C48+C55+C60</f>
        <v>6930.200000000001</v>
      </c>
      <c r="D140" s="1">
        <f t="shared" si="69"/>
        <v>7047.2</v>
      </c>
      <c r="E140" s="1">
        <f t="shared" si="69"/>
        <v>7198.5</v>
      </c>
      <c r="F140" s="1">
        <f t="shared" si="69"/>
        <v>7136.5</v>
      </c>
      <c r="G140" s="1">
        <f t="shared" si="69"/>
        <v>7324.8</v>
      </c>
      <c r="H140" s="1">
        <f t="shared" si="69"/>
        <v>8031</v>
      </c>
      <c r="I140" s="1">
        <f t="shared" si="69"/>
        <v>8520.5</v>
      </c>
      <c r="J140" s="1">
        <f>J40+J48+J55+J60</f>
        <v>10352.470000000001</v>
      </c>
      <c r="K140" s="1">
        <f>K40+K48+K55+K60</f>
        <v>11704.630000000001</v>
      </c>
      <c r="L140" s="1">
        <f t="shared" si="69"/>
        <v>12776</v>
      </c>
      <c r="M140" s="90">
        <f>AVERAGE(E140:K140)</f>
        <v>8609.77142857143</v>
      </c>
      <c r="N140" s="5"/>
      <c r="O140" s="5"/>
      <c r="P140" s="5"/>
      <c r="Q140" s="5"/>
      <c r="R140" s="5"/>
      <c r="S140" s="5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5">
      <c r="A141" s="3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1"/>
      <c r="N141" s="5"/>
      <c r="O141" s="5"/>
      <c r="P141" s="5"/>
      <c r="Q141" s="5"/>
      <c r="R141" s="5"/>
      <c r="S141" s="5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5">
      <c r="A142" s="35" t="s">
        <v>94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36"/>
      <c r="N142" s="5"/>
      <c r="O142" s="5"/>
      <c r="P142" s="5"/>
      <c r="Q142" s="5"/>
      <c r="R142" s="5"/>
      <c r="S142" s="5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">
      <c r="A143" s="23" t="s">
        <v>95</v>
      </c>
      <c r="B143" s="23"/>
      <c r="C143" s="23"/>
      <c r="D143" s="23"/>
      <c r="E143" s="23"/>
      <c r="F143" s="23"/>
      <c r="G143" s="23"/>
      <c r="H143" s="24" t="s">
        <v>118</v>
      </c>
      <c r="I143" s="24"/>
      <c r="J143" s="24"/>
      <c r="K143" s="24"/>
      <c r="L143" s="91" t="s">
        <v>122</v>
      </c>
      <c r="M143" s="36"/>
      <c r="N143" s="5"/>
      <c r="O143" s="5"/>
      <c r="P143" s="5"/>
      <c r="Q143" s="5"/>
      <c r="R143" s="5"/>
      <c r="S143" s="5"/>
      <c r="T143" s="8"/>
      <c r="U143" s="8"/>
      <c r="V143" s="8"/>
      <c r="W143" s="8"/>
      <c r="X143" s="8"/>
      <c r="Y143" s="8"/>
      <c r="Z143" s="8"/>
      <c r="AA143" s="8"/>
      <c r="AB143" s="8"/>
    </row>
    <row r="144" spans="15:28" ht="15">
      <c r="O144" s="5"/>
      <c r="P144" s="5"/>
      <c r="Q144" s="5"/>
      <c r="R144" s="5"/>
      <c r="S144" s="5"/>
      <c r="T144" s="8"/>
      <c r="U144" s="8"/>
      <c r="V144" s="8"/>
      <c r="W144" s="8"/>
      <c r="X144" s="8"/>
      <c r="Y144" s="8"/>
      <c r="Z144" s="8"/>
      <c r="AA144" s="8"/>
      <c r="AB144" s="8"/>
    </row>
    <row r="145" ht="15">
      <c r="AB145" s="8"/>
    </row>
  </sheetData>
  <sheetProtection/>
  <printOptions/>
  <pageMargins left="0.7" right="0.7" top="0.75" bottom="0.75" header="0.3" footer="0.3"/>
  <pageSetup fitToHeight="3" horizontalDpi="600" verticalDpi="600" orientation="portrait" scale="76" r:id="rId1"/>
  <rowBreaks count="2" manualBreakCount="2">
    <brk id="62" max="12" man="1"/>
    <brk id="1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CRoll</dc:creator>
  <cp:keywords/>
  <dc:description/>
  <cp:lastModifiedBy>PSC</cp:lastModifiedBy>
  <cp:lastPrinted>2009-11-16T15:14:55Z</cp:lastPrinted>
  <dcterms:created xsi:type="dcterms:W3CDTF">2009-08-11T16:35:19Z</dcterms:created>
  <dcterms:modified xsi:type="dcterms:W3CDTF">2009-11-17T16:23:56Z</dcterms:modified>
  <cp:category/>
  <cp:version/>
  <cp:contentType/>
  <cp:contentStatus/>
</cp:coreProperties>
</file>