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activeTab="2"/>
  </bookViews>
  <sheets>
    <sheet name="Base Forecast" sheetId="1" r:id="rId1"/>
    <sheet name="Actual Scenario" sheetId="2" r:id="rId2"/>
    <sheet name="EBA" sheetId="3" r:id="rId3"/>
    <sheet name="Graph of Difference in Utah NPC" sheetId="4" r:id="rId4"/>
    <sheet name="Sheet1" sheetId="5" r:id="rId5"/>
  </sheets>
  <definedNames>
    <definedName name="_Order1" hidden="1">255</definedName>
    <definedName name="_Order2" hidden="1">0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INT">'EBA'!$C$53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/>
</workbook>
</file>

<file path=xl/sharedStrings.xml><?xml version="1.0" encoding="utf-8"?>
<sst xmlns="http://schemas.openxmlformats.org/spreadsheetml/2006/main" count="1161" uniqueCount="405">
  <si>
    <t>Non-firm</t>
  </si>
  <si>
    <t>Sales for Resale  (Account 447)</t>
  </si>
  <si>
    <t>Purchased Power (Account 555)</t>
  </si>
  <si>
    <t>Seasonal Contracts</t>
  </si>
  <si>
    <t>BPA Regional Adjustments</t>
  </si>
  <si>
    <t>Natural Gas Consumed</t>
  </si>
  <si>
    <t>Simple Cycle Combustion Turbines</t>
  </si>
  <si>
    <t>Cholla/APS Exchange</t>
  </si>
  <si>
    <t>Miscellaneous Fuel Costs</t>
  </si>
  <si>
    <t>Net Power Cost</t>
  </si>
  <si>
    <t>Fuel Expense (Accounts 501, 503 and 547)</t>
  </si>
  <si>
    <t>Existing Firm PPL</t>
  </si>
  <si>
    <t>Existing Firm UPL</t>
  </si>
  <si>
    <t>Post-merger Firm</t>
  </si>
  <si>
    <t>Existing Firm Demand PPL</t>
  </si>
  <si>
    <t>Existing Firm Demand UPL</t>
  </si>
  <si>
    <t>Existing Firm Energy</t>
  </si>
  <si>
    <t>Secondary Purchases</t>
  </si>
  <si>
    <t>Wheeling (Account 565)</t>
  </si>
  <si>
    <t>Fuel Consumed - Coal</t>
  </si>
  <si>
    <t>Fuel Consumed - Gas</t>
  </si>
  <si>
    <t>Steam From Other Sources</t>
  </si>
  <si>
    <t>Total Fuel Expense</t>
  </si>
  <si>
    <t>Non-Firm</t>
  </si>
  <si>
    <t>Pacific Pre Merger</t>
  </si>
  <si>
    <t>Utah Pre Merger</t>
  </si>
  <si>
    <t>BPA Peak Purchase</t>
  </si>
  <si>
    <t>Pacific Capacity</t>
  </si>
  <si>
    <t>Mid Columbia</t>
  </si>
  <si>
    <t>Misc/Pacific</t>
  </si>
  <si>
    <t>QF by State PPL</t>
  </si>
  <si>
    <t>QF PPL Pre Merger</t>
  </si>
  <si>
    <t>QF PPL Post Merger</t>
  </si>
  <si>
    <t>Gemstate</t>
  </si>
  <si>
    <t>QF by State UPL</t>
  </si>
  <si>
    <t>QF UPL Pre Merger</t>
  </si>
  <si>
    <t>IPP Layoff</t>
  </si>
  <si>
    <t>QF UPL Post Merger</t>
  </si>
  <si>
    <t>Georgia-Pacific Camas</t>
  </si>
  <si>
    <t>Kennecott Generation Incentive</t>
  </si>
  <si>
    <t>Morgan Stanley p272153-6-8</t>
  </si>
  <si>
    <t>Morgan Stanley p272154-7</t>
  </si>
  <si>
    <t>Currant Creek</t>
  </si>
  <si>
    <t>Short Term Firm Purchases</t>
  </si>
  <si>
    <t>Carbon</t>
  </si>
  <si>
    <t>Cholla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</si>
  <si>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</si>
  <si>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</si>
  <si>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</si>
  <si>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</si>
  <si>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</si>
  <si>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</si>
  <si>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</si>
  <si>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</si>
  <si>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</si>
  <si>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</si>
  <si>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</t>
  </si>
  <si>
    <t>Little Mountain</t>
  </si>
  <si>
    <t>Naughton</t>
  </si>
  <si>
    <t>Wyodak</t>
  </si>
  <si>
    <t>Blundell</t>
  </si>
  <si>
    <t>SG</t>
  </si>
  <si>
    <t>Post-Merger Firm</t>
  </si>
  <si>
    <t>SE</t>
  </si>
  <si>
    <t>Short Term Firm Sales</t>
  </si>
  <si>
    <t>System Balancing Sales</t>
  </si>
  <si>
    <t>Small Purchases east</t>
  </si>
  <si>
    <t>QF California</t>
  </si>
  <si>
    <t>QF Idaho</t>
  </si>
  <si>
    <t>QF Oregon</t>
  </si>
  <si>
    <t>QF Utah</t>
  </si>
  <si>
    <t>QF Washington</t>
  </si>
  <si>
    <t>QF Wyoming</t>
  </si>
  <si>
    <t>US Magnesium QF</t>
  </si>
  <si>
    <t>Grant Reasonable</t>
  </si>
  <si>
    <t>APS Exchange</t>
  </si>
  <si>
    <t>Black Hills CTs</t>
  </si>
  <si>
    <t>Total Short Term Firm Purchases</t>
  </si>
  <si>
    <t>System Balancing Purchases</t>
  </si>
  <si>
    <t>Total System Balancing Purchases</t>
  </si>
  <si>
    <t>Firm Wheeling</t>
  </si>
  <si>
    <t>ST Firm &amp; Non-Firm</t>
  </si>
  <si>
    <t>Total Wheeling &amp; U. of F. Expense</t>
  </si>
  <si>
    <t>S</t>
  </si>
  <si>
    <t>Seasonal Purchased Power</t>
  </si>
  <si>
    <t>CT</t>
  </si>
  <si>
    <t>Thermal Gas</t>
  </si>
  <si>
    <t>Wind Integration Charge</t>
  </si>
  <si>
    <t>Wind Integration</t>
  </si>
  <si>
    <t>Pre-Merger Firm PPL</t>
  </si>
  <si>
    <t>Pre-Merger Firm UPL</t>
  </si>
  <si>
    <t>PPL QF</t>
  </si>
  <si>
    <t>UPL QF</t>
  </si>
  <si>
    <t>Gas Swaps</t>
  </si>
  <si>
    <t>Pipeline Reservation Fees</t>
  </si>
  <si>
    <t>Special Sales For Resale</t>
  </si>
  <si>
    <t>Long Term Firm Sales</t>
  </si>
  <si>
    <t>Black Hills s27013/s28160</t>
  </si>
  <si>
    <t xml:space="preserve">BPA Wind s42818 </t>
  </si>
  <si>
    <t xml:space="preserve">Hurricane Sale s393046 </t>
  </si>
  <si>
    <t xml:space="preserve">LADWP (IPP Layoff) </t>
  </si>
  <si>
    <t xml:space="preserve">NVE s811499 </t>
  </si>
  <si>
    <t xml:space="preserve">Pacific Gas &amp; Electric s524491 </t>
  </si>
  <si>
    <t xml:space="preserve">PSCO s100035 </t>
  </si>
  <si>
    <t xml:space="preserve">SCE s513948 </t>
  </si>
  <si>
    <t xml:space="preserve">SMUD s24296 </t>
  </si>
  <si>
    <t xml:space="preserve">UMPA II s45631 </t>
  </si>
  <si>
    <t xml:space="preserve">Total Long Term Firm Sales </t>
  </si>
  <si>
    <t xml:space="preserve">COB </t>
  </si>
  <si>
    <t xml:space="preserve">Four Corners </t>
  </si>
  <si>
    <t xml:space="preserve">Mid Columbia </t>
  </si>
  <si>
    <t xml:space="preserve">Mona </t>
  </si>
  <si>
    <t xml:space="preserve">Palo Verde </t>
  </si>
  <si>
    <t xml:space="preserve">Total Short Term Firm Sales </t>
  </si>
  <si>
    <t xml:space="preserve">Total System Balancing Sales </t>
  </si>
  <si>
    <t xml:space="preserve">Total Special Sales For Resale </t>
  </si>
  <si>
    <t>West Main</t>
  </si>
  <si>
    <t>STF Index Trades</t>
  </si>
  <si>
    <t>SP15</t>
  </si>
  <si>
    <t>Trapped Energy</t>
  </si>
  <si>
    <t>7/11 - 6/12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</si>
  <si>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</si>
  <si>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</si>
  <si>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</si>
  <si>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</si>
  <si>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</si>
  <si>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</si>
  <si>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</si>
  <si>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</si>
  <si>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</si>
  <si>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</si>
  <si>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</si>
  <si>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</si>
  <si>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NPC Component</t>
  </si>
  <si>
    <t>Purchased Power &amp; Net Interchange</t>
  </si>
  <si>
    <t>Long Term Firm Purchases</t>
  </si>
  <si>
    <t>APS Supplemental p27875</t>
  </si>
  <si>
    <t>Blanding Purchase p379174</t>
  </si>
  <si>
    <t>BPA Reserve Purchase</t>
  </si>
  <si>
    <t>Combine Hills Wind p160595</t>
  </si>
  <si>
    <t>Deseret Purchase p194277</t>
  </si>
  <si>
    <t>Douglas PUD Settlement p38185</t>
  </si>
  <si>
    <t xml:space="preserve">Gemstate p99489 </t>
  </si>
  <si>
    <t>Grant County 10 aMW p66274</t>
  </si>
  <si>
    <t>Hermiston Purchase p99563</t>
  </si>
  <si>
    <t>Hurricane Purchase p393045</t>
  </si>
  <si>
    <t xml:space="preserve">IPP Purchase </t>
  </si>
  <si>
    <t>LADWP p491303-4</t>
  </si>
  <si>
    <t>MagCorp p229846</t>
  </si>
  <si>
    <t xml:space="preserve">MagCorp Reserves p510378 </t>
  </si>
  <si>
    <t xml:space="preserve">Nucor p346856 </t>
  </si>
  <si>
    <t>P4 Production p137215/p145258</t>
  </si>
  <si>
    <t xml:space="preserve">PGE Cove p83984 </t>
  </si>
  <si>
    <t xml:space="preserve">Rock River Wind p100371 </t>
  </si>
  <si>
    <t>Roseburg Forest Products p312292</t>
  </si>
  <si>
    <t xml:space="preserve">Small Purchases west </t>
  </si>
  <si>
    <t>Three Buttes Wind p460457</t>
  </si>
  <si>
    <t>Top of the World Wind p522807</t>
  </si>
  <si>
    <t>Tri-State Purchase p27057</t>
  </si>
  <si>
    <t>Wolverine Creek Wind p244520</t>
  </si>
  <si>
    <t xml:space="preserve">Long Term Firm Purchases Total </t>
  </si>
  <si>
    <t>Qualifying Facilities</t>
  </si>
  <si>
    <t>Mid-Columbia Contracts</t>
  </si>
  <si>
    <t>Biomass p234159 QF</t>
  </si>
  <si>
    <t>Chevron Wind p499335 QF</t>
  </si>
  <si>
    <t>Evergreen BioPower p351030 QF</t>
  </si>
  <si>
    <t>ExxonMobil p255042 QF</t>
  </si>
  <si>
    <t>Kennecott Refinery QF</t>
  </si>
  <si>
    <t>Kennecott Smelter QF</t>
  </si>
  <si>
    <t>Mountain Wind 1 p367721 QF</t>
  </si>
  <si>
    <t>Mountain Wind 2 p398449 QF</t>
  </si>
  <si>
    <t>Oregon Wind Farm QF</t>
  </si>
  <si>
    <t>Power County North Wind QF p575612</t>
  </si>
  <si>
    <t>Power County South Wind QF p575614</t>
  </si>
  <si>
    <t>SF Phosphates</t>
  </si>
  <si>
    <t>Spanish Fork Wind 2 p311681 QF</t>
  </si>
  <si>
    <t>Sunnyside p83997/p59965 QF</t>
  </si>
  <si>
    <t>Tesoro QF3,911</t>
  </si>
  <si>
    <t>Threemile Canyon Wind QF</t>
  </si>
  <si>
    <t>Qualifying Facilities Total</t>
  </si>
  <si>
    <t>Canadian Entitlement p60828</t>
  </si>
  <si>
    <t>Chelan - Rocky Reach p60827</t>
  </si>
  <si>
    <t>Douglas - Wells p60828</t>
  </si>
  <si>
    <t>Grant Displacement p270294</t>
  </si>
  <si>
    <t>Grant Surplus p258951</t>
  </si>
  <si>
    <t>Grant - Wanapum p60825</t>
  </si>
  <si>
    <t>Mid-Columbia Contracts Total</t>
  </si>
  <si>
    <t xml:space="preserve">Total Long Term Firm Purchases </t>
  </si>
  <si>
    <t>Pioneer Wind Park I Q</t>
  </si>
  <si>
    <t xml:space="preserve">Seasonal Purchased Power Total </t>
  </si>
  <si>
    <t>Storage &amp; Exchange</t>
  </si>
  <si>
    <t>BPA Exchange p64706/p64888</t>
  </si>
  <si>
    <t>BPA FC II Wind p63507</t>
  </si>
  <si>
    <t>BPA FC IV Wind p79207</t>
  </si>
  <si>
    <t>BPA Peaking p59820</t>
  </si>
  <si>
    <t>BPA So. Idaho p64885/p83975/p64705</t>
  </si>
  <si>
    <t>EWEB FC I p63508/p63510</t>
  </si>
  <si>
    <t>PSCo Exchange p340325</t>
  </si>
  <si>
    <t>PSCO FC III p63362/s63361</t>
  </si>
  <si>
    <t xml:space="preserve">Redding Exchange p66276 </t>
  </si>
  <si>
    <t>SCL State Line p105228</t>
  </si>
  <si>
    <t>Total Storage &amp; Exchange</t>
  </si>
  <si>
    <t>COB</t>
  </si>
  <si>
    <t>Four Corners</t>
  </si>
  <si>
    <t>Mona</t>
  </si>
  <si>
    <t>Palo Verde</t>
  </si>
  <si>
    <t>STF Electric Swaps</t>
  </si>
  <si>
    <t>Emergency Purchases</t>
  </si>
  <si>
    <t>Total Purchased Power &amp; Net Interchange</t>
  </si>
  <si>
    <t>Cowlitz Swift p65787</t>
  </si>
  <si>
    <t>Wheeling &amp; U. of F. Expense</t>
  </si>
  <si>
    <t>Coal Fuel Burn Expense</t>
  </si>
  <si>
    <t>Gas Fuel Burn Expense</t>
  </si>
  <si>
    <t>Other Generation</t>
  </si>
  <si>
    <t>Ramp Loss</t>
  </si>
  <si>
    <t>Total Coal Fuel Burn Expense</t>
  </si>
  <si>
    <t>Chehalis</t>
  </si>
  <si>
    <t>Total Gas Fuel Burn</t>
  </si>
  <si>
    <t xml:space="preserve">Gas Physical </t>
  </si>
  <si>
    <t xml:space="preserve">Clay Basin Gas Storage </t>
  </si>
  <si>
    <t>Total Gas Fuel Burn Expense</t>
  </si>
  <si>
    <t>Total Other Generation</t>
  </si>
  <si>
    <t>Douglas Co. Forest Products DCFP p316701 QF</t>
  </si>
  <si>
    <t>(Cholla)</t>
  </si>
  <si>
    <t>PP&amp;L Pre-Merger - Firm</t>
  </si>
  <si>
    <t>Pre-Merger UPL - Firm</t>
  </si>
  <si>
    <t xml:space="preserve">Demand-Related NPC </t>
  </si>
  <si>
    <t>Energy-Related NPC</t>
  </si>
  <si>
    <t>Pre-Merger Firm Energy</t>
  </si>
  <si>
    <t>Pre-Merger PP&amp;L Firm Demand</t>
  </si>
  <si>
    <t>Pre-Merger UP&amp;L Firm Demand</t>
  </si>
  <si>
    <t>Post Merger Firm</t>
  </si>
  <si>
    <t>Total Sales for Resale</t>
  </si>
  <si>
    <t>Total Purchased Power</t>
  </si>
  <si>
    <t>Total Wheeling Expense</t>
  </si>
  <si>
    <t>Allocation Factor</t>
  </si>
  <si>
    <t xml:space="preserve">     Demand</t>
  </si>
  <si>
    <t xml:space="preserve">     Energy</t>
  </si>
  <si>
    <t xml:space="preserve">     Pre-Merger</t>
  </si>
  <si>
    <t xml:space="preserve">     Post-Merger</t>
  </si>
  <si>
    <t>Utah Inter-Jurisdictional Allocation Factors</t>
  </si>
  <si>
    <t>System Energy</t>
  </si>
  <si>
    <t>Utah Firm Retail Energy</t>
  </si>
  <si>
    <t>System Firm Retail Energy</t>
  </si>
  <si>
    <t>= Exhibit B, p. 1,  column (e)</t>
  </si>
  <si>
    <t>Utah Allocation Scalar</t>
  </si>
  <si>
    <t>= Exhibit B, p. 1,  column (f)</t>
  </si>
  <si>
    <t>= Exhibit B, p. 1,  column (g)</t>
  </si>
  <si>
    <t>= Exhibit B, p. 1,  column (d)</t>
  </si>
  <si>
    <t>= Exhibit B, p. 1,  column (c)</t>
  </si>
  <si>
    <t>= Exhibit B, p. 1,  column (a)</t>
  </si>
  <si>
    <t>= Exhibit B, p. 1,  cell AB32</t>
  </si>
  <si>
    <t>= Exhibit B, p. 1,  cell AB35</t>
  </si>
  <si>
    <t>= Exhibit B, p. 1,  column (k)</t>
  </si>
  <si>
    <t>System Firm</t>
  </si>
  <si>
    <t>System Non-Firm</t>
  </si>
  <si>
    <t>Total System Wheeling Revenue</t>
  </si>
  <si>
    <t>Utah Firm</t>
  </si>
  <si>
    <t>Utah Non-Firm</t>
  </si>
  <si>
    <t>Total Utah Wheeling Revenue</t>
  </si>
  <si>
    <t>= Exhibit B, p. 1,  column (l)</t>
  </si>
  <si>
    <t>Utah Wheeling Revenue / Utah Firm Retail Energy</t>
  </si>
  <si>
    <t>= Exhibit B, p. 1,  column (m)</t>
  </si>
  <si>
    <t>= Exhibit B, p. 1,  column (i) = column (j)</t>
  </si>
  <si>
    <t>= Exhibit B, p. 1,  column (o)</t>
  </si>
  <si>
    <t>Net Power Cost less Wheeling Revenue</t>
  </si>
  <si>
    <t>Total EBA Rates (NPC less Wheeling Revenue)</t>
  </si>
  <si>
    <t>NPC Stipulation</t>
  </si>
  <si>
    <t>Percent Change</t>
  </si>
  <si>
    <t>Total Utah Net Power Cost</t>
  </si>
  <si>
    <t>Utah-Allocated NPC</t>
  </si>
  <si>
    <t>Stipulated Utah Net Power Cost Reduction</t>
  </si>
  <si>
    <t>Stipulated System Net Power Cost</t>
  </si>
  <si>
    <t>Total System NPC</t>
  </si>
  <si>
    <t xml:space="preserve">Demand-Related System NPC </t>
  </si>
  <si>
    <t>Energy-Related System NPC</t>
  </si>
  <si>
    <t>Stipulated System NPC</t>
  </si>
  <si>
    <t>Stipulated Utah NPC</t>
  </si>
  <si>
    <t>McDougal</t>
  </si>
  <si>
    <t>Steve McDougal</t>
  </si>
  <si>
    <t>Rebuttal, June 30, 2011</t>
  </si>
  <si>
    <t>Exh. B, p. 209, col. (7)</t>
  </si>
  <si>
    <t>(annual only)</t>
  </si>
  <si>
    <t>Total Utah NPC (GRC)</t>
  </si>
  <si>
    <t>Utah NPC / Utah Energy (GRC)</t>
  </si>
  <si>
    <t>System NPC / System Energy</t>
  </si>
  <si>
    <t>Stipulated Utah NPC (EBA)</t>
  </si>
  <si>
    <t>SYSTEM RESULTS</t>
  </si>
  <si>
    <t>UTAH RESULTS</t>
  </si>
  <si>
    <t>Short-Term Firm</t>
  </si>
  <si>
    <t>Total Wheeling</t>
  </si>
  <si>
    <t>Wheeling &amp; Use of Facilities (Hui Shu - Oct 17, 2011):</t>
  </si>
  <si>
    <t>Total Ramp Loss</t>
  </si>
  <si>
    <t>West Valley</t>
  </si>
  <si>
    <t>Total Fuel Cost Net Allocation</t>
  </si>
  <si>
    <t>(post-merger)</t>
  </si>
  <si>
    <t>Mid-Columbia - applied to Douglas PUD Settlement, Mid-C Contracts excl. Canadian Entitlement</t>
  </si>
  <si>
    <t>Misc/Pacific - applied to Grant Co, PGE Cove</t>
  </si>
  <si>
    <t>QF by State PPL - applied to CA, OR, WA</t>
  </si>
  <si>
    <t>QF PPL Pre Merger - applied to Biomass</t>
  </si>
  <si>
    <t>QF by State UPL - applied to ID, UT, WY</t>
  </si>
  <si>
    <t>Annual Classification Factors (Hui Shu - Oct 17, 2011):</t>
  </si>
  <si>
    <t>Pacific Capacity - applied to Black Hills CTs (Hui Shu - Oct 17, 2011)</t>
  </si>
  <si>
    <t>Fuel Cost Net Allocation (Hui Shu - Oct 17, 2011):</t>
  </si>
  <si>
    <t>Disaagregated by</t>
  </si>
  <si>
    <t>Check, Rounded: Greg N. Duvall Rebuttal, Exhibit RMP__(GND-1R), p. 5</t>
  </si>
  <si>
    <t>Coal Fuel Burn Expense including Allocation of Ramp Loss</t>
  </si>
  <si>
    <t>Gas Fuel Burn Expense including Fuel Cost Net Allocation</t>
  </si>
  <si>
    <t>Differnce</t>
  </si>
  <si>
    <t>Check</t>
  </si>
  <si>
    <t>Hui Shu, EBA Tech Conference response, Oct 17, 2011</t>
  </si>
  <si>
    <t>QF UPL Pre Merger Energy</t>
  </si>
  <si>
    <t>QF PPL Pre Merger Energy</t>
  </si>
  <si>
    <t>QF UPL Pre Merger - applied to Sunnyside</t>
  </si>
  <si>
    <t>Rnd'd Check</t>
  </si>
  <si>
    <t xml:space="preserve">California  </t>
  </si>
  <si>
    <t xml:space="preserve">Oregon  </t>
  </si>
  <si>
    <t xml:space="preserve">Washington  </t>
  </si>
  <si>
    <t xml:space="preserve">Wyoming  </t>
  </si>
  <si>
    <t xml:space="preserve">Utah  </t>
  </si>
  <si>
    <t xml:space="preserve">Idaho  </t>
  </si>
  <si>
    <t xml:space="preserve">FERC   </t>
  </si>
  <si>
    <t>Contribution to Firm System Retail Peak (Mw).</t>
  </si>
  <si>
    <t>Contribution to Firm System Retail Energy (Mwh).</t>
  </si>
  <si>
    <t>Total System Retail Peak</t>
  </si>
  <si>
    <t>Total System Retail Energy</t>
  </si>
  <si>
    <t>Test Year</t>
  </si>
  <si>
    <t>--- End of NPC Study Results ---</t>
  </si>
  <si>
    <t>--- End of Load Information ---</t>
  </si>
  <si>
    <t>--- End of Translating Format ---</t>
  </si>
  <si>
    <t>--- End of NPC Study in IJA Format ---</t>
  </si>
  <si>
    <t>1.  SCENARIO RESULTS OF NPC STUDY; 10% increase in loads to the West Main, Greater Portland transmission area during Dec. 8-10, 2011; and using RMP'S REBUTTAL TESTIMONY, Greg N. Duvall Rebuttal, Exhibit RMP__(GND-1R).</t>
  </si>
  <si>
    <t>1.  FORECAST RESULTS OF NPC STUDY; RMP'S REBUTTAL TESTIMONY, Greg N. Duvall Rebuttal, Exhibit RMP__(GND-1R).</t>
  </si>
  <si>
    <t>3. SCENARIO NPC RESULTS IN INTER-JURISDICTIONAL ALLOCATION FORMAT</t>
  </si>
  <si>
    <t>3. FORECAST NPC RESULTS IN INTER-JURISDICTIONAL ALLOCATION FORMAT</t>
  </si>
  <si>
    <t>4.  JURISDICTIONAL LOAD FORECAST, from RMP's Rebuttal Testimony, Steve McDougal Rebuttal, Exhibit RMP_(SRM-2R), Tab 11, p. 11.16-17.</t>
  </si>
  <si>
    <t>Stipulation proportionately changes monthly Demand-related and Energy-related System NPC</t>
  </si>
  <si>
    <t>Base System NPC</t>
  </si>
  <si>
    <t>Actual System NPC</t>
  </si>
  <si>
    <t>System Generation (75% Coincident Peaks, 25% Energy)</t>
  </si>
  <si>
    <t>Stipulation proportionately changes monthly Demand-related and Energy-related Utah-allocated NPC</t>
  </si>
  <si>
    <t>5.  FORECAST NET POWER COST IN GENERAL RATES</t>
  </si>
  <si>
    <t>--- End of NPC in General Rates ---</t>
  </si>
  <si>
    <t>a. NET POWER COST</t>
  </si>
  <si>
    <t>b. WHEELING REVENUES</t>
  </si>
  <si>
    <t>c. TOTAL RATES</t>
  </si>
  <si>
    <t>System Wheeling Revenue</t>
  </si>
  <si>
    <t>Utah-Allocated Wheeling Revenue</t>
  </si>
  <si>
    <t>Stipulated NPC / Energy</t>
  </si>
  <si>
    <t>Actual Load</t>
  </si>
  <si>
    <t>Actual Unit Costs</t>
  </si>
  <si>
    <t>Base Unit Costs</t>
  </si>
  <si>
    <t>Difference in Unit Costs</t>
  </si>
  <si>
    <t>Actual:</t>
  </si>
  <si>
    <t>NPC / MWh</t>
  </si>
  <si>
    <t>less Wheeling Revenue / MWh</t>
  </si>
  <si>
    <t>Forecast Unit Costs</t>
  </si>
  <si>
    <t>Allocation of Ramp Loss (Hui Shu - Oct 17, 2011):</t>
  </si>
  <si>
    <t>= Exhibit B, p. 1,  column (n)</t>
  </si>
  <si>
    <t>= Exhibit B, p. 1,  column (h)</t>
  </si>
  <si>
    <t>Actual less Forecast Costs</t>
  </si>
  <si>
    <t>Actual less Base Costs</t>
  </si>
  <si>
    <t>Check, Scenario Study</t>
  </si>
  <si>
    <t>2.  TRANSLATING THE NPC STUDY FORMAT INTO THE INTER-JURISDICTIONAL ALLOCATION FORMAT, from Hui Shu, EBA Technical Conference response, October 17, 2011.</t>
  </si>
  <si>
    <t>2.  TRANSLATING THE NPC STUDY INTO THE INTER-JURISDICTIONAL ALLOCATION FORMAT, from Hui Shu, EBA Technical Conference response, October 17, 2011.</t>
  </si>
  <si>
    <t>Classification of some Purchase Contracts:</t>
  </si>
  <si>
    <t>4.  JURISDICTIONAL LOAD SCENARIO: 10% increase for 5 days in December for Oregon energy use; and using RMP's Rebuttal Testimony, Steve McDougal Rebuttal, Exhibit RMP_(SRM-2R), Tab 11, p. 11.16-17.</t>
  </si>
  <si>
    <t>Beginning Balance</t>
  </si>
  <si>
    <t>Incremental Deferral</t>
  </si>
  <si>
    <t>Interest</t>
  </si>
  <si>
    <t>Ending Balance ($)</t>
  </si>
  <si>
    <t>Interest Rate</t>
  </si>
  <si>
    <t>EBA Surcharge Rate</t>
  </si>
  <si>
    <t>Actual Utah Tariff Sales</t>
  </si>
  <si>
    <t>Recovery of Deferral</t>
  </si>
  <si>
    <t>Projected Annual Retail Sales</t>
  </si>
  <si>
    <t>RECOVERY OF DEFERRED BALANCES</t>
  </si>
  <si>
    <t>IN GENERAL RATES</t>
  </si>
  <si>
    <t>NET POWER COSTS &amp; WHEELING</t>
  </si>
  <si>
    <t>IN BALANCING ACCOUNT</t>
  </si>
  <si>
    <t>Deferred Balance (from prior periods)</t>
  </si>
  <si>
    <t>EBA Adjustment</t>
  </si>
  <si>
    <t>Forecast:</t>
  </si>
  <si>
    <t>Base:</t>
  </si>
  <si>
    <t>5.  ACTUAL SCENARIO NET POWER COST</t>
  </si>
  <si>
    <t>6.  BASE RATES IN ENERGY BALANCING ACCOUNT</t>
  </si>
  <si>
    <t>6.  ACTUAL RATES IN ENERGY BALANCING ACCOUNT</t>
  </si>
  <si>
    <t>End</t>
  </si>
  <si>
    <t>Increase in load for 5 days, Dec 12 -16 =</t>
  </si>
  <si>
    <t>Increase in peak load, at 6pm Dec 14 =</t>
  </si>
  <si>
    <t>Annual</t>
  </si>
  <si>
    <t>GRC: Actual - Forecast Costs</t>
  </si>
  <si>
    <t>(GRC: Ending Balance)</t>
  </si>
  <si>
    <t>EBA: Actual - Base Costs</t>
  </si>
  <si>
    <t>EBA: Ending Balance</t>
  </si>
  <si>
    <t>Fixed, Base</t>
  </si>
  <si>
    <t>Dynamic, Forecast</t>
  </si>
  <si>
    <t>1. Dynamic Factors &amp; Dynamic Scalar</t>
  </si>
  <si>
    <t>2. Dynamic Factors &amp; Fixed Scalar</t>
  </si>
  <si>
    <t>3. Fixed Factors &amp; Dynamic Scalar</t>
  </si>
  <si>
    <t>4. Fixed Factors &amp; Fixed Scalar</t>
  </si>
  <si>
    <t>Summary of Four Conditions</t>
  </si>
  <si>
    <t>Result ($)</t>
  </si>
  <si>
    <t>BALANCING ACCOUNT- Stipulation</t>
  </si>
  <si>
    <t>BALANCING ACCOUNT - GRC/March EBA Order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</si>
</sst>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0.000%"/>
    <numFmt numFmtId="176" formatCode="&quot;$&quot;#,##0.000_);\(&quot;$&quot;#,##0.000\)"/>
    <numFmt numFmtId="177" formatCode="#,##0.000_);\(#,##0.000\)"/>
    <numFmt numFmtId="178" formatCode="#,##0;\-#,##0;&quot;-&quot;"/>
    <numFmt numFmtId="179" formatCode="_(* #,##0.00_);[Red]_(* \(#,##0.00\);_(* &quot;-&quot;??_);_(@_)"/>
    <numFmt numFmtId="180" formatCode="mmmm\ d\,\ yyyy"/>
    <numFmt numFmtId="181" formatCode="########\-###\-###"/>
    <numFmt numFmtId="182" formatCode="_(* #,##0_);[Red]_(* \(#,##0\);_(* &quot;-&quot;_);_(@_)"/>
    <numFmt numFmtId="183" formatCode="#,##0.0_);\(#,##0.0\);\-\ ;"/>
    <numFmt numFmtId="184" formatCode="#,##0.0000"/>
    <numFmt numFmtId="185" formatCode="mmm\ dd\,\ yyyy"/>
    <numFmt numFmtId="186" formatCode="General_)"/>
    <numFmt numFmtId="187" formatCode="#,##0.000_);[Red]\(#,##0.000\)"/>
    <numFmt numFmtId="188" formatCode="&quot;$&quot;#,##0.000_);[Red]\(&quot;$&quot;#,##0.000\)"/>
    <numFmt numFmtId="189" formatCode="0.00000%"/>
    <numFmt numFmtId="190" formatCode="0.000000%"/>
    <numFmt numFmtId="191" formatCode="_(* #,##0.00000000_);_(* \(#,##0.00000000\);_(* &quot;-&quot;_);_(@_)"/>
    <numFmt numFmtId="192" formatCode="_(* #,##0.000_);_(* \(#,##0.000\);_(* &quot;-&quot;???_);_(@_)"/>
    <numFmt numFmtId="193" formatCode="\$#,##0_);[Red]\(\$#,##0\)"/>
    <numFmt numFmtId="194" formatCode="m/d/yy\ h:mm\ AM/PM"/>
    <numFmt numFmtId="195" formatCode="_(* #,##0_);_(* \(#,##0\);_(* &quot;-&quot;???_);_(@_)"/>
    <numFmt numFmtId="196" formatCode="_(* #,##0.0000_);_(* \(#,##0.0000\);_(* &quot;-&quot;_);_(@_)"/>
    <numFmt numFmtId="197" formatCode="#,##0.0_);[Red]\(#,##0.0\)"/>
    <numFmt numFmtId="198" formatCode="#,##0.0000_);[Red]\(#,##0.0000\)"/>
    <numFmt numFmtId="199" formatCode="#,##0.00000_);[Red]\(#,##0.00000\)"/>
    <numFmt numFmtId="200" formatCode="#,##0.000000_);[Red]\(#,##0.000000\)"/>
    <numFmt numFmtId="201" formatCode="#,##0.0000000_);[Red]\(#,##0.0000000\)"/>
    <numFmt numFmtId="202" formatCode="_(* #,##0.0_);_(* \(#,##0.0\);_(* &quot;-&quot;?_);_(@_)"/>
    <numFmt numFmtId="203" formatCode="#,##0.00000000_);[Red]\(#,##0.00000000\)"/>
    <numFmt numFmtId="204" formatCode="#,##0.000000000_);[Red]\(#,##0.000000000\)"/>
    <numFmt numFmtId="205" formatCode="_(* #,##0.00000000_);_(* \(#,##0.00000000\);_(* &quot;-&quot;????????_);_(@_)"/>
    <numFmt numFmtId="206" formatCode="&quot;$&quot;#,##0.0_);\(&quot;$&quot;#,##0.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10"/>
      <color indexed="24"/>
      <name val="Courier New"/>
      <family val="3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 val="single"/>
      <sz val="10"/>
      <color indexed="12"/>
      <name val="MS Sans Serif"/>
      <family val="2"/>
    </font>
    <font>
      <b/>
      <i/>
      <sz val="8"/>
      <color indexed="18"/>
      <name val="Helv"/>
      <family val="0"/>
    </font>
    <font>
      <sz val="12"/>
      <name val="Times New Roman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color indexed="8"/>
      <name val="Times New Roman"/>
      <family val="2"/>
    </font>
    <font>
      <sz val="10"/>
      <name val="MS Sans Serif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8"/>
      <color indexed="10"/>
      <name val="Arial"/>
      <family val="2"/>
    </font>
    <font>
      <sz val="10"/>
      <name val="LinePrinter"/>
      <family val="3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1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4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28" fillId="3" borderId="0" applyNumberFormat="0" applyBorder="0" applyAlignment="0" applyProtection="0"/>
    <xf numFmtId="0" fontId="73" fillId="4" borderId="0" applyNumberFormat="0" applyBorder="0" applyAlignment="0" applyProtection="0"/>
    <xf numFmtId="0" fontId="28" fillId="5" borderId="0" applyNumberFormat="0" applyBorder="0" applyAlignment="0" applyProtection="0"/>
    <xf numFmtId="0" fontId="73" fillId="6" borderId="0" applyNumberFormat="0" applyBorder="0" applyAlignment="0" applyProtection="0"/>
    <xf numFmtId="0" fontId="28" fillId="7" borderId="0" applyNumberFormat="0" applyBorder="0" applyAlignment="0" applyProtection="0"/>
    <xf numFmtId="0" fontId="73" fillId="8" borderId="0" applyNumberFormat="0" applyBorder="0" applyAlignment="0" applyProtection="0"/>
    <xf numFmtId="0" fontId="28" fillId="9" borderId="0" applyNumberFormat="0" applyBorder="0" applyAlignment="0" applyProtection="0"/>
    <xf numFmtId="0" fontId="73" fillId="10" borderId="0" applyNumberFormat="0" applyBorder="0" applyAlignment="0" applyProtection="0"/>
    <xf numFmtId="0" fontId="28" fillId="11" borderId="0" applyNumberFormat="0" applyBorder="0" applyAlignment="0" applyProtection="0"/>
    <xf numFmtId="0" fontId="73" fillId="12" borderId="0" applyNumberFormat="0" applyBorder="0" applyAlignment="0" applyProtection="0"/>
    <xf numFmtId="0" fontId="28" fillId="13" borderId="0" applyNumberFormat="0" applyBorder="0" applyAlignment="0" applyProtection="0"/>
    <xf numFmtId="0" fontId="73" fillId="14" borderId="0" applyNumberFormat="0" applyBorder="0" applyAlignment="0" applyProtection="0"/>
    <xf numFmtId="0" fontId="28" fillId="15" borderId="0" applyNumberFormat="0" applyBorder="0" applyAlignment="0" applyProtection="0"/>
    <xf numFmtId="0" fontId="73" fillId="16" borderId="0" applyNumberFormat="0" applyBorder="0" applyAlignment="0" applyProtection="0"/>
    <xf numFmtId="0" fontId="28" fillId="17" borderId="0" applyNumberFormat="0" applyBorder="0" applyAlignment="0" applyProtection="0"/>
    <xf numFmtId="0" fontId="73" fillId="18" borderId="0" applyNumberFormat="0" applyBorder="0" applyAlignment="0" applyProtection="0"/>
    <xf numFmtId="0" fontId="28" fillId="19" borderId="0" applyNumberFormat="0" applyBorder="0" applyAlignment="0" applyProtection="0"/>
    <xf numFmtId="0" fontId="73" fillId="20" borderId="0" applyNumberFormat="0" applyBorder="0" applyAlignment="0" applyProtection="0"/>
    <xf numFmtId="0" fontId="28" fillId="9" borderId="0" applyNumberFormat="0" applyBorder="0" applyAlignment="0" applyProtection="0"/>
    <xf numFmtId="0" fontId="73" fillId="21" borderId="0" applyNumberFormat="0" applyBorder="0" applyAlignment="0" applyProtection="0"/>
    <xf numFmtId="0" fontId="28" fillId="15" borderId="0" applyNumberFormat="0" applyBorder="0" applyAlignment="0" applyProtection="0"/>
    <xf numFmtId="0" fontId="73" fillId="22" borderId="0" applyNumberFormat="0" applyBorder="0" applyAlignment="0" applyProtection="0"/>
    <xf numFmtId="0" fontId="28" fillId="23" borderId="0" applyNumberFormat="0" applyBorder="0" applyAlignment="0" applyProtection="0"/>
    <xf numFmtId="0" fontId="74" fillId="24" borderId="0" applyNumberFormat="0" applyBorder="0" applyAlignment="0" applyProtection="0"/>
    <xf numFmtId="0" fontId="29" fillId="25" borderId="0" applyNumberFormat="0" applyBorder="0" applyAlignment="0" applyProtection="0"/>
    <xf numFmtId="0" fontId="74" fillId="26" borderId="0" applyNumberFormat="0" applyBorder="0" applyAlignment="0" applyProtection="0"/>
    <xf numFmtId="0" fontId="29" fillId="17" borderId="0" applyNumberFormat="0" applyBorder="0" applyAlignment="0" applyProtection="0"/>
    <xf numFmtId="0" fontId="74" fillId="27" borderId="0" applyNumberFormat="0" applyBorder="0" applyAlignment="0" applyProtection="0"/>
    <xf numFmtId="0" fontId="29" fillId="19" borderId="0" applyNumberFormat="0" applyBorder="0" applyAlignment="0" applyProtection="0"/>
    <xf numFmtId="0" fontId="74" fillId="28" borderId="0" applyNumberFormat="0" applyBorder="0" applyAlignment="0" applyProtection="0"/>
    <xf numFmtId="0" fontId="29" fillId="29" borderId="0" applyNumberFormat="0" applyBorder="0" applyAlignment="0" applyProtection="0"/>
    <xf numFmtId="0" fontId="74" fillId="30" borderId="0" applyNumberFormat="0" applyBorder="0" applyAlignment="0" applyProtection="0"/>
    <xf numFmtId="0" fontId="29" fillId="31" borderId="0" applyNumberFormat="0" applyBorder="0" applyAlignment="0" applyProtection="0"/>
    <xf numFmtId="0" fontId="74" fillId="32" borderId="0" applyNumberFormat="0" applyBorder="0" applyAlignment="0" applyProtection="0"/>
    <xf numFmtId="0" fontId="29" fillId="33" borderId="0" applyNumberFormat="0" applyBorder="0" applyAlignment="0" applyProtection="0"/>
    <xf numFmtId="0" fontId="74" fillId="34" borderId="0" applyNumberFormat="0" applyBorder="0" applyAlignment="0" applyProtection="0"/>
    <xf numFmtId="0" fontId="29" fillId="35" borderId="0" applyNumberFormat="0" applyBorder="0" applyAlignment="0" applyProtection="0"/>
    <xf numFmtId="0" fontId="74" fillId="36" borderId="0" applyNumberFormat="0" applyBorder="0" applyAlignment="0" applyProtection="0"/>
    <xf numFmtId="0" fontId="29" fillId="37" borderId="0" applyNumberFormat="0" applyBorder="0" applyAlignment="0" applyProtection="0"/>
    <xf numFmtId="0" fontId="74" fillId="38" borderId="0" applyNumberFormat="0" applyBorder="0" applyAlignment="0" applyProtection="0"/>
    <xf numFmtId="0" fontId="29" fillId="39" borderId="0" applyNumberFormat="0" applyBorder="0" applyAlignment="0" applyProtection="0"/>
    <xf numFmtId="0" fontId="74" fillId="40" borderId="0" applyNumberFormat="0" applyBorder="0" applyAlignment="0" applyProtection="0"/>
    <xf numFmtId="0" fontId="29" fillId="29" borderId="0" applyNumberFormat="0" applyBorder="0" applyAlignment="0" applyProtection="0"/>
    <xf numFmtId="0" fontId="74" fillId="41" borderId="0" applyNumberFormat="0" applyBorder="0" applyAlignment="0" applyProtection="0"/>
    <xf numFmtId="0" fontId="29" fillId="31" borderId="0" applyNumberFormat="0" applyBorder="0" applyAlignment="0" applyProtection="0"/>
    <xf numFmtId="0" fontId="74" fillId="42" borderId="0" applyNumberFormat="0" applyBorder="0" applyAlignment="0" applyProtection="0"/>
    <xf numFmtId="0" fontId="29" fillId="43" borderId="0" applyNumberFormat="0" applyBorder="0" applyAlignment="0" applyProtection="0"/>
    <xf numFmtId="0" fontId="75" fillId="44" borderId="0" applyNumberFormat="0" applyBorder="0" applyAlignment="0" applyProtection="0"/>
    <xf numFmtId="0" fontId="30" fillId="5" borderId="0" applyNumberFormat="0" applyBorder="0" applyAlignment="0" applyProtection="0"/>
    <xf numFmtId="178" fontId="20" fillId="0" borderId="0" applyFill="0" applyBorder="0" applyAlignment="0">
      <protection/>
    </xf>
    <xf numFmtId="0" fontId="76" fillId="45" borderId="1" applyNumberFormat="0" applyAlignment="0" applyProtection="0"/>
    <xf numFmtId="0" fontId="31" fillId="46" borderId="2" applyNumberFormat="0" applyAlignment="0" applyProtection="0"/>
    <xf numFmtId="0" fontId="77" fillId="47" borderId="3" applyNumberFormat="0" applyAlignment="0" applyProtection="0"/>
    <xf numFmtId="0" fontId="32" fillId="48" borderId="4" applyNumberFormat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" fontId="3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7" fontId="0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3" fillId="0" borderId="0" applyFont="0" applyFill="0" applyBorder="0" applyProtection="0">
      <alignment horizontal="right"/>
    </xf>
    <xf numFmtId="5" fontId="37" fillId="0" borderId="0">
      <alignment/>
      <protection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80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9" fillId="49" borderId="0" applyNumberFormat="0" applyBorder="0" applyAlignment="0" applyProtection="0"/>
    <xf numFmtId="0" fontId="40" fillId="7" borderId="0" applyNumberFormat="0" applyBorder="0" applyAlignment="0" applyProtection="0"/>
    <xf numFmtId="38" fontId="7" fillId="46" borderId="0" applyNumberFormat="0" applyBorder="0" applyAlignment="0" applyProtection="0"/>
    <xf numFmtId="38" fontId="7" fillId="46" borderId="0" applyNumberFormat="0" applyBorder="0" applyAlignment="0" applyProtection="0"/>
    <xf numFmtId="0" fontId="8" fillId="0" borderId="0">
      <alignment/>
      <protection/>
    </xf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27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>
      <alignment/>
      <protection locked="0"/>
    </xf>
    <xf numFmtId="175" fontId="0" fillId="0" borderId="0">
      <alignment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>
      <protection locked="0"/>
    </xf>
    <xf numFmtId="10" fontId="7" fillId="50" borderId="9" applyNumberFormat="0" applyBorder="0" applyAlignment="0" applyProtection="0"/>
    <xf numFmtId="10" fontId="7" fillId="50" borderId="9" applyNumberFormat="0" applyBorder="0" applyAlignment="0" applyProtection="0"/>
    <xf numFmtId="0" fontId="13" fillId="0" borderId="0" applyNumberFormat="0" applyFill="0" applyBorder="0" applyAlignment="0">
      <protection locked="0"/>
    </xf>
    <xf numFmtId="38" fontId="17" fillId="0" borderId="0">
      <alignment horizontal="left" wrapText="1"/>
      <protection/>
    </xf>
    <xf numFmtId="38" fontId="41" fillId="0" borderId="0">
      <alignment horizontal="left" wrapText="1"/>
      <protection/>
    </xf>
    <xf numFmtId="0" fontId="81" fillId="0" borderId="10" applyNumberFormat="0" applyFill="0" applyAlignment="0" applyProtection="0"/>
    <xf numFmtId="0" fontId="42" fillId="0" borderId="11" applyNumberFormat="0" applyFill="0" applyAlignment="0" applyProtection="0"/>
    <xf numFmtId="181" fontId="0" fillId="0" borderId="0">
      <alignment/>
      <protection/>
    </xf>
    <xf numFmtId="167" fontId="4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43" fillId="52" borderId="0" applyNumberFormat="0" applyBorder="0" applyAlignment="0" applyProtection="0"/>
    <xf numFmtId="164" fontId="44" fillId="0" borderId="0" applyFont="0" applyAlignment="0" applyProtection="0"/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171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7" fontId="37" fillId="0" borderId="0">
      <alignment/>
      <protection/>
    </xf>
    <xf numFmtId="3" fontId="7" fillId="0" borderId="0">
      <alignment/>
      <protection/>
    </xf>
    <xf numFmtId="41" fontId="2" fillId="0" borderId="0">
      <alignment/>
      <protection/>
    </xf>
    <xf numFmtId="0" fontId="0" fillId="53" borderId="13" applyNumberFormat="0" applyFont="0" applyAlignment="0" applyProtection="0"/>
    <xf numFmtId="0" fontId="0" fillId="50" borderId="14" applyNumberFormat="0" applyFont="0" applyAlignment="0" applyProtection="0"/>
    <xf numFmtId="0" fontId="28" fillId="50" borderId="14" applyNumberFormat="0" applyFont="0" applyAlignment="0" applyProtection="0"/>
    <xf numFmtId="183" fontId="14" fillId="0" borderId="0" applyFont="0" applyFill="0" applyBorder="0" applyProtection="0">
      <alignment/>
    </xf>
    <xf numFmtId="183" fontId="14" fillId="0" borderId="0" applyFont="0" applyFill="0" applyBorder="0" applyProtection="0">
      <alignment/>
    </xf>
    <xf numFmtId="0" fontId="83" fillId="45" borderId="15" applyNumberFormat="0" applyAlignment="0" applyProtection="0"/>
    <xf numFmtId="0" fontId="47" fillId="46" borderId="16" applyNumberFormat="0" applyAlignment="0" applyProtection="0"/>
    <xf numFmtId="40" fontId="20" fillId="54" borderId="0">
      <alignment horizontal="right"/>
      <protection/>
    </xf>
    <xf numFmtId="0" fontId="18" fillId="54" borderId="0">
      <alignment horizontal="left"/>
      <protection/>
    </xf>
    <xf numFmtId="12" fontId="9" fillId="48" borderId="17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>
      <alignment/>
      <protection/>
    </xf>
    <xf numFmtId="4" fontId="18" fillId="52" borderId="18" applyNumberFormat="0" applyProtection="0">
      <alignment vertical="center"/>
    </xf>
    <xf numFmtId="4" fontId="19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20" fillId="5" borderId="18" applyNumberFormat="0" applyProtection="0">
      <alignment horizontal="right" vertical="center"/>
    </xf>
    <xf numFmtId="4" fontId="20" fillId="17" borderId="18" applyNumberFormat="0" applyProtection="0">
      <alignment horizontal="right" vertical="center"/>
    </xf>
    <xf numFmtId="4" fontId="20" fillId="37" borderId="18" applyNumberFormat="0" applyProtection="0">
      <alignment horizontal="right" vertical="center"/>
    </xf>
    <xf numFmtId="4" fontId="20" fillId="23" borderId="18" applyNumberFormat="0" applyProtection="0">
      <alignment horizontal="right" vertical="center"/>
    </xf>
    <xf numFmtId="4" fontId="20" fillId="33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39" borderId="18" applyNumberFormat="0" applyProtection="0">
      <alignment horizontal="right" vertical="center"/>
    </xf>
    <xf numFmtId="4" fontId="20" fillId="56" borderId="18" applyNumberFormat="0" applyProtection="0">
      <alignment horizontal="right" vertical="center"/>
    </xf>
    <xf numFmtId="4" fontId="20" fillId="19" borderId="18" applyNumberFormat="0" applyProtection="0">
      <alignment horizontal="right" vertical="center"/>
    </xf>
    <xf numFmtId="4" fontId="18" fillId="57" borderId="19" applyNumberFormat="0" applyProtection="0">
      <alignment horizontal="left" vertical="center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0" fillId="55" borderId="18" applyNumberFormat="0" applyProtection="0">
      <alignment horizontal="right" vertical="center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4" fontId="20" fillId="50" borderId="18" applyNumberFormat="0" applyProtection="0">
      <alignment vertical="center"/>
    </xf>
    <xf numFmtId="4" fontId="24" fillId="50" borderId="18" applyNumberFormat="0" applyProtection="0">
      <alignment vertical="center"/>
    </xf>
    <xf numFmtId="4" fontId="20" fillId="50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top" indent="1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4" fillId="58" borderId="18" applyNumberFormat="0" applyProtection="0">
      <alignment horizontal="right" vertical="center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16" fillId="58" borderId="18" applyNumberFormat="0" applyProtection="0">
      <alignment horizontal="right" vertical="center"/>
    </xf>
    <xf numFmtId="37" fontId="49" fillId="63" borderId="0" applyNumberFormat="0" applyFont="0" applyBorder="0" applyAlignment="0" applyProtection="0"/>
    <xf numFmtId="184" fontId="0" fillId="0" borderId="20">
      <alignment horizontal="justify" vertical="top" wrapText="1"/>
      <protection/>
    </xf>
    <xf numFmtId="0" fontId="50" fillId="64" borderId="21">
      <alignment/>
      <protection/>
    </xf>
    <xf numFmtId="0" fontId="0" fillId="0" borderId="0">
      <alignment horizontal="left" wrapText="1"/>
      <protection/>
    </xf>
    <xf numFmtId="185" fontId="0" fillId="0" borderId="0" applyFill="0" applyBorder="0" applyAlignment="0" applyProtection="0"/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38" fontId="0" fillId="0" borderId="0">
      <alignment horizontal="left" wrapText="1"/>
      <protection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5" fillId="0" borderId="22" applyNumberFormat="0" applyFont="0" applyFill="0" applyAlignment="0" applyProtection="0"/>
    <xf numFmtId="0" fontId="5" fillId="0" borderId="22" applyNumberFormat="0" applyFont="0" applyFill="0" applyAlignment="0" applyProtection="0"/>
    <xf numFmtId="0" fontId="37" fillId="0" borderId="23">
      <alignment/>
      <protection/>
    </xf>
    <xf numFmtId="186" fontId="51" fillId="0" borderId="0">
      <alignment horizontal="left"/>
      <protection/>
    </xf>
    <xf numFmtId="0" fontId="37" fillId="0" borderId="24">
      <alignment/>
      <protection/>
    </xf>
    <xf numFmtId="38" fontId="20" fillId="0" borderId="25" applyFill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0" borderId="0">
      <alignment/>
      <protection/>
    </xf>
    <xf numFmtId="37" fontId="7" fillId="52" borderId="0" applyNumberFormat="0" applyBorder="0" applyAlignment="0" applyProtection="0"/>
    <xf numFmtId="3" fontId="15" fillId="65" borderId="26" applyProtection="0">
      <alignment/>
    </xf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03">
    <xf numFmtId="38" fontId="0" fillId="0" borderId="0" xfId="0" applyAlignment="1">
      <alignment/>
    </xf>
    <xf numFmtId="3" fontId="15" fillId="0" borderId="0" xfId="237" applyFont="1" applyBorder="1" applyAlignment="1">
      <alignment/>
      <protection/>
    </xf>
    <xf numFmtId="38" fontId="7" fillId="0" borderId="24" xfId="0" applyFont="1" applyBorder="1" applyAlignment="1">
      <alignment/>
    </xf>
    <xf numFmtId="38" fontId="7" fillId="0" borderId="0" xfId="0" applyFont="1" applyAlignment="1">
      <alignment/>
    </xf>
    <xf numFmtId="37" fontId="7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27" xfId="0" applyFont="1" applyBorder="1" applyAlignment="1">
      <alignment/>
    </xf>
    <xf numFmtId="38" fontId="7" fillId="0" borderId="0" xfId="0" applyFont="1" applyAlignment="1" quotePrefix="1">
      <alignment/>
    </xf>
    <xf numFmtId="38" fontId="4" fillId="0" borderId="28" xfId="0" applyFont="1" applyBorder="1" applyAlignment="1">
      <alignment/>
    </xf>
    <xf numFmtId="37" fontId="4" fillId="0" borderId="29" xfId="0" applyNumberFormat="1" applyFont="1" applyBorder="1" applyAlignment="1">
      <alignment/>
    </xf>
    <xf numFmtId="38" fontId="7" fillId="0" borderId="0" xfId="0" applyFont="1" applyAlignment="1">
      <alignment horizontal="center"/>
    </xf>
    <xf numFmtId="38" fontId="4" fillId="0" borderId="0" xfId="0" applyFont="1" applyAlignment="1">
      <alignment horizontal="center"/>
    </xf>
    <xf numFmtId="41" fontId="7" fillId="0" borderId="0" xfId="238" applyFont="1" applyAlignment="1">
      <alignment horizontal="center"/>
      <protection/>
    </xf>
    <xf numFmtId="38" fontId="7" fillId="0" borderId="24" xfId="0" applyFont="1" applyBorder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30" xfId="0" applyFont="1" applyBorder="1" applyAlignment="1">
      <alignment/>
    </xf>
    <xf numFmtId="37" fontId="7" fillId="0" borderId="31" xfId="0" applyNumberFormat="1" applyFont="1" applyBorder="1" applyAlignment="1">
      <alignment/>
    </xf>
    <xf numFmtId="38" fontId="7" fillId="0" borderId="32" xfId="0" applyFont="1" applyBorder="1" applyAlignment="1">
      <alignment horizontal="center"/>
    </xf>
    <xf numFmtId="38" fontId="7" fillId="0" borderId="32" xfId="0" applyFont="1" applyBorder="1" applyAlignment="1">
      <alignment/>
    </xf>
    <xf numFmtId="38" fontId="7" fillId="0" borderId="33" xfId="0" applyFont="1" applyBorder="1" applyAlignment="1">
      <alignment/>
    </xf>
    <xf numFmtId="37" fontId="7" fillId="0" borderId="34" xfId="0" applyNumberFormat="1" applyFont="1" applyBorder="1" applyAlignment="1">
      <alignment/>
    </xf>
    <xf numFmtId="38" fontId="4" fillId="0" borderId="35" xfId="0" applyFont="1" applyBorder="1" applyAlignment="1">
      <alignment horizontal="center"/>
    </xf>
    <xf numFmtId="38" fontId="7" fillId="0" borderId="35" xfId="0" applyFont="1" applyBorder="1" applyAlignment="1">
      <alignment horizontal="left"/>
    </xf>
    <xf numFmtId="38" fontId="4" fillId="0" borderId="0" xfId="0" applyFont="1" applyBorder="1" applyAlignment="1">
      <alignment horizontal="center"/>
    </xf>
    <xf numFmtId="38" fontId="7" fillId="0" borderId="0" xfId="0" applyFont="1" applyBorder="1" applyAlignment="1" quotePrefix="1">
      <alignment horizontal="left"/>
    </xf>
    <xf numFmtId="38" fontId="7" fillId="0" borderId="0" xfId="0" applyFont="1" applyBorder="1" applyAlignment="1">
      <alignment horizontal="left"/>
    </xf>
    <xf numFmtId="38" fontId="7" fillId="0" borderId="33" xfId="0" applyFont="1" applyBorder="1" applyAlignment="1">
      <alignment horizontal="left"/>
    </xf>
    <xf numFmtId="38" fontId="4" fillId="0" borderId="24" xfId="0" applyFont="1" applyBorder="1" applyAlignment="1">
      <alignment horizontal="center"/>
    </xf>
    <xf numFmtId="38" fontId="7" fillId="0" borderId="24" xfId="0" applyFont="1" applyBorder="1" applyAlignment="1" quotePrefix="1">
      <alignment horizontal="left"/>
    </xf>
    <xf numFmtId="38" fontId="7" fillId="0" borderId="0" xfId="0" applyFont="1" applyBorder="1" applyAlignment="1">
      <alignment horizontal="center"/>
    </xf>
    <xf numFmtId="38" fontId="7" fillId="0" borderId="35" xfId="0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/>
    </xf>
    <xf numFmtId="38" fontId="7" fillId="0" borderId="27" xfId="0" applyFont="1" applyBorder="1" applyAlignment="1">
      <alignment horizontal="center"/>
    </xf>
    <xf numFmtId="38" fontId="7" fillId="0" borderId="24" xfId="0" applyNumberFormat="1" applyFont="1" applyBorder="1" applyAlignment="1">
      <alignment horizontal="center"/>
    </xf>
    <xf numFmtId="38" fontId="7" fillId="0" borderId="28" xfId="0" applyFont="1" applyBorder="1" applyAlignment="1">
      <alignment horizontal="center"/>
    </xf>
    <xf numFmtId="37" fontId="7" fillId="0" borderId="37" xfId="0" applyNumberFormat="1" applyFont="1" applyBorder="1" applyAlignment="1">
      <alignment/>
    </xf>
    <xf numFmtId="38" fontId="7" fillId="0" borderId="29" xfId="0" applyFont="1" applyBorder="1" applyAlignment="1">
      <alignment/>
    </xf>
    <xf numFmtId="37" fontId="7" fillId="0" borderId="36" xfId="0" applyNumberFormat="1" applyFont="1" applyBorder="1" applyAlignment="1">
      <alignment/>
    </xf>
    <xf numFmtId="38" fontId="7" fillId="52" borderId="0" xfId="0" applyFont="1" applyFill="1" applyAlignment="1">
      <alignment/>
    </xf>
    <xf numFmtId="38" fontId="53" fillId="52" borderId="0" xfId="0" applyFont="1" applyFill="1" applyAlignment="1">
      <alignment/>
    </xf>
    <xf numFmtId="38" fontId="54" fillId="52" borderId="0" xfId="0" applyFont="1" applyFill="1" applyAlignment="1">
      <alignment horizontal="center"/>
    </xf>
    <xf numFmtId="38" fontId="54" fillId="52" borderId="0" xfId="0" applyFont="1" applyFill="1" applyAlignment="1">
      <alignment/>
    </xf>
    <xf numFmtId="37" fontId="54" fillId="52" borderId="0" xfId="0" applyNumberFormat="1" applyFont="1" applyFill="1" applyAlignment="1">
      <alignment/>
    </xf>
    <xf numFmtId="37" fontId="7" fillId="0" borderId="32" xfId="238" applyNumberFormat="1" applyFont="1" applyFill="1" applyBorder="1" applyAlignment="1">
      <alignment horizontal="left"/>
      <protection/>
    </xf>
    <xf numFmtId="37" fontId="7" fillId="0" borderId="33" xfId="238" applyNumberFormat="1" applyFont="1" applyFill="1" applyBorder="1" applyAlignment="1">
      <alignment horizontal="left"/>
      <protection/>
    </xf>
    <xf numFmtId="37" fontId="7" fillId="0" borderId="32" xfId="0" applyNumberFormat="1" applyFont="1" applyBorder="1" applyAlignment="1">
      <alignment/>
    </xf>
    <xf numFmtId="37" fontId="7" fillId="0" borderId="33" xfId="0" applyNumberFormat="1" applyFont="1" applyBorder="1" applyAlignment="1">
      <alignment/>
    </xf>
    <xf numFmtId="38" fontId="5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54" fillId="52" borderId="0" xfId="0" applyNumberFormat="1" applyFont="1" applyFill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 quotePrefix="1">
      <alignment horizontal="center"/>
    </xf>
    <xf numFmtId="41" fontId="7" fillId="0" borderId="37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15" fillId="0" borderId="32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37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15" fillId="0" borderId="4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41" fontId="7" fillId="0" borderId="21" xfId="0" applyNumberFormat="1" applyFont="1" applyBorder="1" applyAlignment="1" quotePrefix="1">
      <alignment/>
    </xf>
    <xf numFmtId="41" fontId="4" fillId="0" borderId="42" xfId="0" applyNumberFormat="1" applyFont="1" applyBorder="1" applyAlignment="1">
      <alignment/>
    </xf>
    <xf numFmtId="38" fontId="50" fillId="52" borderId="0" xfId="0" applyFont="1" applyFill="1" applyAlignment="1">
      <alignment/>
    </xf>
    <xf numFmtId="41" fontId="50" fillId="0" borderId="0" xfId="0" applyNumberFormat="1" applyFont="1" applyAlignment="1">
      <alignment/>
    </xf>
    <xf numFmtId="38" fontId="7" fillId="0" borderId="0" xfId="0" applyFont="1" applyAlignment="1">
      <alignment horizontal="left"/>
    </xf>
    <xf numFmtId="41" fontId="15" fillId="0" borderId="32" xfId="0" applyNumberFormat="1" applyFont="1" applyBorder="1" applyAlignment="1" quotePrefix="1">
      <alignment/>
    </xf>
    <xf numFmtId="41" fontId="15" fillId="0" borderId="33" xfId="0" applyNumberFormat="1" applyFont="1" applyBorder="1" applyAlignment="1" quotePrefix="1">
      <alignment/>
    </xf>
    <xf numFmtId="38" fontId="55" fillId="0" borderId="0" xfId="0" applyNumberFormat="1" applyFont="1" applyAlignment="1">
      <alignment horizontal="center"/>
    </xf>
    <xf numFmtId="41" fontId="50" fillId="0" borderId="32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37" fontId="7" fillId="0" borderId="43" xfId="0" applyNumberFormat="1" applyFont="1" applyBorder="1" applyAlignment="1">
      <alignment/>
    </xf>
    <xf numFmtId="10" fontId="15" fillId="0" borderId="21" xfId="0" applyNumberFormat="1" applyFont="1" applyBorder="1" applyAlignment="1">
      <alignment/>
    </xf>
    <xf numFmtId="38" fontId="7" fillId="0" borderId="32" xfId="0" applyFont="1" applyBorder="1" applyAlignment="1">
      <alignment horizontal="left"/>
    </xf>
    <xf numFmtId="38" fontId="4" fillId="0" borderId="30" xfId="0" applyFont="1" applyBorder="1" applyAlignment="1">
      <alignment horizontal="left"/>
    </xf>
    <xf numFmtId="38" fontId="4" fillId="0" borderId="32" xfId="0" applyFont="1" applyBorder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29" xfId="238" applyNumberFormat="1" applyFont="1" applyFill="1" applyBorder="1">
      <alignment/>
      <protection/>
    </xf>
    <xf numFmtId="38" fontId="4" fillId="0" borderId="27" xfId="0" applyFont="1" applyBorder="1" applyAlignment="1">
      <alignment horizontal="center"/>
    </xf>
    <xf numFmtId="37" fontId="7" fillId="0" borderId="29" xfId="0" applyNumberFormat="1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7" fillId="0" borderId="21" xfId="0" applyFont="1" applyBorder="1" applyAlignment="1">
      <alignment/>
    </xf>
    <xf numFmtId="37" fontId="15" fillId="0" borderId="21" xfId="0" applyNumberFormat="1" applyFont="1" applyBorder="1" applyAlignment="1">
      <alignment/>
    </xf>
    <xf numFmtId="37" fontId="7" fillId="0" borderId="41" xfId="0" applyNumberFormat="1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15" fillId="0" borderId="43" xfId="0" applyNumberFormat="1" applyFont="1" applyBorder="1" applyAlignment="1">
      <alignment/>
    </xf>
    <xf numFmtId="37" fontId="15" fillId="0" borderId="21" xfId="0" applyNumberFormat="1" applyFont="1" applyBorder="1" applyAlignment="1">
      <alignment/>
    </xf>
    <xf numFmtId="38" fontId="23" fillId="0" borderId="0" xfId="0" applyFont="1" applyAlignment="1">
      <alignment/>
    </xf>
    <xf numFmtId="37" fontId="7" fillId="0" borderId="24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55" fillId="0" borderId="32" xfId="237" applyNumberFormat="1" applyFont="1" applyBorder="1" applyAlignment="1">
      <alignment/>
      <protection/>
    </xf>
    <xf numFmtId="38" fontId="55" fillId="0" borderId="0" xfId="237" applyNumberFormat="1" applyFont="1" applyBorder="1" applyAlignment="1">
      <alignment/>
      <protection/>
    </xf>
    <xf numFmtId="38" fontId="55" fillId="0" borderId="0" xfId="237" applyNumberFormat="1" applyFont="1" applyBorder="1" applyAlignment="1" applyProtection="1">
      <alignment/>
      <protection locked="0"/>
    </xf>
    <xf numFmtId="38" fontId="55" fillId="0" borderId="0" xfId="0" applyNumberFormat="1" applyFont="1" applyBorder="1" applyAlignment="1">
      <alignment/>
    </xf>
    <xf numFmtId="38" fontId="23" fillId="0" borderId="27" xfId="0" applyFont="1" applyBorder="1" applyAlignment="1">
      <alignment/>
    </xf>
    <xf numFmtId="38" fontId="55" fillId="0" borderId="27" xfId="0" applyFont="1" applyBorder="1" applyAlignment="1">
      <alignment horizontal="center"/>
    </xf>
    <xf numFmtId="188" fontId="23" fillId="0" borderId="29" xfId="0" applyNumberFormat="1" applyFont="1" applyBorder="1" applyAlignment="1">
      <alignment/>
    </xf>
    <xf numFmtId="176" fontId="23" fillId="0" borderId="27" xfId="0" applyNumberFormat="1" applyFont="1" applyBorder="1" applyAlignment="1">
      <alignment/>
    </xf>
    <xf numFmtId="176" fontId="23" fillId="0" borderId="38" xfId="0" applyNumberFormat="1" applyFont="1" applyBorder="1" applyAlignment="1">
      <alignment/>
    </xf>
    <xf numFmtId="176" fontId="23" fillId="0" borderId="36" xfId="0" applyNumberFormat="1" applyFont="1" applyBorder="1" applyAlignment="1">
      <alignment horizontal="right"/>
    </xf>
    <xf numFmtId="38" fontId="55" fillId="0" borderId="30" xfId="0" applyFont="1" applyBorder="1" applyAlignment="1">
      <alignment/>
    </xf>
    <xf numFmtId="38" fontId="55" fillId="0" borderId="35" xfId="0" applyFont="1" applyBorder="1" applyAlignment="1">
      <alignment horizontal="center"/>
    </xf>
    <xf numFmtId="41" fontId="55" fillId="0" borderId="35" xfId="0" applyNumberFormat="1" applyFont="1" applyBorder="1" applyAlignment="1">
      <alignment/>
    </xf>
    <xf numFmtId="37" fontId="55" fillId="0" borderId="43" xfId="0" applyNumberFormat="1" applyFont="1" applyBorder="1" applyAlignment="1">
      <alignment/>
    </xf>
    <xf numFmtId="38" fontId="55" fillId="0" borderId="32" xfId="0" applyFont="1" applyBorder="1" applyAlignment="1">
      <alignment/>
    </xf>
    <xf numFmtId="38" fontId="55" fillId="0" borderId="0" xfId="0" applyFont="1" applyBorder="1" applyAlignment="1">
      <alignment horizontal="center"/>
    </xf>
    <xf numFmtId="41" fontId="55" fillId="0" borderId="0" xfId="0" applyNumberFormat="1" applyFont="1" applyBorder="1" applyAlignment="1">
      <alignment/>
    </xf>
    <xf numFmtId="37" fontId="55" fillId="0" borderId="41" xfId="0" applyNumberFormat="1" applyFont="1" applyBorder="1" applyAlignment="1">
      <alignment/>
    </xf>
    <xf numFmtId="37" fontId="50" fillId="0" borderId="0" xfId="0" applyNumberFormat="1" applyFont="1" applyAlignment="1">
      <alignment/>
    </xf>
    <xf numFmtId="38" fontId="23" fillId="0" borderId="0" xfId="0" applyFont="1" applyAlignment="1" quotePrefix="1">
      <alignment/>
    </xf>
    <xf numFmtId="38" fontId="15" fillId="0" borderId="0" xfId="0" applyFont="1" applyAlignment="1">
      <alignment/>
    </xf>
    <xf numFmtId="41" fontId="7" fillId="0" borderId="36" xfId="0" applyNumberFormat="1" applyFont="1" applyBorder="1" applyAlignment="1">
      <alignment/>
    </xf>
    <xf numFmtId="37" fontId="55" fillId="0" borderId="21" xfId="0" applyNumberFormat="1" applyFont="1" applyBorder="1" applyAlignment="1">
      <alignment/>
    </xf>
    <xf numFmtId="38" fontId="55" fillId="0" borderId="43" xfId="0" applyNumberFormat="1" applyFont="1" applyBorder="1" applyAlignment="1">
      <alignment/>
    </xf>
    <xf numFmtId="38" fontId="55" fillId="0" borderId="21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38" fontId="7" fillId="0" borderId="0" xfId="0" applyFont="1" applyBorder="1" applyAlignment="1">
      <alignment/>
    </xf>
    <xf numFmtId="38" fontId="7" fillId="37" borderId="0" xfId="0" applyFont="1" applyFill="1" applyAlignment="1">
      <alignment horizontal="center"/>
    </xf>
    <xf numFmtId="41" fontId="7" fillId="37" borderId="0" xfId="0" applyNumberFormat="1" applyFont="1" applyFill="1" applyAlignment="1">
      <alignment/>
    </xf>
    <xf numFmtId="37" fontId="7" fillId="37" borderId="0" xfId="0" applyNumberFormat="1" applyFont="1" applyFill="1" applyAlignment="1">
      <alignment/>
    </xf>
    <xf numFmtId="38" fontId="56" fillId="37" borderId="0" xfId="0" applyFont="1" applyFill="1" applyAlignment="1">
      <alignment/>
    </xf>
    <xf numFmtId="166" fontId="55" fillId="0" borderId="41" xfId="251" applyNumberFormat="1" applyFont="1" applyBorder="1" applyAlignment="1">
      <alignment/>
    </xf>
    <xf numFmtId="176" fontId="55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6" fontId="55" fillId="0" borderId="0" xfId="251" applyNumberFormat="1" applyFont="1" applyBorder="1" applyAlignment="1">
      <alignment/>
    </xf>
    <xf numFmtId="38" fontId="15" fillId="0" borderId="30" xfId="0" applyFont="1" applyBorder="1" applyAlignment="1">
      <alignment/>
    </xf>
    <xf numFmtId="38" fontId="7" fillId="0" borderId="0" xfId="71" applyNumberFormat="1" applyFont="1" applyAlignment="1">
      <alignment/>
    </xf>
    <xf numFmtId="38" fontId="50" fillId="0" borderId="0" xfId="0" applyNumberFormat="1" applyFont="1" applyAlignment="1">
      <alignment horizontal="center"/>
    </xf>
    <xf numFmtId="38" fontId="7" fillId="0" borderId="44" xfId="0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50" fillId="0" borderId="0" xfId="0" applyFont="1" applyAlignment="1">
      <alignment horizontal="center"/>
    </xf>
    <xf numFmtId="38" fontId="55" fillId="0" borderId="27" xfId="0" applyFont="1" applyBorder="1" applyAlignment="1">
      <alignment/>
    </xf>
    <xf numFmtId="188" fontId="55" fillId="0" borderId="29" xfId="0" applyNumberFormat="1" applyFont="1" applyBorder="1" applyAlignment="1">
      <alignment/>
    </xf>
    <xf numFmtId="176" fontId="55" fillId="0" borderId="27" xfId="0" applyNumberFormat="1" applyFont="1" applyBorder="1" applyAlignment="1">
      <alignment/>
    </xf>
    <xf numFmtId="176" fontId="55" fillId="0" borderId="38" xfId="0" applyNumberFormat="1" applyFont="1" applyBorder="1" applyAlignment="1">
      <alignment/>
    </xf>
    <xf numFmtId="176" fontId="55" fillId="0" borderId="36" xfId="0" applyNumberFormat="1" applyFont="1" applyBorder="1" applyAlignment="1">
      <alignment horizontal="right"/>
    </xf>
    <xf numFmtId="166" fontId="55" fillId="0" borderId="36" xfId="251" applyNumberFormat="1" applyFont="1" applyBorder="1" applyAlignment="1">
      <alignment/>
    </xf>
    <xf numFmtId="191" fontId="7" fillId="0" borderId="0" xfId="0" applyNumberFormat="1" applyFont="1" applyAlignment="1">
      <alignment/>
    </xf>
    <xf numFmtId="41" fontId="55" fillId="0" borderId="21" xfId="0" applyNumberFormat="1" applyFont="1" applyBorder="1" applyAlignment="1">
      <alignment/>
    </xf>
    <xf numFmtId="41" fontId="55" fillId="0" borderId="41" xfId="0" applyNumberFormat="1" applyFont="1" applyBorder="1" applyAlignment="1">
      <alignment/>
    </xf>
    <xf numFmtId="41" fontId="55" fillId="0" borderId="21" xfId="0" applyNumberFormat="1" applyFont="1" applyBorder="1" applyAlignment="1">
      <alignment horizontal="right"/>
    </xf>
    <xf numFmtId="41" fontId="15" fillId="0" borderId="35" xfId="0" applyNumberFormat="1" applyFont="1" applyBorder="1" applyAlignment="1">
      <alignment/>
    </xf>
    <xf numFmtId="37" fontId="55" fillId="0" borderId="36" xfId="0" applyNumberFormat="1" applyFont="1" applyBorder="1" applyAlignment="1">
      <alignment/>
    </xf>
    <xf numFmtId="41" fontId="55" fillId="0" borderId="27" xfId="0" applyNumberFormat="1" applyFont="1" applyBorder="1" applyAlignment="1">
      <alignment/>
    </xf>
    <xf numFmtId="37" fontId="55" fillId="0" borderId="37" xfId="0" applyNumberFormat="1" applyFont="1" applyBorder="1" applyAlignment="1">
      <alignment/>
    </xf>
    <xf numFmtId="189" fontId="55" fillId="0" borderId="21" xfId="0" applyNumberFormat="1" applyFont="1" applyBorder="1" applyAlignment="1">
      <alignment/>
    </xf>
    <xf numFmtId="189" fontId="57" fillId="0" borderId="21" xfId="0" applyNumberFormat="1" applyFont="1" applyBorder="1" applyAlignment="1">
      <alignment/>
    </xf>
    <xf numFmtId="165" fontId="57" fillId="0" borderId="21" xfId="0" applyNumberFormat="1" applyFont="1" applyBorder="1" applyAlignment="1">
      <alignment/>
    </xf>
    <xf numFmtId="165" fontId="55" fillId="0" borderId="21" xfId="0" applyNumberFormat="1" applyFont="1" applyBorder="1" applyAlignment="1">
      <alignment/>
    </xf>
    <xf numFmtId="189" fontId="55" fillId="0" borderId="41" xfId="0" applyNumberFormat="1" applyFont="1" applyBorder="1" applyAlignment="1">
      <alignment/>
    </xf>
    <xf numFmtId="190" fontId="57" fillId="0" borderId="21" xfId="0" applyNumberFormat="1" applyFont="1" applyBorder="1" applyAlignment="1">
      <alignment/>
    </xf>
    <xf numFmtId="174" fontId="7" fillId="0" borderId="32" xfId="0" applyNumberFormat="1" applyFont="1" applyBorder="1" applyAlignment="1">
      <alignment/>
    </xf>
    <xf numFmtId="41" fontId="55" fillId="0" borderId="32" xfId="0" applyNumberFormat="1" applyFont="1" applyBorder="1" applyAlignment="1">
      <alignment/>
    </xf>
    <xf numFmtId="41" fontId="55" fillId="0" borderId="37" xfId="0" applyNumberFormat="1" applyFont="1" applyBorder="1" applyAlignment="1">
      <alignment/>
    </xf>
    <xf numFmtId="41" fontId="55" fillId="0" borderId="33" xfId="0" applyNumberFormat="1" applyFont="1" applyBorder="1" applyAlignment="1">
      <alignment/>
    </xf>
    <xf numFmtId="41" fontId="55" fillId="0" borderId="24" xfId="0" applyNumberFormat="1" applyFont="1" applyBorder="1" applyAlignment="1">
      <alignment/>
    </xf>
    <xf numFmtId="41" fontId="55" fillId="0" borderId="34" xfId="0" applyNumberFormat="1" applyFont="1" applyBorder="1" applyAlignment="1">
      <alignment/>
    </xf>
    <xf numFmtId="41" fontId="55" fillId="0" borderId="30" xfId="0" applyNumberFormat="1" applyFont="1" applyBorder="1" applyAlignment="1">
      <alignment/>
    </xf>
    <xf numFmtId="41" fontId="55" fillId="0" borderId="31" xfId="0" applyNumberFormat="1" applyFont="1" applyBorder="1" applyAlignment="1">
      <alignment/>
    </xf>
    <xf numFmtId="41" fontId="55" fillId="0" borderId="43" xfId="0" applyNumberFormat="1" applyFont="1" applyBorder="1" applyAlignment="1">
      <alignment/>
    </xf>
    <xf numFmtId="38" fontId="50" fillId="0" borderId="0" xfId="0" applyFont="1" applyBorder="1" applyAlignment="1">
      <alignment/>
    </xf>
    <xf numFmtId="41" fontId="7" fillId="0" borderId="33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55" fillId="0" borderId="30" xfId="0" applyNumberFormat="1" applyFont="1" applyBorder="1" applyAlignment="1" quotePrefix="1">
      <alignment/>
    </xf>
    <xf numFmtId="41" fontId="55" fillId="0" borderId="33" xfId="0" applyNumberFormat="1" applyFont="1" applyBorder="1" applyAlignment="1" quotePrefix="1">
      <alignment/>
    </xf>
    <xf numFmtId="41" fontId="7" fillId="0" borderId="29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192" fontId="50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50" fillId="0" borderId="0" xfId="0" applyNumberFormat="1" applyFont="1" applyBorder="1" applyAlignment="1">
      <alignment/>
    </xf>
    <xf numFmtId="174" fontId="7" fillId="0" borderId="24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15" fillId="0" borderId="0" xfId="0" applyNumberFormat="1" applyFont="1" applyBorder="1" applyAlignment="1">
      <alignment/>
    </xf>
    <xf numFmtId="41" fontId="15" fillId="0" borderId="30" xfId="0" applyNumberFormat="1" applyFont="1" applyBorder="1" applyAlignment="1">
      <alignment/>
    </xf>
    <xf numFmtId="41" fontId="15" fillId="0" borderId="31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174" fontId="15" fillId="0" borderId="24" xfId="0" applyNumberFormat="1" applyFont="1" applyBorder="1" applyAlignment="1">
      <alignment/>
    </xf>
    <xf numFmtId="38" fontId="7" fillId="0" borderId="30" xfId="0" applyFont="1" applyBorder="1" applyAlignment="1">
      <alignment horizontal="left"/>
    </xf>
    <xf numFmtId="38" fontId="7" fillId="0" borderId="29" xfId="0" applyFont="1" applyBorder="1" applyAlignment="1">
      <alignment horizontal="left"/>
    </xf>
    <xf numFmtId="174" fontId="50" fillId="0" borderId="27" xfId="0" applyNumberFormat="1" applyFont="1" applyBorder="1" applyAlignment="1">
      <alignment/>
    </xf>
    <xf numFmtId="177" fontId="50" fillId="0" borderId="36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38" fontId="55" fillId="0" borderId="0" xfId="0" applyFont="1" applyAlignment="1">
      <alignment/>
    </xf>
    <xf numFmtId="38" fontId="7" fillId="0" borderId="0" xfId="0" applyFont="1" applyAlignment="1">
      <alignment horizontal="right"/>
    </xf>
    <xf numFmtId="41" fontId="50" fillId="0" borderId="45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41" fontId="50" fillId="0" borderId="46" xfId="0" applyNumberFormat="1" applyFont="1" applyBorder="1" applyAlignment="1">
      <alignment/>
    </xf>
    <xf numFmtId="43" fontId="50" fillId="0" borderId="44" xfId="0" applyNumberFormat="1" applyFont="1" applyBorder="1" applyAlignment="1">
      <alignment/>
    </xf>
    <xf numFmtId="43" fontId="50" fillId="0" borderId="45" xfId="0" applyNumberFormat="1" applyFont="1" applyBorder="1" applyAlignment="1">
      <alignment/>
    </xf>
    <xf numFmtId="43" fontId="50" fillId="0" borderId="46" xfId="0" applyNumberFormat="1" applyFont="1" applyBorder="1" applyAlignment="1">
      <alignment/>
    </xf>
    <xf numFmtId="164" fontId="50" fillId="0" borderId="44" xfId="0" applyNumberFormat="1" applyFont="1" applyBorder="1" applyAlignment="1">
      <alignment/>
    </xf>
    <xf numFmtId="164" fontId="50" fillId="0" borderId="45" xfId="0" applyNumberFormat="1" applyFont="1" applyBorder="1" applyAlignment="1">
      <alignment/>
    </xf>
    <xf numFmtId="177" fontId="50" fillId="0" borderId="0" xfId="0" applyNumberFormat="1" applyFont="1" applyBorder="1" applyAlignment="1">
      <alignment/>
    </xf>
    <xf numFmtId="38" fontId="7" fillId="52" borderId="0" xfId="0" applyFont="1" applyFill="1" applyAlignment="1">
      <alignment horizontal="center"/>
    </xf>
    <xf numFmtId="41" fontId="7" fillId="52" borderId="0" xfId="0" applyNumberFormat="1" applyFont="1" applyFill="1" applyAlignment="1">
      <alignment/>
    </xf>
    <xf numFmtId="38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1" fontId="58" fillId="0" borderId="27" xfId="0" applyNumberFormat="1" applyFont="1" applyBorder="1" applyAlignment="1" quotePrefix="1">
      <alignment horizontal="center"/>
    </xf>
    <xf numFmtId="41" fontId="55" fillId="0" borderId="29" xfId="237" applyNumberFormat="1" applyFont="1" applyBorder="1" applyAlignment="1">
      <alignment/>
      <protection/>
    </xf>
    <xf numFmtId="41" fontId="55" fillId="0" borderId="27" xfId="237" applyNumberFormat="1" applyFont="1" applyBorder="1" applyAlignment="1">
      <alignment/>
      <protection/>
    </xf>
    <xf numFmtId="41" fontId="55" fillId="0" borderId="36" xfId="237" applyNumberFormat="1" applyFont="1" applyBorder="1" applyAlignment="1">
      <alignment/>
      <protection/>
    </xf>
    <xf numFmtId="38" fontId="7" fillId="0" borderId="38" xfId="0" applyFont="1" applyBorder="1" applyAlignment="1">
      <alignment horizontal="center"/>
    </xf>
    <xf numFmtId="3" fontId="4" fillId="0" borderId="24" xfId="237" applyFont="1" applyBorder="1" applyAlignment="1">
      <alignment/>
      <protection/>
    </xf>
    <xf numFmtId="194" fontId="7" fillId="0" borderId="0" xfId="0" applyNumberFormat="1" applyFont="1" applyBorder="1" applyAlignment="1">
      <alignment horizontal="center"/>
    </xf>
    <xf numFmtId="38" fontId="7" fillId="0" borderId="0" xfId="0" applyFont="1" applyAlignment="1" quotePrefix="1">
      <alignment horizontal="center"/>
    </xf>
    <xf numFmtId="38" fontId="7" fillId="0" borderId="0" xfId="0" applyFont="1" applyAlignment="1" quotePrefix="1">
      <alignment horizontal="left"/>
    </xf>
    <xf numFmtId="41" fontId="7" fillId="0" borderId="0" xfId="0" applyNumberFormat="1" applyFont="1" applyBorder="1" applyAlignment="1">
      <alignment horizontal="center"/>
    </xf>
    <xf numFmtId="38" fontId="50" fillId="0" borderId="0" xfId="0" applyFont="1" applyAlignment="1">
      <alignment horizontal="left"/>
    </xf>
    <xf numFmtId="41" fontId="58" fillId="0" borderId="0" xfId="0" applyNumberFormat="1" applyFont="1" applyBorder="1" applyAlignment="1" quotePrefix="1">
      <alignment horizontal="center"/>
    </xf>
    <xf numFmtId="38" fontId="7" fillId="0" borderId="35" xfId="0" applyFont="1" applyBorder="1" applyAlignment="1">
      <alignment/>
    </xf>
    <xf numFmtId="38" fontId="7" fillId="0" borderId="31" xfId="0" applyFont="1" applyBorder="1" applyAlignment="1">
      <alignment horizontal="center"/>
    </xf>
    <xf numFmtId="38" fontId="7" fillId="0" borderId="34" xfId="0" applyFont="1" applyBorder="1" applyAlignment="1">
      <alignment horizontal="center"/>
    </xf>
    <xf numFmtId="10" fontId="7" fillId="0" borderId="0" xfId="251" applyNumberFormat="1" applyFont="1" applyAlignment="1">
      <alignment/>
    </xf>
    <xf numFmtId="195" fontId="50" fillId="0" borderId="0" xfId="0" applyNumberFormat="1" applyFont="1" applyAlignment="1">
      <alignment/>
    </xf>
    <xf numFmtId="166" fontId="23" fillId="0" borderId="41" xfId="251" applyNumberFormat="1" applyFont="1" applyBorder="1" applyAlignment="1">
      <alignment/>
    </xf>
    <xf numFmtId="41" fontId="50" fillId="0" borderId="44" xfId="0" applyNumberFormat="1" applyFont="1" applyBorder="1" applyAlignment="1">
      <alignment/>
    </xf>
    <xf numFmtId="41" fontId="50" fillId="0" borderId="0" xfId="0" applyNumberFormat="1" applyFont="1" applyAlignment="1">
      <alignment horizontal="center"/>
    </xf>
    <xf numFmtId="37" fontId="58" fillId="0" borderId="43" xfId="0" applyNumberFormat="1" applyFont="1" applyBorder="1" applyAlignment="1">
      <alignment/>
    </xf>
    <xf numFmtId="166" fontId="58" fillId="0" borderId="41" xfId="251" applyNumberFormat="1" applyFont="1" applyBorder="1" applyAlignment="1">
      <alignment/>
    </xf>
    <xf numFmtId="37" fontId="57" fillId="0" borderId="43" xfId="0" applyNumberFormat="1" applyFont="1" applyBorder="1" applyAlignment="1">
      <alignment/>
    </xf>
    <xf numFmtId="166" fontId="55" fillId="0" borderId="41" xfId="0" applyNumberFormat="1" applyFont="1" applyBorder="1" applyAlignment="1">
      <alignment horizontal="center"/>
    </xf>
    <xf numFmtId="166" fontId="55" fillId="0" borderId="43" xfId="0" applyNumberFormat="1" applyFont="1" applyBorder="1" applyAlignment="1">
      <alignment horizontal="center"/>
    </xf>
    <xf numFmtId="166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166" fontId="50" fillId="0" borderId="0" xfId="251" applyNumberFormat="1" applyFont="1" applyAlignment="1">
      <alignment horizontal="center"/>
    </xf>
    <xf numFmtId="38" fontId="4" fillId="0" borderId="29" xfId="0" applyFont="1" applyBorder="1" applyAlignment="1">
      <alignment/>
    </xf>
    <xf numFmtId="38" fontId="23" fillId="0" borderId="27" xfId="0" applyFont="1" applyBorder="1" applyAlignment="1">
      <alignment horizontal="center"/>
    </xf>
    <xf numFmtId="38" fontId="7" fillId="0" borderId="0" xfId="0" applyFont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58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37" fontId="7" fillId="0" borderId="36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38" fontId="7" fillId="0" borderId="24" xfId="0" applyFont="1" applyBorder="1" applyAlignment="1">
      <alignment/>
    </xf>
    <xf numFmtId="38" fontId="4" fillId="52" borderId="0" xfId="0" applyFont="1" applyFill="1" applyBorder="1" applyAlignment="1">
      <alignment/>
    </xf>
    <xf numFmtId="38" fontId="56" fillId="37" borderId="0" xfId="0" applyFont="1" applyFill="1" applyAlignment="1">
      <alignment horizontal="center"/>
    </xf>
    <xf numFmtId="191" fontId="23" fillId="0" borderId="0" xfId="0" applyNumberFormat="1" applyFont="1" applyAlignment="1">
      <alignment/>
    </xf>
    <xf numFmtId="176" fontId="7" fillId="0" borderId="47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41" fontId="50" fillId="0" borderId="0" xfId="0" applyNumberFormat="1" applyFont="1" applyBorder="1" applyAlignment="1">
      <alignment horizontal="right"/>
    </xf>
    <xf numFmtId="37" fontId="58" fillId="0" borderId="0" xfId="0" applyNumberFormat="1" applyFont="1" applyBorder="1" applyAlignment="1">
      <alignment/>
    </xf>
    <xf numFmtId="5" fontId="4" fillId="52" borderId="27" xfId="0" applyNumberFormat="1" applyFont="1" applyFill="1" applyBorder="1" applyAlignment="1">
      <alignment/>
    </xf>
    <xf numFmtId="5" fontId="4" fillId="52" borderId="0" xfId="0" applyNumberFormat="1" applyFont="1" applyFill="1" applyAlignment="1">
      <alignment/>
    </xf>
    <xf numFmtId="5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7" fillId="52" borderId="0" xfId="251" applyNumberFormat="1" applyFont="1" applyFill="1" applyAlignment="1">
      <alignment horizontal="center"/>
    </xf>
    <xf numFmtId="5" fontId="7" fillId="52" borderId="0" xfId="0" applyNumberFormat="1" applyFont="1" applyFill="1" applyAlignment="1">
      <alignment/>
    </xf>
    <xf numFmtId="5" fontId="7" fillId="0" borderId="27" xfId="0" applyNumberFormat="1" applyFont="1" applyBorder="1" applyAlignment="1">
      <alignment/>
    </xf>
    <xf numFmtId="5" fontId="4" fillId="0" borderId="2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 quotePrefix="1">
      <alignment/>
    </xf>
    <xf numFmtId="38" fontId="7" fillId="0" borderId="27" xfId="0" applyFont="1" applyBorder="1" applyAlignment="1">
      <alignment/>
    </xf>
    <xf numFmtId="38" fontId="4" fillId="52" borderId="27" xfId="0" applyFont="1" applyFill="1" applyBorder="1" applyAlignment="1">
      <alignment/>
    </xf>
    <xf numFmtId="10" fontId="7" fillId="0" borderId="0" xfId="251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right"/>
    </xf>
    <xf numFmtId="174" fontId="58" fillId="0" borderId="0" xfId="0" applyNumberFormat="1" applyFont="1" applyFill="1" applyBorder="1" applyAlignment="1">
      <alignment horizontal="center"/>
    </xf>
    <xf numFmtId="187" fontId="7" fillId="0" borderId="0" xfId="0" applyNumberFormat="1" applyFont="1" applyAlignment="1">
      <alignment/>
    </xf>
    <xf numFmtId="173" fontId="7" fillId="0" borderId="32" xfId="0" applyNumberFormat="1" applyFont="1" applyBorder="1" applyAlignment="1">
      <alignment/>
    </xf>
    <xf numFmtId="173" fontId="7" fillId="0" borderId="37" xfId="0" applyNumberFormat="1" applyFont="1" applyBorder="1" applyAlignment="1">
      <alignment/>
    </xf>
    <xf numFmtId="41" fontId="50" fillId="0" borderId="37" xfId="0" applyNumberFormat="1" applyFont="1" applyBorder="1" applyAlignment="1">
      <alignment/>
    </xf>
    <xf numFmtId="200" fontId="50" fillId="0" borderId="0" xfId="0" applyNumberFormat="1" applyFont="1" applyAlignment="1">
      <alignment/>
    </xf>
    <xf numFmtId="201" fontId="50" fillId="0" borderId="0" xfId="0" applyNumberFormat="1" applyFont="1" applyAlignment="1">
      <alignment/>
    </xf>
    <xf numFmtId="166" fontId="7" fillId="0" borderId="0" xfId="251" applyNumberFormat="1" applyFont="1" applyAlignment="1">
      <alignment/>
    </xf>
    <xf numFmtId="41" fontId="58" fillId="0" borderId="0" xfId="0" applyNumberFormat="1" applyFont="1" applyFill="1" applyBorder="1" applyAlignment="1">
      <alignment horizontal="center"/>
    </xf>
    <xf numFmtId="203" fontId="7" fillId="0" borderId="0" xfId="0" applyNumberFormat="1" applyFont="1" applyAlignment="1">
      <alignment/>
    </xf>
    <xf numFmtId="205" fontId="50" fillId="0" borderId="0" xfId="0" applyNumberFormat="1" applyFont="1" applyAlignment="1" quotePrefix="1">
      <alignment/>
    </xf>
    <xf numFmtId="38" fontId="0" fillId="0" borderId="0" xfId="0" applyFont="1" applyAlignment="1">
      <alignment/>
    </xf>
    <xf numFmtId="38" fontId="1" fillId="0" borderId="0" xfId="0" applyFont="1" applyAlignment="1">
      <alignment/>
    </xf>
    <xf numFmtId="38" fontId="20" fillId="0" borderId="0" xfId="0" applyFont="1" applyAlignment="1">
      <alignment/>
    </xf>
    <xf numFmtId="38" fontId="0" fillId="0" borderId="0" xfId="0" applyFont="1" applyAlignment="1">
      <alignment/>
    </xf>
    <xf numFmtId="38" fontId="18" fillId="0" borderId="0" xfId="0" applyFont="1" applyAlignment="1">
      <alignment/>
    </xf>
    <xf numFmtId="38" fontId="1" fillId="0" borderId="0" xfId="0" applyFont="1" applyAlignment="1">
      <alignment horizontal="center"/>
    </xf>
  </cellXfs>
  <cellStyles count="431">
    <cellStyle name="Normal" xfId="0"/>
    <cellStyle name="ColLevel_0" xfId="2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ulation" xfId="66"/>
    <cellStyle name="Calculation 2" xfId="67"/>
    <cellStyle name="Check Cell" xfId="68"/>
    <cellStyle name="Check Cell 2" xfId="69"/>
    <cellStyle name="Column total in dollars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(0)" xfId="80"/>
    <cellStyle name="Comma [0]" xfId="81"/>
    <cellStyle name="Comma [0] 2" xfId="82"/>
    <cellStyle name="Comma 10" xfId="83"/>
    <cellStyle name="Comma 10 2" xfId="84"/>
    <cellStyle name="Comma 11" xfId="85"/>
    <cellStyle name="Comma 12" xfId="86"/>
    <cellStyle name="Comma 13" xfId="87"/>
    <cellStyle name="Comma 2" xfId="88"/>
    <cellStyle name="Comma 2 10" xfId="89"/>
    <cellStyle name="Comma 2 2" xfId="90"/>
    <cellStyle name="Comma 2 2 2" xfId="91"/>
    <cellStyle name="Comma 2 2 2 2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3" xfId="100"/>
    <cellStyle name="Comma 3 2" xfId="101"/>
    <cellStyle name="Comma 3 3" xfId="102"/>
    <cellStyle name="Comma 4" xfId="103"/>
    <cellStyle name="Comma 4 2" xfId="104"/>
    <cellStyle name="Comma 4 3" xfId="105"/>
    <cellStyle name="Comma 4 3 2" xfId="106"/>
    <cellStyle name="Comma 5" xfId="107"/>
    <cellStyle name="Comma 5 2" xfId="108"/>
    <cellStyle name="Comma 6" xfId="109"/>
    <cellStyle name="Comma 6 2" xfId="110"/>
    <cellStyle name="Comma 6 3" xfId="111"/>
    <cellStyle name="Comma 7" xfId="112"/>
    <cellStyle name="Comma 7 2" xfId="113"/>
    <cellStyle name="Comma 7 2 2" xfId="114"/>
    <cellStyle name="Comma 8" xfId="115"/>
    <cellStyle name="Comma 9" xfId="116"/>
    <cellStyle name="Comma0" xfId="117"/>
    <cellStyle name="Comma0 - Style1" xfId="118"/>
    <cellStyle name="Comma0 - Style2" xfId="119"/>
    <cellStyle name="Comma0 - Style3" xfId="120"/>
    <cellStyle name="Comma0 - Style4" xfId="121"/>
    <cellStyle name="Comma0_1st Qtr 2009 Global Insight Factors" xfId="122"/>
    <cellStyle name="Comma1 - Style1" xfId="123"/>
    <cellStyle name="Curren - Style2" xfId="124"/>
    <cellStyle name="Curren - Style3" xfId="125"/>
    <cellStyle name="Currency" xfId="126"/>
    <cellStyle name="Currency [0]" xfId="127"/>
    <cellStyle name="Currency 2" xfId="128"/>
    <cellStyle name="Currency 2 2" xfId="129"/>
    <cellStyle name="Currency 2 2 2" xfId="130"/>
    <cellStyle name="Currency 2 3" xfId="131"/>
    <cellStyle name="Currency 3" xfId="132"/>
    <cellStyle name="Currency 3 2" xfId="133"/>
    <cellStyle name="Currency 4" xfId="134"/>
    <cellStyle name="Currency 5" xfId="135"/>
    <cellStyle name="Currency 6" xfId="136"/>
    <cellStyle name="Currency 7" xfId="137"/>
    <cellStyle name="Currency No Comma" xfId="138"/>
    <cellStyle name="Currency(0)" xfId="139"/>
    <cellStyle name="Currency0" xfId="140"/>
    <cellStyle name="Date" xfId="141"/>
    <cellStyle name="Date - Style1" xfId="142"/>
    <cellStyle name="Date - Style3" xfId="143"/>
    <cellStyle name="Date_1st Qtr 2009 Global Insight Factors" xfId="144"/>
    <cellStyle name="Explanatory Text" xfId="145"/>
    <cellStyle name="Explanatory Text 2" xfId="146"/>
    <cellStyle name="Fixed" xfId="147"/>
    <cellStyle name="Fixed2 - Style2" xfId="148"/>
    <cellStyle name="Followed Hyperlink" xfId="149"/>
    <cellStyle name="General" xfId="150"/>
    <cellStyle name="Good" xfId="151"/>
    <cellStyle name="Good 2" xfId="152"/>
    <cellStyle name="Grey" xfId="153"/>
    <cellStyle name="Grey 2" xfId="154"/>
    <cellStyle name="header" xfId="155"/>
    <cellStyle name="Header1" xfId="156"/>
    <cellStyle name="Header2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eading1" xfId="166"/>
    <cellStyle name="Heading2" xfId="167"/>
    <cellStyle name="Hyperlink" xfId="168"/>
    <cellStyle name="Input" xfId="169"/>
    <cellStyle name="Input [yellow]" xfId="170"/>
    <cellStyle name="Input [yellow] 2" xfId="171"/>
    <cellStyle name="Input 2" xfId="172"/>
    <cellStyle name="Inst. Sections" xfId="173"/>
    <cellStyle name="Inst. Subheading" xfId="174"/>
    <cellStyle name="Linked Cell" xfId="175"/>
    <cellStyle name="Linked Cell 2" xfId="176"/>
    <cellStyle name="Marathon" xfId="177"/>
    <cellStyle name="MCP" xfId="178"/>
    <cellStyle name="Neutral" xfId="179"/>
    <cellStyle name="Neutral 2" xfId="180"/>
    <cellStyle name="nONE" xfId="181"/>
    <cellStyle name="noninput" xfId="182"/>
    <cellStyle name="noninput 2" xfId="183"/>
    <cellStyle name="noninput 3" xfId="184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- Style6" xfId="190"/>
    <cellStyle name="Normal - Style7" xfId="191"/>
    <cellStyle name="Normal - Style8" xfId="192"/>
    <cellStyle name="Normal 10" xfId="193"/>
    <cellStyle name="Normal 10 2" xfId="194"/>
    <cellStyle name="Normal 10_UAE Surr. Exhibit RR 1.1SR, p.1" xfId="195"/>
    <cellStyle name="Normal 11" xfId="196"/>
    <cellStyle name="Normal 12" xfId="197"/>
    <cellStyle name="Normal 13" xfId="198"/>
    <cellStyle name="Normal 14" xfId="199"/>
    <cellStyle name="Normal 15" xfId="200"/>
    <cellStyle name="Normal 16" xfId="201"/>
    <cellStyle name="Normal 18" xfId="202"/>
    <cellStyle name="Normal 19" xfId="203"/>
    <cellStyle name="Normal 2" xfId="204"/>
    <cellStyle name="Normal 2 10" xfId="205"/>
    <cellStyle name="Normal 2 11" xfId="206"/>
    <cellStyle name="Normal 2 2" xfId="207"/>
    <cellStyle name="Normal 2 2 2" xfId="208"/>
    <cellStyle name="Normal 2 3" xfId="209"/>
    <cellStyle name="Normal 2 3 2" xfId="210"/>
    <cellStyle name="Normal 2 4" xfId="211"/>
    <cellStyle name="Normal 2 5" xfId="212"/>
    <cellStyle name="Normal 2 6" xfId="213"/>
    <cellStyle name="Normal 2 7" xfId="214"/>
    <cellStyle name="Normal 2 8" xfId="215"/>
    <cellStyle name="Normal 2 9" xfId="216"/>
    <cellStyle name="Normal 22" xfId="217"/>
    <cellStyle name="Normal 3" xfId="218"/>
    <cellStyle name="Normal 3 2" xfId="219"/>
    <cellStyle name="Normal 3 3" xfId="220"/>
    <cellStyle name="Normal 4" xfId="221"/>
    <cellStyle name="Normal 4 2" xfId="222"/>
    <cellStyle name="Normal 5" xfId="223"/>
    <cellStyle name="Normal 5 2" xfId="224"/>
    <cellStyle name="Normal 6" xfId="225"/>
    <cellStyle name="Normal 6 2" xfId="226"/>
    <cellStyle name="Normal 6 3" xfId="227"/>
    <cellStyle name="Normal 6 4" xfId="228"/>
    <cellStyle name="Normal 6 4 2" xfId="229"/>
    <cellStyle name="Normal 6 4_UAE Surr. Exhibit RR 1.1SR, p.1" xfId="230"/>
    <cellStyle name="Normal 7" xfId="231"/>
    <cellStyle name="Normal 7 2" xfId="232"/>
    <cellStyle name="Normal 8" xfId="233"/>
    <cellStyle name="Normal 8 2" xfId="234"/>
    <cellStyle name="Normal 9" xfId="235"/>
    <cellStyle name="Normal(0)" xfId="236"/>
    <cellStyle name="Normal_IJA Model" xfId="237"/>
    <cellStyle name="Normal_UT GRC - Allocation - CY 2008 _2008 02 20" xfId="238"/>
    <cellStyle name="Note" xfId="239"/>
    <cellStyle name="Note 2" xfId="240"/>
    <cellStyle name="Note 3" xfId="241"/>
    <cellStyle name="Number" xfId="242"/>
    <cellStyle name="Number 2" xfId="243"/>
    <cellStyle name="Output" xfId="244"/>
    <cellStyle name="Output 2" xfId="245"/>
    <cellStyle name="Output Amounts" xfId="246"/>
    <cellStyle name="Output Line Items" xfId="247"/>
    <cellStyle name="Password" xfId="248"/>
    <cellStyle name="Percen - Style1" xfId="249"/>
    <cellStyle name="Percen - Style2" xfId="250"/>
    <cellStyle name="Percent" xfId="251"/>
    <cellStyle name="Percent [2]" xfId="252"/>
    <cellStyle name="Percent 11" xfId="253"/>
    <cellStyle name="Percent 2" xfId="254"/>
    <cellStyle name="Percent 2 2" xfId="255"/>
    <cellStyle name="Percent 2 2 2" xfId="256"/>
    <cellStyle name="Percent 2 3" xfId="257"/>
    <cellStyle name="Percent 3" xfId="258"/>
    <cellStyle name="Percent 3 2" xfId="259"/>
    <cellStyle name="Percent 3 3" xfId="260"/>
    <cellStyle name="Percent 3 4" xfId="261"/>
    <cellStyle name="Percent 3 5" xfId="262"/>
    <cellStyle name="Percent 3 6" xfId="263"/>
    <cellStyle name="Percent 3 7" xfId="264"/>
    <cellStyle name="Percent 3 8" xfId="265"/>
    <cellStyle name="Percent 3 9" xfId="266"/>
    <cellStyle name="Percent 4" xfId="267"/>
    <cellStyle name="Percent 4 2" xfId="268"/>
    <cellStyle name="Percent 5" xfId="269"/>
    <cellStyle name="Percent 5 2" xfId="270"/>
    <cellStyle name="Percent 6" xfId="271"/>
    <cellStyle name="Percent 6 2" xfId="272"/>
    <cellStyle name="Percent 6 3" xfId="273"/>
    <cellStyle name="Percent 7" xfId="274"/>
    <cellStyle name="Percent(0)" xfId="275"/>
    <cellStyle name="SAPBEXaggData" xfId="276"/>
    <cellStyle name="SAPBEXaggDataEmph" xfId="277"/>
    <cellStyle name="SAPBEXaggItem" xfId="278"/>
    <cellStyle name="SAPBEXaggItem 2" xfId="279"/>
    <cellStyle name="SAPBEXaggItem 3" xfId="280"/>
    <cellStyle name="SAPBEXaggItem 4" xfId="281"/>
    <cellStyle name="SAPBEXaggItem 5" xfId="282"/>
    <cellStyle name="SAPBEXaggItem 6" xfId="283"/>
    <cellStyle name="SAPBEXaggItem_Copy of xSAPtemp5457" xfId="284"/>
    <cellStyle name="SAPBEXaggItemX" xfId="285"/>
    <cellStyle name="SAPBEXchaText" xfId="286"/>
    <cellStyle name="SAPBEXchaText 2" xfId="287"/>
    <cellStyle name="SAPBEXchaText 3" xfId="288"/>
    <cellStyle name="SAPBEXchaText 4" xfId="289"/>
    <cellStyle name="SAPBEXchaText 5" xfId="290"/>
    <cellStyle name="SAPBEXchaText 6" xfId="291"/>
    <cellStyle name="SAPBEXchaText_Copy of xSAPtemp5457" xfId="292"/>
    <cellStyle name="SAPBEXexcBad7" xfId="293"/>
    <cellStyle name="SAPBEXexcBad8" xfId="294"/>
    <cellStyle name="SAPBEXexcBad9" xfId="295"/>
    <cellStyle name="SAPBEXexcCritical4" xfId="296"/>
    <cellStyle name="SAPBEXexcCritical5" xfId="297"/>
    <cellStyle name="SAPBEXexcCritical6" xfId="298"/>
    <cellStyle name="SAPBEXexcGood1" xfId="299"/>
    <cellStyle name="SAPBEXexcGood2" xfId="300"/>
    <cellStyle name="SAPBEXexcGood3" xfId="301"/>
    <cellStyle name="SAPBEXfilterDrill" xfId="302"/>
    <cellStyle name="SAPBEXfilterItem" xfId="303"/>
    <cellStyle name="SAPBEXfilterItem 2" xfId="304"/>
    <cellStyle name="SAPBEXfilterItem 3" xfId="305"/>
    <cellStyle name="SAPBEXfilterItem 4" xfId="306"/>
    <cellStyle name="SAPBEXfilterItem 5" xfId="307"/>
    <cellStyle name="SAPBEXfilterItem 6" xfId="308"/>
    <cellStyle name="SAPBEXfilterItem_Copy of xSAPtemp5457" xfId="309"/>
    <cellStyle name="SAPBEXfilterText" xfId="310"/>
    <cellStyle name="SAPBEXfilterText 2" xfId="311"/>
    <cellStyle name="SAPBEXfilterText 3" xfId="312"/>
    <cellStyle name="SAPBEXfilterText 4" xfId="313"/>
    <cellStyle name="SAPBEXfilterText 5" xfId="314"/>
    <cellStyle name="SAPBEXformats" xfId="315"/>
    <cellStyle name="SAPBEXheaderItem" xfId="316"/>
    <cellStyle name="SAPBEXheaderItem 2" xfId="317"/>
    <cellStyle name="SAPBEXheaderItem 3" xfId="318"/>
    <cellStyle name="SAPBEXheaderItem 4" xfId="319"/>
    <cellStyle name="SAPBEXheaderItem 5" xfId="320"/>
    <cellStyle name="SAPBEXheaderItem 6" xfId="321"/>
    <cellStyle name="SAPBEXheaderItem 7" xfId="322"/>
    <cellStyle name="SAPBEXheaderItem_Copy of xSAPtemp5457" xfId="323"/>
    <cellStyle name="SAPBEXheaderText" xfId="324"/>
    <cellStyle name="SAPBEXheaderText 2" xfId="325"/>
    <cellStyle name="SAPBEXheaderText 3" xfId="326"/>
    <cellStyle name="SAPBEXheaderText 4" xfId="327"/>
    <cellStyle name="SAPBEXheaderText 5" xfId="328"/>
    <cellStyle name="SAPBEXheaderText 6" xfId="329"/>
    <cellStyle name="SAPBEXheaderText 7" xfId="330"/>
    <cellStyle name="SAPBEXheaderText_Copy of xSAPtemp5457" xfId="331"/>
    <cellStyle name="SAPBEXHLevel0" xfId="332"/>
    <cellStyle name="SAPBEXHLevel0 2" xfId="333"/>
    <cellStyle name="SAPBEXHLevel0 3" xfId="334"/>
    <cellStyle name="SAPBEXHLevel0 4" xfId="335"/>
    <cellStyle name="SAPBEXHLevel0 5" xfId="336"/>
    <cellStyle name="SAPBEXHLevel0_Sheet1" xfId="337"/>
    <cellStyle name="SAPBEXHLevel0X" xfId="338"/>
    <cellStyle name="SAPBEXHLevel0X 2" xfId="339"/>
    <cellStyle name="SAPBEXHLevel0X 3" xfId="340"/>
    <cellStyle name="SAPBEXHLevel0X 4" xfId="341"/>
    <cellStyle name="SAPBEXHLevel0X 5" xfId="342"/>
    <cellStyle name="SAPBEXHLevel0X_Sheet1" xfId="343"/>
    <cellStyle name="SAPBEXHLevel1" xfId="344"/>
    <cellStyle name="SAPBEXHLevel1 2" xfId="345"/>
    <cellStyle name="SAPBEXHLevel1 3" xfId="346"/>
    <cellStyle name="SAPBEXHLevel1 4" xfId="347"/>
    <cellStyle name="SAPBEXHLevel1 5" xfId="348"/>
    <cellStyle name="SAPBEXHLevel1_Sheet1" xfId="349"/>
    <cellStyle name="SAPBEXHLevel1X" xfId="350"/>
    <cellStyle name="SAPBEXHLevel1X 2" xfId="351"/>
    <cellStyle name="SAPBEXHLevel1X 3" xfId="352"/>
    <cellStyle name="SAPBEXHLevel1X 4" xfId="353"/>
    <cellStyle name="SAPBEXHLevel1X 5" xfId="354"/>
    <cellStyle name="SAPBEXHLevel1X_Sheet1" xfId="355"/>
    <cellStyle name="SAPBEXHLevel2" xfId="356"/>
    <cellStyle name="SAPBEXHLevel2 2" xfId="357"/>
    <cellStyle name="SAPBEXHLevel2 3" xfId="358"/>
    <cellStyle name="SAPBEXHLevel2 4" xfId="359"/>
    <cellStyle name="SAPBEXHLevel2 5" xfId="360"/>
    <cellStyle name="SAPBEXHLevel2_Sheet1" xfId="361"/>
    <cellStyle name="SAPBEXHLevel2X" xfId="362"/>
    <cellStyle name="SAPBEXHLevel2X 2" xfId="363"/>
    <cellStyle name="SAPBEXHLevel2X 3" xfId="364"/>
    <cellStyle name="SAPBEXHLevel2X 4" xfId="365"/>
    <cellStyle name="SAPBEXHLevel2X 5" xfId="366"/>
    <cellStyle name="SAPBEXHLevel2X_Sheet1" xfId="367"/>
    <cellStyle name="SAPBEXHLevel3" xfId="368"/>
    <cellStyle name="SAPBEXHLevel3 2" xfId="369"/>
    <cellStyle name="SAPBEXHLevel3 3" xfId="370"/>
    <cellStyle name="SAPBEXHLevel3 4" xfId="371"/>
    <cellStyle name="SAPBEXHLevel3 5" xfId="372"/>
    <cellStyle name="SAPBEXHLevel3_Sheet1" xfId="373"/>
    <cellStyle name="SAPBEXHLevel3X" xfId="374"/>
    <cellStyle name="SAPBEXHLevel3X 2" xfId="375"/>
    <cellStyle name="SAPBEXHLevel3X 3" xfId="376"/>
    <cellStyle name="SAPBEXHLevel3X 4" xfId="377"/>
    <cellStyle name="SAPBEXHLevel3X 5" xfId="378"/>
    <cellStyle name="SAPBEXHLevel3X_Sheet1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 2" xfId="385"/>
    <cellStyle name="SAPBEXstdData 3" xfId="386"/>
    <cellStyle name="SAPBEXstdData 4" xfId="387"/>
    <cellStyle name="SAPBEXstdData 5" xfId="388"/>
    <cellStyle name="SAPBEXstdData 6" xfId="389"/>
    <cellStyle name="SAPBEXstdData_Copy of xSAPtemp5457" xfId="390"/>
    <cellStyle name="SAPBEXstdDataEmph" xfId="391"/>
    <cellStyle name="SAPBEXstdItem" xfId="392"/>
    <cellStyle name="SAPBEXstdItem 2" xfId="393"/>
    <cellStyle name="SAPBEXstdItem 3" xfId="394"/>
    <cellStyle name="SAPBEXstdItem 4" xfId="395"/>
    <cellStyle name="SAPBEXstdItem 5" xfId="396"/>
    <cellStyle name="SAPBEXstdItem 6" xfId="397"/>
    <cellStyle name="SAPBEXstdItem_Copy of xSAPtemp5457" xfId="398"/>
    <cellStyle name="SAPBEXstdItemX" xfId="399"/>
    <cellStyle name="SAPBEXstdItemX 2" xfId="400"/>
    <cellStyle name="SAPBEXstdItemX 3" xfId="401"/>
    <cellStyle name="SAPBEXstdItemX 4" xfId="402"/>
    <cellStyle name="SAPBEXstdItemX 5" xfId="403"/>
    <cellStyle name="SAPBEXstdItemX 6" xfId="404"/>
    <cellStyle name="SAPBEXstdItemX_Copy of xSAPtemp5457" xfId="405"/>
    <cellStyle name="SAPBEXtitle" xfId="406"/>
    <cellStyle name="SAPBEXtitle 2" xfId="407"/>
    <cellStyle name="SAPBEXtitle 3" xfId="408"/>
    <cellStyle name="SAPBEXtitle 4" xfId="409"/>
    <cellStyle name="SAPBEXtitle 5" xfId="410"/>
    <cellStyle name="SAPBEXtitle 6" xfId="411"/>
    <cellStyle name="SAPBEXtitle 7" xfId="412"/>
    <cellStyle name="SAPBEXtitle_Copy of xSAPtemp5457" xfId="413"/>
    <cellStyle name="SAPBEXundefined" xfId="414"/>
    <cellStyle name="Shade" xfId="415"/>
    <cellStyle name="Special" xfId="416"/>
    <cellStyle name="STYL1 - Style1" xfId="417"/>
    <cellStyle name="Style 1" xfId="418"/>
    <cellStyle name="Style 27" xfId="419"/>
    <cellStyle name="Style 35" xfId="420"/>
    <cellStyle name="Style 35 2" xfId="421"/>
    <cellStyle name="Style 36" xfId="422"/>
    <cellStyle name="Style 36 2" xfId="423"/>
    <cellStyle name="Text" xfId="424"/>
    <cellStyle name="Title" xfId="425"/>
    <cellStyle name="Title 2" xfId="426"/>
    <cellStyle name="Titles" xfId="427"/>
    <cellStyle name="Titles 2" xfId="428"/>
    <cellStyle name="Titles_Rebuttal NPC Study - v6 - Aug 13, 2011" xfId="429"/>
    <cellStyle name="Total" xfId="430"/>
    <cellStyle name="Total 2" xfId="431"/>
    <cellStyle name="Total2 - Style2" xfId="432"/>
    <cellStyle name="TRANSMISSION RELIABILITY PORTION OF PROJECT" xfId="433"/>
    <cellStyle name="Underl - Style4" xfId="434"/>
    <cellStyle name="UNLocked" xfId="435"/>
    <cellStyle name="Unprot" xfId="436"/>
    <cellStyle name="Unprot 2" xfId="437"/>
    <cellStyle name="Unprot 3" xfId="438"/>
    <cellStyle name="Unprot$" xfId="439"/>
    <cellStyle name="Unprot_Book4 (11) (2)" xfId="440"/>
    <cellStyle name="Unprotect" xfId="441"/>
    <cellStyle name="Warning Text" xfId="442"/>
    <cellStyle name="Warning Text 2" xfId="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Forecasts of Net Power Costs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5"/>
          <c:w val="0.9535"/>
          <c:h val="0.81075"/>
        </c:manualLayout>
      </c:layout>
      <c:lineChart>
        <c:grouping val="standard"/>
        <c:varyColors val="0"/>
        <c:ser>
          <c:idx val="0"/>
          <c:order val="0"/>
          <c:tx>
            <c:v>Actual less Forecast in GRC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EBA!$C$4:$N$4</c:f>
              <c:strCache>
                <c:ptCount val="12"/>
                <c:pt idx="0">
                  <c:v>Jul 11</c:v>
                </c:pt>
                <c:pt idx="1">
                  <c:v>Aug 11</c:v>
                </c:pt>
                <c:pt idx="2">
                  <c:v>Sep 11</c:v>
                </c:pt>
                <c:pt idx="3">
                  <c:v>Oct 11</c:v>
                </c:pt>
                <c:pt idx="4">
                  <c:v>Nov 11</c:v>
                </c:pt>
                <c:pt idx="5">
                  <c:v>Dec 11</c:v>
                </c:pt>
                <c:pt idx="6">
                  <c:v>Jan 12</c:v>
                </c:pt>
                <c:pt idx="7">
                  <c:v>Feb 12</c:v>
                </c:pt>
                <c:pt idx="8">
                  <c:v>Mar 12</c:v>
                </c:pt>
                <c:pt idx="9">
                  <c:v>Apr 12</c:v>
                </c:pt>
                <c:pt idx="10">
                  <c:v>May 12</c:v>
                </c:pt>
                <c:pt idx="11">
                  <c:v>Jun 12</c:v>
                </c:pt>
              </c:strCache>
            </c:strRef>
          </c:cat>
          <c:val>
            <c:numRef>
              <c:f>EBA!$C$18:$N$18</c:f>
              <c:numCache>
                <c:ptCount val="12"/>
                <c:pt idx="0">
                  <c:v>-42071.11254462874</c:v>
                </c:pt>
                <c:pt idx="1">
                  <c:v>-39396.243753123075</c:v>
                </c:pt>
                <c:pt idx="2">
                  <c:v>-23497.037362739848</c:v>
                </c:pt>
                <c:pt idx="3">
                  <c:v>-16933.168432540835</c:v>
                </c:pt>
                <c:pt idx="4">
                  <c:v>-15148.118952001907</c:v>
                </c:pt>
                <c:pt idx="5">
                  <c:v>448701.6816867473</c:v>
                </c:pt>
                <c:pt idx="6">
                  <c:v>-28515.00843776123</c:v>
                </c:pt>
                <c:pt idx="7">
                  <c:v>-29582.697723793048</c:v>
                </c:pt>
                <c:pt idx="8">
                  <c:v>-33251.831448399294</c:v>
                </c:pt>
                <c:pt idx="9">
                  <c:v>-41046.28241682777</c:v>
                </c:pt>
                <c:pt idx="10">
                  <c:v>-41281.14501948608</c:v>
                </c:pt>
                <c:pt idx="11">
                  <c:v>-35771.740788829535</c:v>
                </c:pt>
              </c:numCache>
            </c:numRef>
          </c:val>
          <c:smooth val="0"/>
        </c:ser>
        <c:ser>
          <c:idx val="1"/>
          <c:order val="1"/>
          <c:tx>
            <c:v>Actual less Base in EBA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EBA!$C$36:$N$36</c:f>
              <c:numCache>
                <c:ptCount val="12"/>
                <c:pt idx="0">
                  <c:v>-9998.791547671732</c:v>
                </c:pt>
                <c:pt idx="1">
                  <c:v>-11213.017440761398</c:v>
                </c:pt>
                <c:pt idx="2">
                  <c:v>-8175.996314482197</c:v>
                </c:pt>
                <c:pt idx="3">
                  <c:v>-6691.8452263657455</c:v>
                </c:pt>
                <c:pt idx="4">
                  <c:v>-6521.280295095837</c:v>
                </c:pt>
                <c:pt idx="5">
                  <c:v>190336.07251798245</c:v>
                </c:pt>
                <c:pt idx="6">
                  <c:v>-7762.868871716027</c:v>
                </c:pt>
                <c:pt idx="7">
                  <c:v>-6914.695610698292</c:v>
                </c:pt>
                <c:pt idx="8">
                  <c:v>-7286.726074735386</c:v>
                </c:pt>
                <c:pt idx="9">
                  <c:v>-7452.2148090828605</c:v>
                </c:pt>
                <c:pt idx="10">
                  <c:v>-8026.737152768214</c:v>
                </c:pt>
                <c:pt idx="11">
                  <c:v>-8084.604368088628</c:v>
                </c:pt>
              </c:numCache>
            </c:numRef>
          </c:val>
          <c:smooth val="0"/>
        </c:ser>
        <c:marker val="1"/>
        <c:axId val="18462723"/>
        <c:axId val="31946780"/>
      </c:lineChart>
      <c:catAx>
        <c:axId val="1846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Utah-Allocated Net Power Cost ($)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2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67"/>
          <c:w val="0.389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C1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76" sqref="B176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332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6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62">
        <v>9627442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91874100.5</v>
      </c>
      <c r="P33" s="85"/>
    </row>
    <row r="34" spans="1:16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62">
        <v>10079641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39262988.756</v>
      </c>
      <c r="P34" s="85"/>
    </row>
    <row r="35" spans="1:16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62">
        <v>1100472.4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23067935.055000003</v>
      </c>
      <c r="P35" s="85"/>
    </row>
    <row r="36" spans="1:16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62">
        <v>9229408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101613328</v>
      </c>
      <c r="P36" s="85"/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58">
        <f aca="true" t="shared" si="5" ref="C39:N39">SUM(C32:C38)</f>
        <v>23131264.3</v>
      </c>
      <c r="D39" s="59">
        <f t="shared" si="5"/>
        <v>29555770</v>
      </c>
      <c r="E39" s="59">
        <f t="shared" si="5"/>
        <v>29161418.5</v>
      </c>
      <c r="F39" s="59">
        <f t="shared" si="5"/>
        <v>30406768</v>
      </c>
      <c r="G39" s="59">
        <f t="shared" si="5"/>
        <v>30333131</v>
      </c>
      <c r="H39" s="59">
        <f t="shared" si="5"/>
        <v>37495691.9</v>
      </c>
      <c r="I39" s="59">
        <f t="shared" si="5"/>
        <v>27468482</v>
      </c>
      <c r="J39" s="59">
        <f t="shared" si="5"/>
        <v>23190078.1</v>
      </c>
      <c r="K39" s="59">
        <f t="shared" si="5"/>
        <v>24759792.7</v>
      </c>
      <c r="L39" s="59">
        <f t="shared" si="5"/>
        <v>18437900.695</v>
      </c>
      <c r="M39" s="59">
        <f t="shared" si="5"/>
        <v>12448841.899999999</v>
      </c>
      <c r="N39" s="60">
        <f t="shared" si="5"/>
        <v>17158905.086</v>
      </c>
      <c r="O39" s="80">
        <f>SUM(O32:O38)</f>
        <v>303548044.181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56020280.1162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489500589.3816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6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62">
        <v>8625342.884980356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77385522.622549</v>
      </c>
      <c r="P55" s="85"/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27703960.080280356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281276531.523379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44050802.95288036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441930995.948629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6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62">
        <v>283242.28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20225331.362000003</v>
      </c>
      <c r="P150" s="85"/>
    </row>
    <row r="151" spans="1:16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62">
        <v>734529.8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7775730.999999998</v>
      </c>
      <c r="P151" s="85"/>
    </row>
    <row r="152" spans="1:16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62">
        <v>2099650.5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116394315.3</v>
      </c>
      <c r="P152" s="85"/>
    </row>
    <row r="153" spans="1:16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62">
        <v>7340310.5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53028983.6</v>
      </c>
      <c r="P153" s="85"/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58">
        <f aca="true" t="shared" si="20" ref="C157:N157">SUM(C150:C156)</f>
        <v>17514045.06855</v>
      </c>
      <c r="D157" s="59">
        <f t="shared" si="20"/>
        <v>17959353.62</v>
      </c>
      <c r="E157" s="59">
        <f t="shared" si="20"/>
        <v>10048917.75</v>
      </c>
      <c r="F157" s="59">
        <f t="shared" si="20"/>
        <v>12186550.84</v>
      </c>
      <c r="G157" s="59">
        <f t="shared" si="20"/>
        <v>6732813.412</v>
      </c>
      <c r="H157" s="59">
        <f t="shared" si="20"/>
        <v>10457733.08</v>
      </c>
      <c r="I157" s="59">
        <f t="shared" si="20"/>
        <v>13067773.85</v>
      </c>
      <c r="J157" s="59">
        <f t="shared" si="20"/>
        <v>17520093.21</v>
      </c>
      <c r="K157" s="59">
        <f t="shared" si="20"/>
        <v>24101486.13</v>
      </c>
      <c r="L157" s="59">
        <f t="shared" si="20"/>
        <v>28021391.07</v>
      </c>
      <c r="M157" s="59">
        <f t="shared" si="20"/>
        <v>21554080.454</v>
      </c>
      <c r="N157" s="60">
        <f t="shared" si="20"/>
        <v>18658834.21</v>
      </c>
      <c r="O157" s="80">
        <f>SUM(O150:O156)</f>
        <v>197823072.69454998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48412624.25288036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634450457.3934691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6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62">
        <v>11919973.3684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138384905.71289998</v>
      </c>
      <c r="P174" s="85"/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6" ht="11.25">
      <c r="A176" s="3" t="s">
        <v>55</v>
      </c>
      <c r="C176" s="61">
        <v>17229544.4528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62">
        <v>16415374.8611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187983096.6228</v>
      </c>
      <c r="P176" s="85"/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61">
        <v>-89606.8814117973</v>
      </c>
      <c r="D178" s="62">
        <v>-85872.9139306839</v>
      </c>
      <c r="E178" s="62">
        <v>-48314.54093332389</v>
      </c>
      <c r="F178" s="62">
        <v>-93356.59311700896</v>
      </c>
      <c r="G178" s="62">
        <v>-89895.24222973894</v>
      </c>
      <c r="H178" s="62">
        <v>-68871.33236718913</v>
      </c>
      <c r="I178" s="62">
        <v>-40181.0765279983</v>
      </c>
      <c r="J178" s="62">
        <v>-72929.79740719749</v>
      </c>
      <c r="K178" s="62">
        <v>-61392.63014158895</v>
      </c>
      <c r="L178" s="62">
        <v>-68822.00873571666</v>
      </c>
      <c r="M178" s="62">
        <v>-101577.26743556836</v>
      </c>
      <c r="N178" s="63">
        <v>-57930.42115484593</v>
      </c>
      <c r="O178" s="162">
        <f t="shared" si="23"/>
        <v>-878750.705392658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67">
        <f aca="true" t="shared" si="24" ref="C180:N180">SUM(C168:C179)</f>
        <v>63643003.3705282</v>
      </c>
      <c r="D180" s="68">
        <f t="shared" si="24"/>
        <v>65732488.560099326</v>
      </c>
      <c r="E180" s="68">
        <f t="shared" si="24"/>
        <v>62758592.88273667</v>
      </c>
      <c r="F180" s="68">
        <f t="shared" si="24"/>
        <v>63806080.31065299</v>
      </c>
      <c r="G180" s="68">
        <f t="shared" si="24"/>
        <v>62309292.25282025</v>
      </c>
      <c r="H180" s="68">
        <f t="shared" si="24"/>
        <v>64117067.35503281</v>
      </c>
      <c r="I180" s="68">
        <f t="shared" si="24"/>
        <v>63586039.97944201</v>
      </c>
      <c r="J180" s="68">
        <f t="shared" si="24"/>
        <v>60264563.6800128</v>
      </c>
      <c r="K180" s="68">
        <f t="shared" si="24"/>
        <v>60378720.701478414</v>
      </c>
      <c r="L180" s="68">
        <f t="shared" si="24"/>
        <v>53082983.87864429</v>
      </c>
      <c r="M180" s="68">
        <f t="shared" si="24"/>
        <v>55342203.699334435</v>
      </c>
      <c r="N180" s="69">
        <f t="shared" si="24"/>
        <v>58665149.12497515</v>
      </c>
      <c r="O180" s="81">
        <f>SUM(O168:O179)</f>
        <v>733686185.7957574</v>
      </c>
    </row>
    <row r="181" spans="3:15" ht="11.25"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6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62">
        <v>5590089.849649864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41091254.24761129</v>
      </c>
      <c r="P187" s="85"/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38431238.95426848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301115634.6522273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55186012.84426848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483428103.0000273</v>
      </c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30" ref="C204:N204">-C41+C159+C165+C180+C197+C202</f>
        <v>140131690.29275998</v>
      </c>
      <c r="D204" s="74">
        <f t="shared" si="30"/>
        <v>151458071.99305972</v>
      </c>
      <c r="E204" s="74">
        <f t="shared" si="30"/>
        <v>126184995.6845584</v>
      </c>
      <c r="F204" s="74">
        <f t="shared" si="30"/>
        <v>114016576.01484603</v>
      </c>
      <c r="G204" s="74">
        <f t="shared" si="30"/>
        <v>113851506.6592113</v>
      </c>
      <c r="H204" s="74">
        <f t="shared" si="30"/>
        <v>124881814.48346323</v>
      </c>
      <c r="I204" s="74">
        <f t="shared" si="30"/>
        <v>128942811.77382572</v>
      </c>
      <c r="J204" s="74">
        <f t="shared" si="30"/>
        <v>118627509.8608633</v>
      </c>
      <c r="K204" s="74">
        <f t="shared" si="30"/>
        <v>121455887.8478106</v>
      </c>
      <c r="L204" s="74">
        <f t="shared" si="30"/>
        <v>120311084.36353242</v>
      </c>
      <c r="M204" s="74">
        <f t="shared" si="30"/>
        <v>125880766.45770387</v>
      </c>
      <c r="N204" s="75">
        <f t="shared" si="30"/>
        <v>122703054.56794326</v>
      </c>
      <c r="O204" s="83">
        <f>-O41+O159+O165+O180+O197+O202</f>
        <v>1508445769.999578</v>
      </c>
    </row>
    <row r="205" spans="1:16" ht="12" thickTop="1">
      <c r="A205" s="49" t="s">
        <v>305</v>
      </c>
      <c r="C205" s="90">
        <v>140131690</v>
      </c>
      <c r="D205" s="91">
        <v>151458072</v>
      </c>
      <c r="E205" s="91">
        <v>126184996</v>
      </c>
      <c r="F205" s="91">
        <v>114016576</v>
      </c>
      <c r="G205" s="91">
        <v>113851507</v>
      </c>
      <c r="H205" s="91">
        <v>124881814</v>
      </c>
      <c r="I205" s="91">
        <v>128942812</v>
      </c>
      <c r="J205" s="91">
        <v>118627510</v>
      </c>
      <c r="K205" s="91">
        <v>121455888</v>
      </c>
      <c r="L205" s="91">
        <v>120311084</v>
      </c>
      <c r="M205" s="91">
        <v>125880766</v>
      </c>
      <c r="N205" s="91">
        <v>122703055</v>
      </c>
      <c r="O205" s="91">
        <v>1508445770</v>
      </c>
      <c r="P205" s="91"/>
    </row>
    <row r="206" spans="1:16" ht="11.25">
      <c r="A206" s="234" t="s">
        <v>309</v>
      </c>
      <c r="C206" s="90">
        <f>C204-C205</f>
        <v>0.2927599847316742</v>
      </c>
      <c r="D206" s="91">
        <f aca="true" t="shared" si="31" ref="D206:O206">D204-D205</f>
        <v>-0.006940275430679321</v>
      </c>
      <c r="E206" s="91">
        <f t="shared" si="31"/>
        <v>-0.3154415935277939</v>
      </c>
      <c r="F206" s="91">
        <f t="shared" si="31"/>
        <v>0.01484602689743042</v>
      </c>
      <c r="G206" s="91">
        <f t="shared" si="31"/>
        <v>-0.34078870713710785</v>
      </c>
      <c r="H206" s="91">
        <f t="shared" si="31"/>
        <v>0.48346322774887085</v>
      </c>
      <c r="I206" s="91">
        <f t="shared" si="31"/>
        <v>-0.2261742800474167</v>
      </c>
      <c r="J206" s="91">
        <f t="shared" si="31"/>
        <v>-0.13913670182228088</v>
      </c>
      <c r="K206" s="91">
        <f t="shared" si="31"/>
        <v>-0.15218940377235413</v>
      </c>
      <c r="L206" s="91">
        <f t="shared" si="31"/>
        <v>0.3635324239730835</v>
      </c>
      <c r="M206" s="91">
        <f t="shared" si="31"/>
        <v>0.4577038735151291</v>
      </c>
      <c r="N206" s="91">
        <f t="shared" si="31"/>
        <v>-0.4320567399263382</v>
      </c>
      <c r="O206" s="91">
        <f t="shared" si="31"/>
        <v>-0.0004220008850097656</v>
      </c>
      <c r="P206" s="91"/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3:15" ht="11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363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28776585.768780358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425262131.114689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Q275" s="86"/>
      <c r="R275" s="10"/>
    </row>
    <row r="276" spans="17:18" ht="11.25"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1" ref="C279:N279">C168+C264</f>
        <v>1660541.4045920414</v>
      </c>
      <c r="D279" s="125">
        <f t="shared" si="51"/>
        <v>1785968.1823656384</v>
      </c>
      <c r="E279" s="125">
        <f t="shared" si="51"/>
        <v>1708736.9911463507</v>
      </c>
      <c r="F279" s="125">
        <f t="shared" si="51"/>
        <v>1764885.2484047315</v>
      </c>
      <c r="G279" s="125">
        <f t="shared" si="51"/>
        <v>1739154.4226602663</v>
      </c>
      <c r="H279" s="125">
        <f t="shared" si="51"/>
        <v>1817378.68735945</v>
      </c>
      <c r="I279" s="125">
        <f t="shared" si="51"/>
        <v>1608772.3790119702</v>
      </c>
      <c r="J279" s="125">
        <f t="shared" si="51"/>
        <v>1520695.4591832</v>
      </c>
      <c r="K279" s="125">
        <f t="shared" si="51"/>
        <v>1673383.8077806905</v>
      </c>
      <c r="L279" s="125">
        <f t="shared" si="51"/>
        <v>932625.5889793249</v>
      </c>
      <c r="M279" s="125">
        <f t="shared" si="51"/>
        <v>1421660.940947849</v>
      </c>
      <c r="N279" s="182">
        <f t="shared" si="51"/>
        <v>1404522.5941796512</v>
      </c>
      <c r="O279" s="183">
        <f aca="true" t="shared" si="52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3" ref="C280:N280">C169+C265</f>
        <v>4980229.350084232</v>
      </c>
      <c r="D280" s="129">
        <f t="shared" si="53"/>
        <v>5038850.433960587</v>
      </c>
      <c r="E280" s="129">
        <f t="shared" si="53"/>
        <v>4851465.761788623</v>
      </c>
      <c r="F280" s="129">
        <f t="shared" si="53"/>
        <v>4975230.51580941</v>
      </c>
      <c r="G280" s="129">
        <f t="shared" si="53"/>
        <v>4820025.195853364</v>
      </c>
      <c r="H280" s="129">
        <f t="shared" si="53"/>
        <v>4978081.1604545675</v>
      </c>
      <c r="I280" s="129">
        <f t="shared" si="53"/>
        <v>4977825.5329585</v>
      </c>
      <c r="J280" s="129">
        <f t="shared" si="53"/>
        <v>4655943.389189223</v>
      </c>
      <c r="K280" s="129">
        <f t="shared" si="53"/>
        <v>4980099.611200731</v>
      </c>
      <c r="L280" s="129">
        <f t="shared" si="53"/>
        <v>4732219.945598034</v>
      </c>
      <c r="M280" s="129">
        <f t="shared" si="53"/>
        <v>2515009.905957871</v>
      </c>
      <c r="N280" s="177">
        <f t="shared" si="53"/>
        <v>4717965.741680412</v>
      </c>
      <c r="O280" s="162">
        <f t="shared" si="52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4" ref="C281:N281">C170+C266</f>
        <v>1249028.4279276324</v>
      </c>
      <c r="D281" s="129">
        <f t="shared" si="54"/>
        <v>1262530.0396093347</v>
      </c>
      <c r="E281" s="129">
        <f t="shared" si="54"/>
        <v>1224413.6900539948</v>
      </c>
      <c r="F281" s="129">
        <f t="shared" si="54"/>
        <v>1259059.8331510446</v>
      </c>
      <c r="G281" s="129">
        <f t="shared" si="54"/>
        <v>1220857.104109196</v>
      </c>
      <c r="H281" s="129">
        <f t="shared" si="54"/>
        <v>1262569.2152603578</v>
      </c>
      <c r="I281" s="129">
        <f t="shared" si="54"/>
        <v>1265023.222948755</v>
      </c>
      <c r="J281" s="129">
        <f t="shared" si="54"/>
        <v>1180979.34802089</v>
      </c>
      <c r="K281" s="129">
        <f t="shared" si="54"/>
        <v>1263208.9025766272</v>
      </c>
      <c r="L281" s="129">
        <f t="shared" si="54"/>
        <v>962579.2320542338</v>
      </c>
      <c r="M281" s="129">
        <f t="shared" si="54"/>
        <v>1028772.8522369203</v>
      </c>
      <c r="N281" s="177">
        <f t="shared" si="54"/>
        <v>1200920.491091918</v>
      </c>
      <c r="O281" s="162">
        <f t="shared" si="52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5" ref="C282:N282">C171+C267</f>
        <v>1947724.8581318394</v>
      </c>
      <c r="D282" s="129">
        <f t="shared" si="55"/>
        <v>1953485.266873497</v>
      </c>
      <c r="E282" s="129">
        <f t="shared" si="55"/>
        <v>1888485.4303317603</v>
      </c>
      <c r="F282" s="129">
        <f t="shared" si="55"/>
        <v>1948646.3015997296</v>
      </c>
      <c r="G282" s="129">
        <f t="shared" si="55"/>
        <v>1905402.81619066</v>
      </c>
      <c r="H282" s="129">
        <f t="shared" si="55"/>
        <v>1972816.3676936254</v>
      </c>
      <c r="I282" s="129">
        <f t="shared" si="55"/>
        <v>1977851.4695498405</v>
      </c>
      <c r="J282" s="129">
        <f t="shared" si="55"/>
        <v>1844226.2180606688</v>
      </c>
      <c r="K282" s="129">
        <f t="shared" si="55"/>
        <v>1974128.870017385</v>
      </c>
      <c r="L282" s="129">
        <f t="shared" si="55"/>
        <v>1908671.012725545</v>
      </c>
      <c r="M282" s="129">
        <f t="shared" si="55"/>
        <v>1490534.2522575178</v>
      </c>
      <c r="N282" s="177">
        <f t="shared" si="55"/>
        <v>1898502.1122236352</v>
      </c>
      <c r="O282" s="162">
        <f t="shared" si="52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6" ref="C283:N283">C172+C268</f>
        <v>5237475.1678722035</v>
      </c>
      <c r="D283" s="129">
        <f t="shared" si="56"/>
        <v>5318469.058611665</v>
      </c>
      <c r="E283" s="129">
        <f t="shared" si="56"/>
        <v>5102233.262577889</v>
      </c>
      <c r="F283" s="129">
        <f t="shared" si="56"/>
        <v>5230933.431098656</v>
      </c>
      <c r="G283" s="129">
        <f t="shared" si="56"/>
        <v>4892476.096986375</v>
      </c>
      <c r="H283" s="129">
        <f t="shared" si="56"/>
        <v>4551760.51694484</v>
      </c>
      <c r="I283" s="129">
        <f t="shared" si="56"/>
        <v>4236111.513399587</v>
      </c>
      <c r="J283" s="129">
        <f t="shared" si="56"/>
        <v>4733951.123463441</v>
      </c>
      <c r="K283" s="129">
        <f t="shared" si="56"/>
        <v>5129495.65972421</v>
      </c>
      <c r="L283" s="129">
        <f t="shared" si="56"/>
        <v>3241735.2532202965</v>
      </c>
      <c r="M283" s="129">
        <f t="shared" si="56"/>
        <v>4350560.563133414</v>
      </c>
      <c r="N283" s="177">
        <f t="shared" si="56"/>
        <v>4888796.465379077</v>
      </c>
      <c r="O283" s="162">
        <f t="shared" si="52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7" ref="C284:N284">C173+C269</f>
        <v>1015373.1189943148</v>
      </c>
      <c r="D284" s="129">
        <f t="shared" si="57"/>
        <v>1027266.274073157</v>
      </c>
      <c r="E284" s="129">
        <f t="shared" si="57"/>
        <v>998796.555221549</v>
      </c>
      <c r="F284" s="129">
        <f t="shared" si="57"/>
        <v>1019493.3012832766</v>
      </c>
      <c r="G284" s="129">
        <f t="shared" si="57"/>
        <v>1012239.5003378241</v>
      </c>
      <c r="H284" s="129">
        <f t="shared" si="57"/>
        <v>1053234.2765756096</v>
      </c>
      <c r="I284" s="129">
        <f t="shared" si="57"/>
        <v>1061172.2508443643</v>
      </c>
      <c r="J284" s="129">
        <f t="shared" si="57"/>
        <v>982622.8035231747</v>
      </c>
      <c r="K284" s="129">
        <f t="shared" si="57"/>
        <v>1055522.2367633523</v>
      </c>
      <c r="L284" s="129">
        <f t="shared" si="57"/>
        <v>522150.13832956686</v>
      </c>
      <c r="M284" s="129">
        <f t="shared" si="57"/>
        <v>967813.3363521919</v>
      </c>
      <c r="N284" s="177">
        <f t="shared" si="57"/>
        <v>861131.4401163652</v>
      </c>
      <c r="O284" s="162">
        <f t="shared" si="52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8" ref="C285:N285">C174+C270</f>
        <v>10800820.66556078</v>
      </c>
      <c r="D285" s="129">
        <f t="shared" si="58"/>
        <v>11809123.278736051</v>
      </c>
      <c r="E285" s="129">
        <f t="shared" si="58"/>
        <v>11227633.18092503</v>
      </c>
      <c r="F285" s="129">
        <f t="shared" si="58"/>
        <v>11796163.333642334</v>
      </c>
      <c r="G285" s="129">
        <f t="shared" si="58"/>
        <v>11405553.05932282</v>
      </c>
      <c r="H285" s="129">
        <f t="shared" si="58"/>
        <v>11915924.68418362</v>
      </c>
      <c r="I285" s="129">
        <f t="shared" si="58"/>
        <v>12585653.914625397</v>
      </c>
      <c r="J285" s="129">
        <f t="shared" si="58"/>
        <v>11762609.17782855</v>
      </c>
      <c r="K285" s="129">
        <f t="shared" si="58"/>
        <v>11404364.367800709</v>
      </c>
      <c r="L285" s="129">
        <f t="shared" si="58"/>
        <v>9299408.505532699</v>
      </c>
      <c r="M285" s="129">
        <f t="shared" si="58"/>
        <v>12450368.696202189</v>
      </c>
      <c r="N285" s="177">
        <f t="shared" si="58"/>
        <v>11875624.430025604</v>
      </c>
      <c r="O285" s="162">
        <f t="shared" si="52"/>
        <v>138333247.2943858</v>
      </c>
      <c r="P285" s="85"/>
    </row>
    <row r="286" spans="1:16" ht="11.25">
      <c r="A286" s="18" t="s">
        <v>54</v>
      </c>
      <c r="B286" s="29"/>
      <c r="C286" s="176">
        <f aca="true" t="shared" si="59" ref="C286:N286">C175+C271</f>
        <v>8636936.882995749</v>
      </c>
      <c r="D286" s="129">
        <f t="shared" si="59"/>
        <v>8991355.259470733</v>
      </c>
      <c r="E286" s="129">
        <f t="shared" si="59"/>
        <v>8222190.7521559335</v>
      </c>
      <c r="F286" s="129">
        <f t="shared" si="59"/>
        <v>7103149.759098399</v>
      </c>
      <c r="G286" s="129">
        <f t="shared" si="59"/>
        <v>8209556.898581143</v>
      </c>
      <c r="H286" s="129">
        <f t="shared" si="59"/>
        <v>9109281.450303435</v>
      </c>
      <c r="I286" s="129">
        <f t="shared" si="59"/>
        <v>8568721.007758327</v>
      </c>
      <c r="J286" s="129">
        <f t="shared" si="59"/>
        <v>8061222.93044928</v>
      </c>
      <c r="K286" s="129">
        <f t="shared" si="59"/>
        <v>8612328.50892924</v>
      </c>
      <c r="L286" s="129">
        <f t="shared" si="59"/>
        <v>8264354.850829201</v>
      </c>
      <c r="M286" s="129">
        <f t="shared" si="59"/>
        <v>8143909.265038121</v>
      </c>
      <c r="N286" s="177">
        <f t="shared" si="59"/>
        <v>7857052.774927048</v>
      </c>
      <c r="O286" s="162">
        <f t="shared" si="52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0" ref="C287:N287">C176+C272</f>
        <v>17227821.479477458</v>
      </c>
      <c r="D287" s="129">
        <f t="shared" si="60"/>
        <v>17538670.103112847</v>
      </c>
      <c r="E287" s="129">
        <f t="shared" si="60"/>
        <v>16877544.500425257</v>
      </c>
      <c r="F287" s="129">
        <f t="shared" si="60"/>
        <v>17690613.508409988</v>
      </c>
      <c r="G287" s="129">
        <f t="shared" si="60"/>
        <v>16393895.679036371</v>
      </c>
      <c r="H287" s="129">
        <f t="shared" si="60"/>
        <v>16414050.593739202</v>
      </c>
      <c r="I287" s="129">
        <f t="shared" si="60"/>
        <v>16260397.039086826</v>
      </c>
      <c r="J287" s="129">
        <f t="shared" si="60"/>
        <v>15193304.087520547</v>
      </c>
      <c r="K287" s="129">
        <f t="shared" si="60"/>
        <v>15951739.730544388</v>
      </c>
      <c r="L287" s="129">
        <f t="shared" si="60"/>
        <v>12832432.400540708</v>
      </c>
      <c r="M287" s="129">
        <f t="shared" si="60"/>
        <v>12019918.62756432</v>
      </c>
      <c r="N287" s="177">
        <f t="shared" si="60"/>
        <v>13565812.135070428</v>
      </c>
      <c r="O287" s="162">
        <f t="shared" si="52"/>
        <v>187966199.88452834</v>
      </c>
      <c r="P287" s="85"/>
    </row>
    <row r="288" spans="1:16" ht="11.25">
      <c r="A288" s="18" t="s">
        <v>58</v>
      </c>
      <c r="B288" s="29"/>
      <c r="C288" s="176">
        <f aca="true" t="shared" si="61" ref="C288:N288">C177+C273</f>
        <v>9146584.848370463</v>
      </c>
      <c r="D288" s="129">
        <f t="shared" si="61"/>
        <v>9263964.424313007</v>
      </c>
      <c r="E288" s="129">
        <f t="shared" si="61"/>
        <v>8970267.499836138</v>
      </c>
      <c r="F288" s="129">
        <f t="shared" si="61"/>
        <v>9277495.362910664</v>
      </c>
      <c r="G288" s="129">
        <f t="shared" si="61"/>
        <v>8982634.27054632</v>
      </c>
      <c r="H288" s="129">
        <f t="shared" si="61"/>
        <v>9257381.148701273</v>
      </c>
      <c r="I288" s="129">
        <f t="shared" si="61"/>
        <v>9259482.817160083</v>
      </c>
      <c r="J288" s="129">
        <f t="shared" si="61"/>
        <v>8659193.594003614</v>
      </c>
      <c r="K288" s="129">
        <f t="shared" si="61"/>
        <v>6549745.167250811</v>
      </c>
      <c r="L288" s="129">
        <f t="shared" si="61"/>
        <v>8660158.538104922</v>
      </c>
      <c r="M288" s="129">
        <f t="shared" si="61"/>
        <v>9211089.635211758</v>
      </c>
      <c r="N288" s="177">
        <f t="shared" si="61"/>
        <v>8786755.388692202</v>
      </c>
      <c r="O288" s="162">
        <f t="shared" si="52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2" ref="C289:N289">C179+C274</f>
        <v>1740467.1665214875</v>
      </c>
      <c r="D289" s="179">
        <f t="shared" si="62"/>
        <v>1742806.238972796</v>
      </c>
      <c r="E289" s="179">
        <f t="shared" si="62"/>
        <v>1686825.258274154</v>
      </c>
      <c r="F289" s="179">
        <f t="shared" si="62"/>
        <v>1740409.7152447607</v>
      </c>
      <c r="G289" s="179">
        <f t="shared" si="62"/>
        <v>1727497.209195922</v>
      </c>
      <c r="H289" s="179">
        <f t="shared" si="62"/>
        <v>1784589.2538168281</v>
      </c>
      <c r="I289" s="179">
        <f t="shared" si="62"/>
        <v>1785028.8320983506</v>
      </c>
      <c r="J289" s="179">
        <f t="shared" si="62"/>
        <v>1669815.548770214</v>
      </c>
      <c r="K289" s="179">
        <f t="shared" si="62"/>
        <v>1784703.8388902682</v>
      </c>
      <c r="L289" s="179">
        <f t="shared" si="62"/>
        <v>1726648.412729753</v>
      </c>
      <c r="M289" s="179">
        <f t="shared" si="62"/>
        <v>1742565.6244322776</v>
      </c>
      <c r="N289" s="180">
        <f t="shared" si="62"/>
        <v>1608065.5515888163</v>
      </c>
      <c r="O289" s="163">
        <f t="shared" si="52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3" ref="C290:O290">SUM(C279:C289)</f>
        <v>63643003.3705282</v>
      </c>
      <c r="D290" s="78">
        <f t="shared" si="63"/>
        <v>65732488.56009932</v>
      </c>
      <c r="E290" s="78">
        <f t="shared" si="63"/>
        <v>62758592.88273668</v>
      </c>
      <c r="F290" s="78">
        <f t="shared" si="63"/>
        <v>63806080.310653</v>
      </c>
      <c r="G290" s="78">
        <f t="shared" si="63"/>
        <v>62309292.25282026</v>
      </c>
      <c r="H290" s="78">
        <f t="shared" si="63"/>
        <v>64117067.35503282</v>
      </c>
      <c r="I290" s="78">
        <f t="shared" si="63"/>
        <v>63586039.97944201</v>
      </c>
      <c r="J290" s="78">
        <f t="shared" si="63"/>
        <v>60264563.6800128</v>
      </c>
      <c r="K290" s="78">
        <f t="shared" si="63"/>
        <v>60378720.701478414</v>
      </c>
      <c r="L290" s="78">
        <f t="shared" si="63"/>
        <v>53082983.87864429</v>
      </c>
      <c r="M290" s="78">
        <f t="shared" si="63"/>
        <v>55342203.699334435</v>
      </c>
      <c r="N290" s="191">
        <f t="shared" si="63"/>
        <v>58665149.12497515</v>
      </c>
      <c r="O290" s="134">
        <f t="shared" si="63"/>
        <v>733686185.7957573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4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4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4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4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4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4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4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4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5" ref="D302:O302">SUM(D294:D301)</f>
        <v>18992662.34</v>
      </c>
      <c r="E302" s="78">
        <f t="shared" si="65"/>
        <v>18001091.84</v>
      </c>
      <c r="F302" s="78">
        <f t="shared" si="65"/>
        <v>15330306.84</v>
      </c>
      <c r="G302" s="78">
        <f t="shared" si="65"/>
        <v>15978659.547799999</v>
      </c>
      <c r="H302" s="78">
        <f t="shared" si="65"/>
        <v>16754773.89</v>
      </c>
      <c r="I302" s="78">
        <f t="shared" si="65"/>
        <v>12888889.640000002</v>
      </c>
      <c r="J302" s="78">
        <f t="shared" si="65"/>
        <v>12056070.365999999</v>
      </c>
      <c r="K302" s="78">
        <f t="shared" si="65"/>
        <v>10983152.764</v>
      </c>
      <c r="L302" s="78">
        <f t="shared" si="65"/>
        <v>12101814.76</v>
      </c>
      <c r="M302" s="78">
        <f t="shared" si="65"/>
        <v>15789619.76</v>
      </c>
      <c r="N302" s="78">
        <f t="shared" si="65"/>
        <v>15844367.259999998</v>
      </c>
      <c r="O302" s="134">
        <f t="shared" si="65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6" ref="C306:N306">C183+C294</f>
        <v>1102722.5</v>
      </c>
      <c r="D306" s="125">
        <f t="shared" si="66"/>
        <v>12114868.80294811</v>
      </c>
      <c r="E306" s="125">
        <f t="shared" si="66"/>
        <v>13468792.352030212</v>
      </c>
      <c r="F306" s="125">
        <f t="shared" si="66"/>
        <v>12805368.51088837</v>
      </c>
      <c r="G306" s="125">
        <f t="shared" si="66"/>
        <v>12054714.926317964</v>
      </c>
      <c r="H306" s="125">
        <f t="shared" si="66"/>
        <v>15767306.111504104</v>
      </c>
      <c r="I306" s="125">
        <f t="shared" si="66"/>
        <v>10249490.641097877</v>
      </c>
      <c r="J306" s="125">
        <f t="shared" si="66"/>
        <v>1145343.6900907692</v>
      </c>
      <c r="K306" s="125">
        <f t="shared" si="66"/>
        <v>1102722.5</v>
      </c>
      <c r="L306" s="125">
        <f t="shared" si="66"/>
        <v>1945682</v>
      </c>
      <c r="M306" s="125">
        <f t="shared" si="66"/>
        <v>2007457.5</v>
      </c>
      <c r="N306" s="182">
        <f t="shared" si="66"/>
        <v>1069922</v>
      </c>
      <c r="O306" s="183">
        <f aca="true" t="shared" si="67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8" ref="C307:N307">C184+C295</f>
        <v>11780509.439879201</v>
      </c>
      <c r="D307" s="129">
        <f t="shared" si="68"/>
        <v>11509667.078837749</v>
      </c>
      <c r="E307" s="129">
        <f t="shared" si="68"/>
        <v>11748386.214340225</v>
      </c>
      <c r="F307" s="129">
        <f t="shared" si="68"/>
        <v>9792212.983247126</v>
      </c>
      <c r="G307" s="129">
        <f t="shared" si="68"/>
        <v>11714431.039568912</v>
      </c>
      <c r="H307" s="129">
        <f t="shared" si="68"/>
        <v>12752826.63382503</v>
      </c>
      <c r="I307" s="129">
        <f t="shared" si="68"/>
        <v>12629147.36065774</v>
      </c>
      <c r="J307" s="129">
        <f t="shared" si="68"/>
        <v>11565607.146354519</v>
      </c>
      <c r="K307" s="129">
        <f t="shared" si="68"/>
        <v>11270377.010786578</v>
      </c>
      <c r="L307" s="129">
        <f t="shared" si="68"/>
        <v>12121239.496981151</v>
      </c>
      <c r="M307" s="129">
        <f t="shared" si="68"/>
        <v>14297417.058656115</v>
      </c>
      <c r="N307" s="177">
        <f t="shared" si="68"/>
        <v>13769008.06753863</v>
      </c>
      <c r="O307" s="162">
        <f t="shared" si="67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69" ref="C308:N308">C185+C296</f>
        <v>3153178.705539461</v>
      </c>
      <c r="D308" s="129">
        <f t="shared" si="69"/>
        <v>3040131.4848048314</v>
      </c>
      <c r="E308" s="129">
        <f t="shared" si="69"/>
        <v>244735.57732211344</v>
      </c>
      <c r="F308" s="129">
        <f t="shared" si="69"/>
        <v>0</v>
      </c>
      <c r="G308" s="129">
        <f t="shared" si="69"/>
        <v>0</v>
      </c>
      <c r="H308" s="129">
        <f t="shared" si="69"/>
        <v>0</v>
      </c>
      <c r="I308" s="129">
        <f t="shared" si="69"/>
        <v>0</v>
      </c>
      <c r="J308" s="129">
        <f t="shared" si="69"/>
        <v>0</v>
      </c>
      <c r="K308" s="129">
        <f t="shared" si="69"/>
        <v>0</v>
      </c>
      <c r="L308" s="129">
        <f t="shared" si="69"/>
        <v>0</v>
      </c>
      <c r="M308" s="129">
        <f t="shared" si="69"/>
        <v>0</v>
      </c>
      <c r="N308" s="177">
        <f t="shared" si="69"/>
        <v>993880.2413467322</v>
      </c>
      <c r="O308" s="162">
        <f t="shared" si="67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0" ref="C309:N309">C186+C297</f>
        <v>3144243.4890327053</v>
      </c>
      <c r="D309" s="129">
        <f t="shared" si="70"/>
        <v>3066797.122824406</v>
      </c>
      <c r="E309" s="129">
        <f t="shared" si="70"/>
        <v>3144914.2298989594</v>
      </c>
      <c r="F309" s="129">
        <f t="shared" si="70"/>
        <v>2943088.64740716</v>
      </c>
      <c r="G309" s="129">
        <f t="shared" si="70"/>
        <v>3014978.311787312</v>
      </c>
      <c r="H309" s="129">
        <f t="shared" si="70"/>
        <v>3191348.765978072</v>
      </c>
      <c r="I309" s="129">
        <f t="shared" si="70"/>
        <v>3161521.187092651</v>
      </c>
      <c r="J309" s="129">
        <f t="shared" si="70"/>
        <v>2831330.0600651065</v>
      </c>
      <c r="K309" s="129">
        <f t="shared" si="70"/>
        <v>2988003.844423804</v>
      </c>
      <c r="L309" s="129">
        <f t="shared" si="70"/>
        <v>3302916.9742901484</v>
      </c>
      <c r="M309" s="129">
        <f t="shared" si="70"/>
        <v>3890667.748814837</v>
      </c>
      <c r="N309" s="177">
        <f t="shared" si="70"/>
        <v>3674824.3881474975</v>
      </c>
      <c r="O309" s="162">
        <f t="shared" si="67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1" ref="C310:N310">C187+C298</f>
        <v>7553388.496051349</v>
      </c>
      <c r="D310" s="129">
        <f t="shared" si="71"/>
        <v>8272784.176131814</v>
      </c>
      <c r="E310" s="129">
        <f t="shared" si="71"/>
        <v>7036429.427488076</v>
      </c>
      <c r="F310" s="129">
        <f t="shared" si="71"/>
        <v>7888770.157415604</v>
      </c>
      <c r="G310" s="129">
        <f t="shared" si="71"/>
        <v>7066075.659887202</v>
      </c>
      <c r="H310" s="129">
        <f t="shared" si="71"/>
        <v>7840680.285945761</v>
      </c>
      <c r="I310" s="129">
        <f t="shared" si="71"/>
        <v>5739790.034153882</v>
      </c>
      <c r="J310" s="129">
        <f t="shared" si="71"/>
        <v>5545038.01484064</v>
      </c>
      <c r="K310" s="129">
        <f t="shared" si="71"/>
        <v>3428293.17739778</v>
      </c>
      <c r="L310" s="129">
        <f t="shared" si="71"/>
        <v>1876166.709395714</v>
      </c>
      <c r="M310" s="129">
        <f t="shared" si="71"/>
        <v>1905141.709395714</v>
      </c>
      <c r="N310" s="177">
        <f t="shared" si="71"/>
        <v>2796468.23913035</v>
      </c>
      <c r="O310" s="162">
        <f t="shared" si="67"/>
        <v>66949026.087233886</v>
      </c>
      <c r="P310" s="85"/>
    </row>
    <row r="311" spans="1:16" ht="11.25">
      <c r="A311" s="18" t="s">
        <v>56</v>
      </c>
      <c r="B311" s="29"/>
      <c r="C311" s="176">
        <f aca="true" t="shared" si="72" ref="C311:N311">C188+C299</f>
        <v>9691251.559283013</v>
      </c>
      <c r="D311" s="129">
        <f t="shared" si="72"/>
        <v>14819800.20030049</v>
      </c>
      <c r="E311" s="129">
        <f t="shared" si="72"/>
        <v>12563350.706585672</v>
      </c>
      <c r="F311" s="129">
        <f t="shared" si="72"/>
        <v>8904634.910844516</v>
      </c>
      <c r="G311" s="129">
        <f t="shared" si="72"/>
        <v>12725904.665171374</v>
      </c>
      <c r="H311" s="129">
        <f t="shared" si="72"/>
        <v>14368823.240781192</v>
      </c>
      <c r="I311" s="129">
        <f t="shared" si="72"/>
        <v>12809532.13288777</v>
      </c>
      <c r="J311" s="129">
        <f t="shared" si="72"/>
        <v>12378470.804351203</v>
      </c>
      <c r="K311" s="129">
        <f t="shared" si="72"/>
        <v>13162915.005955063</v>
      </c>
      <c r="L311" s="129">
        <f t="shared" si="72"/>
        <v>6770279.952697198</v>
      </c>
      <c r="M311" s="129">
        <f t="shared" si="72"/>
        <v>7961435.158602065</v>
      </c>
      <c r="N311" s="177">
        <f t="shared" si="72"/>
        <v>8851368.28170652</v>
      </c>
      <c r="O311" s="162">
        <f t="shared" si="67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3" ref="C312:N312">C189+C300</f>
        <v>0</v>
      </c>
      <c r="D312" s="179">
        <f t="shared" si="73"/>
        <v>0</v>
      </c>
      <c r="E312" s="179">
        <f t="shared" si="73"/>
        <v>0</v>
      </c>
      <c r="F312" s="179">
        <f t="shared" si="73"/>
        <v>1023894.853590749</v>
      </c>
      <c r="G312" s="179">
        <f t="shared" si="73"/>
        <v>1195142.830305361</v>
      </c>
      <c r="H312" s="179">
        <f t="shared" si="73"/>
        <v>1265027.806234322</v>
      </c>
      <c r="I312" s="179">
        <f t="shared" si="73"/>
        <v>1253204.082659317</v>
      </c>
      <c r="J312" s="179">
        <f t="shared" si="73"/>
        <v>1162258.876511354</v>
      </c>
      <c r="K312" s="179">
        <f t="shared" si="73"/>
        <v>0</v>
      </c>
      <c r="L312" s="179">
        <f t="shared" si="73"/>
        <v>0</v>
      </c>
      <c r="M312" s="179">
        <f t="shared" si="73"/>
        <v>0</v>
      </c>
      <c r="N312" s="180">
        <f t="shared" si="73"/>
        <v>0</v>
      </c>
      <c r="O312" s="163">
        <f t="shared" si="67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4" ref="C313:O313">SUM(C306:C312)</f>
        <v>36425294.18978573</v>
      </c>
      <c r="D313" s="77">
        <f t="shared" si="74"/>
        <v>52824048.8658474</v>
      </c>
      <c r="E313" s="77">
        <f t="shared" si="74"/>
        <v>48206608.50766526</v>
      </c>
      <c r="F313" s="77">
        <f t="shared" si="74"/>
        <v>43357970.063393526</v>
      </c>
      <c r="G313" s="77">
        <f t="shared" si="74"/>
        <v>47771247.43303812</v>
      </c>
      <c r="H313" s="77">
        <f t="shared" si="74"/>
        <v>55186012.84426848</v>
      </c>
      <c r="I313" s="77">
        <f t="shared" si="74"/>
        <v>45842685.438549235</v>
      </c>
      <c r="J313" s="77">
        <f t="shared" si="74"/>
        <v>34628048.59221359</v>
      </c>
      <c r="K313" s="77">
        <f t="shared" si="74"/>
        <v>31952311.538563225</v>
      </c>
      <c r="L313" s="77">
        <f t="shared" si="74"/>
        <v>26016285.13336421</v>
      </c>
      <c r="M313" s="77">
        <f t="shared" si="74"/>
        <v>30062119.17546873</v>
      </c>
      <c r="N313" s="186">
        <f t="shared" si="74"/>
        <v>31155471.21786973</v>
      </c>
      <c r="O313" s="187">
        <f t="shared" si="74"/>
        <v>483428103.0000273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5" ref="D322:O322">SUM(D317:D321)</f>
        <v>11189864.027066076</v>
      </c>
      <c r="E322" s="167">
        <f t="shared" si="75"/>
        <v>11518485.103358384</v>
      </c>
      <c r="F322" s="167">
        <f t="shared" si="75"/>
        <v>11172373.135397488</v>
      </c>
      <c r="G322" s="167">
        <f t="shared" si="75"/>
        <v>11564610.263224468</v>
      </c>
      <c r="H322" s="167">
        <f t="shared" si="75"/>
        <v>12435258.91361883</v>
      </c>
      <c r="I322" s="167">
        <f t="shared" si="75"/>
        <v>11925089.692157917</v>
      </c>
      <c r="J322" s="167">
        <f t="shared" si="75"/>
        <v>11826197.586959587</v>
      </c>
      <c r="K322" s="167">
        <f t="shared" si="75"/>
        <v>11826470.55557961</v>
      </c>
      <c r="L322" s="167">
        <f t="shared" si="75"/>
        <v>11785983.817357121</v>
      </c>
      <c r="M322" s="167">
        <f t="shared" si="75"/>
        <v>11140764.065469872</v>
      </c>
      <c r="N322" s="167">
        <f t="shared" si="75"/>
        <v>11342176.37773681</v>
      </c>
      <c r="O322" s="166">
        <f t="shared" si="75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6" ref="C323:N323">C322-C165</f>
        <v>-0.01919611170887947</v>
      </c>
      <c r="D323" s="206">
        <f t="shared" si="76"/>
        <v>-0.27493392303586006</v>
      </c>
      <c r="E323" s="206">
        <f t="shared" si="76"/>
        <v>-0.29964161477983</v>
      </c>
      <c r="F323" s="206">
        <f t="shared" si="76"/>
        <v>0.529397489503026</v>
      </c>
      <c r="G323" s="206">
        <f t="shared" si="76"/>
        <v>0.4082244671881199</v>
      </c>
      <c r="H323" s="206">
        <f t="shared" si="76"/>
        <v>-0.3953811712563038</v>
      </c>
      <c r="I323" s="206">
        <f t="shared" si="76"/>
        <v>0.1461579166352749</v>
      </c>
      <c r="J323" s="206">
        <f t="shared" si="76"/>
        <v>0.1969595868140459</v>
      </c>
      <c r="K323" s="206">
        <f t="shared" si="76"/>
        <v>-0.4614203907549381</v>
      </c>
      <c r="L323" s="206">
        <f t="shared" si="76"/>
        <v>0.2023571226745844</v>
      </c>
      <c r="M323" s="206">
        <f t="shared" si="76"/>
        <v>-0.29553012922406197</v>
      </c>
      <c r="N323" s="206">
        <f t="shared" si="76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334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7" ref="D332:O332">D9+D17</f>
        <v>2415425.535</v>
      </c>
      <c r="E332" s="59">
        <f t="shared" si="77"/>
        <v>1335251.607</v>
      </c>
      <c r="F332" s="59">
        <f t="shared" si="77"/>
        <v>1080389.8620000002</v>
      </c>
      <c r="G332" s="59">
        <f t="shared" si="77"/>
        <v>1060944.527</v>
      </c>
      <c r="H332" s="59">
        <f t="shared" si="77"/>
        <v>1084310.262</v>
      </c>
      <c r="I332" s="59">
        <f t="shared" si="77"/>
        <v>2231974.862</v>
      </c>
      <c r="J332" s="59">
        <f t="shared" si="77"/>
        <v>2133257.103</v>
      </c>
      <c r="K332" s="59">
        <f t="shared" si="77"/>
        <v>1952851.305</v>
      </c>
      <c r="L332" s="59">
        <f t="shared" si="77"/>
        <v>1950422.1269999999</v>
      </c>
      <c r="M332" s="59">
        <f t="shared" si="77"/>
        <v>1777894.8879999998</v>
      </c>
      <c r="N332" s="59">
        <f t="shared" si="77"/>
        <v>1788986.454</v>
      </c>
      <c r="O332" s="33">
        <f t="shared" si="77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8" ref="D333:O333">D12</f>
        <v>2164955.2</v>
      </c>
      <c r="E333" s="59">
        <f t="shared" si="78"/>
        <v>2095115.4</v>
      </c>
      <c r="F333" s="59">
        <f t="shared" si="78"/>
        <v>2164955.2</v>
      </c>
      <c r="G333" s="59">
        <f t="shared" si="78"/>
        <v>2095115.4</v>
      </c>
      <c r="H333" s="59">
        <f t="shared" si="78"/>
        <v>2164955.2</v>
      </c>
      <c r="I333" s="59">
        <f t="shared" si="78"/>
        <v>2164955.2</v>
      </c>
      <c r="J333" s="59">
        <f t="shared" si="78"/>
        <v>1955435.2</v>
      </c>
      <c r="K333" s="59">
        <f t="shared" si="78"/>
        <v>2164955.2</v>
      </c>
      <c r="L333" s="59">
        <f t="shared" si="78"/>
        <v>2095115.4</v>
      </c>
      <c r="M333" s="59">
        <f t="shared" si="78"/>
        <v>2164955.2</v>
      </c>
      <c r="N333" s="59">
        <f t="shared" si="78"/>
        <v>2095115.4</v>
      </c>
      <c r="O333" s="33">
        <f t="shared" si="78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79" ref="D334:O334">SUM(D10:D11)+SUM(D13:D16)+D18+D29+D39</f>
        <v>35234838.9642</v>
      </c>
      <c r="E334" s="59">
        <f t="shared" si="79"/>
        <v>36876820.0405</v>
      </c>
      <c r="F334" s="59">
        <f t="shared" si="79"/>
        <v>44701192.934200004</v>
      </c>
      <c r="G334" s="59">
        <f t="shared" si="79"/>
        <v>44401732.8005</v>
      </c>
      <c r="H334" s="59">
        <f t="shared" si="79"/>
        <v>52771014.6542</v>
      </c>
      <c r="I334" s="59">
        <f t="shared" si="79"/>
        <v>42013009.1942</v>
      </c>
      <c r="J334" s="59">
        <f t="shared" si="79"/>
        <v>37257127.0782</v>
      </c>
      <c r="K334" s="59">
        <f t="shared" si="79"/>
        <v>38480594.584199995</v>
      </c>
      <c r="L334" s="59">
        <f t="shared" si="79"/>
        <v>29670050.2555</v>
      </c>
      <c r="M334" s="59">
        <f t="shared" si="79"/>
        <v>23763177.0242</v>
      </c>
      <c r="N334" s="59">
        <f t="shared" si="79"/>
        <v>27563803.476499997</v>
      </c>
      <c r="O334" s="33">
        <f t="shared" si="79"/>
        <v>442679035.2406</v>
      </c>
      <c r="P334" s="85">
        <f>SUM(C334:N334)-O334</f>
        <v>0</v>
      </c>
      <c r="Q334" s="86"/>
      <c r="R334" s="109">
        <v>442679035</v>
      </c>
      <c r="S334" s="211">
        <f>ROUND(O334-R334,0)</f>
        <v>0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0" ref="C336:N336">SUM(C332:C335)</f>
        <v>34629891.8432</v>
      </c>
      <c r="D336" s="78">
        <f t="shared" si="80"/>
        <v>39815219.6992</v>
      </c>
      <c r="E336" s="78">
        <f t="shared" si="80"/>
        <v>40307187.0475</v>
      </c>
      <c r="F336" s="78">
        <f t="shared" si="80"/>
        <v>47946537.9962</v>
      </c>
      <c r="G336" s="78">
        <f t="shared" si="80"/>
        <v>47557792.7275</v>
      </c>
      <c r="H336" s="78">
        <f t="shared" si="80"/>
        <v>56020280.1162</v>
      </c>
      <c r="I336" s="78">
        <f t="shared" si="80"/>
        <v>46409939.2562</v>
      </c>
      <c r="J336" s="78">
        <f t="shared" si="80"/>
        <v>41345819.3812</v>
      </c>
      <c r="K336" s="78">
        <f t="shared" si="80"/>
        <v>42598401.0892</v>
      </c>
      <c r="L336" s="78">
        <f t="shared" si="80"/>
        <v>33715587.7825</v>
      </c>
      <c r="M336" s="78">
        <f t="shared" si="80"/>
        <v>27706027.1122</v>
      </c>
      <c r="N336" s="78">
        <f t="shared" si="80"/>
        <v>31447905.330499995</v>
      </c>
      <c r="O336" s="39">
        <f>SUM(O332:O335)</f>
        <v>489500589.38159996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0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1" ref="C339:O339">C237+C240+C243+C246+C250+C128</f>
        <v>5961374.017819953</v>
      </c>
      <c r="D339" s="59">
        <f t="shared" si="81"/>
        <v>5916951.323731856</v>
      </c>
      <c r="E339" s="59">
        <f t="shared" si="81"/>
        <v>1042350.5603340247</v>
      </c>
      <c r="F339" s="59">
        <f t="shared" si="81"/>
        <v>713421.7023276587</v>
      </c>
      <c r="G339" s="59">
        <f t="shared" si="81"/>
        <v>581728.3611782596</v>
      </c>
      <c r="H339" s="59">
        <f t="shared" si="81"/>
        <v>640975.1647384905</v>
      </c>
      <c r="I339" s="59">
        <f t="shared" si="81"/>
        <v>310114.54011695774</v>
      </c>
      <c r="J339" s="59">
        <f t="shared" si="81"/>
        <v>291603.14522594475</v>
      </c>
      <c r="K339" s="59">
        <f t="shared" si="81"/>
        <v>340311.01108212443</v>
      </c>
      <c r="L339" s="59">
        <f t="shared" si="81"/>
        <v>390593.6753430788</v>
      </c>
      <c r="M339" s="59">
        <f t="shared" si="81"/>
        <v>439146.67535938683</v>
      </c>
      <c r="N339" s="59">
        <f t="shared" si="81"/>
        <v>421565.25394933013</v>
      </c>
      <c r="O339" s="33">
        <f t="shared" si="81"/>
        <v>17050135.431207065</v>
      </c>
      <c r="P339" s="85">
        <f aca="true" t="shared" si="82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3" ref="C340:O340">C253+C257+C57</f>
        <v>4145821.537152192</v>
      </c>
      <c r="D340" s="59">
        <f t="shared" si="83"/>
        <v>4098837.876110427</v>
      </c>
      <c r="E340" s="59">
        <f t="shared" si="83"/>
        <v>3977972.3403869355</v>
      </c>
      <c r="F340" s="59">
        <f t="shared" si="83"/>
        <v>3786454.643698757</v>
      </c>
      <c r="G340" s="59">
        <f t="shared" si="83"/>
        <v>3934092.1881797044</v>
      </c>
      <c r="H340" s="59">
        <f t="shared" si="83"/>
        <v>4024380.2738432656</v>
      </c>
      <c r="I340" s="59">
        <f t="shared" si="83"/>
        <v>4034517.568539302</v>
      </c>
      <c r="J340" s="59">
        <f t="shared" si="83"/>
        <v>3765593.8348063687</v>
      </c>
      <c r="K340" s="59">
        <f t="shared" si="83"/>
        <v>4024882.026626843</v>
      </c>
      <c r="L340" s="59">
        <f t="shared" si="83"/>
        <v>3313975.4400953227</v>
      </c>
      <c r="M340" s="59">
        <f t="shared" si="83"/>
        <v>3898929.0216176934</v>
      </c>
      <c r="N340" s="59">
        <f t="shared" si="83"/>
        <v>4086372.058298086</v>
      </c>
      <c r="O340" s="33">
        <f t="shared" si="83"/>
        <v>47091828.80935489</v>
      </c>
      <c r="P340" s="85">
        <f t="shared" si="82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4" ref="C341:O341">C238+C241+C244+C247+C251+C254+C258+C52+C69+C70</f>
        <v>5237995.164792803</v>
      </c>
      <c r="D341" s="59">
        <f t="shared" si="84"/>
        <v>5207359.457116978</v>
      </c>
      <c r="E341" s="59">
        <f t="shared" si="84"/>
        <v>5035310.422561478</v>
      </c>
      <c r="F341" s="59">
        <f t="shared" si="84"/>
        <v>4045993.5935188835</v>
      </c>
      <c r="G341" s="59">
        <f t="shared" si="84"/>
        <v>3871660.856819806</v>
      </c>
      <c r="H341" s="59">
        <f t="shared" si="84"/>
        <v>4198856.334460258</v>
      </c>
      <c r="I341" s="59">
        <f t="shared" si="84"/>
        <v>2455770.028741196</v>
      </c>
      <c r="J341" s="59">
        <f t="shared" si="84"/>
        <v>2315274.074212958</v>
      </c>
      <c r="K341" s="59">
        <f t="shared" si="84"/>
        <v>2526671.429619856</v>
      </c>
      <c r="L341" s="59">
        <f t="shared" si="84"/>
        <v>2394116.7064943695</v>
      </c>
      <c r="M341" s="59">
        <f t="shared" si="84"/>
        <v>2775607.9080321174</v>
      </c>
      <c r="N341" s="59">
        <f t="shared" si="84"/>
        <v>2806746.1406649784</v>
      </c>
      <c r="O341" s="33">
        <f t="shared" si="84"/>
        <v>42871362.11703568</v>
      </c>
      <c r="P341" s="85">
        <f t="shared" si="82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5" ref="C342:O342">C248+C255+C260+SUM(C89:C102)+SUM(C104:C106)</f>
        <v>47788335.41204984</v>
      </c>
      <c r="D342" s="59">
        <f t="shared" si="85"/>
        <v>45737432.20289411</v>
      </c>
      <c r="E342" s="59">
        <f t="shared" si="85"/>
        <v>33373472.12520929</v>
      </c>
      <c r="F342" s="59">
        <f t="shared" si="85"/>
        <v>34428164.15803211</v>
      </c>
      <c r="G342" s="59">
        <f t="shared" si="85"/>
        <v>30666557.515557893</v>
      </c>
      <c r="H342" s="59">
        <f t="shared" si="85"/>
        <v>39548412.47983834</v>
      </c>
      <c r="I342" s="59">
        <f t="shared" si="85"/>
        <v>46436256.266444795</v>
      </c>
      <c r="J342" s="59">
        <f t="shared" si="85"/>
        <v>46217607.40671664</v>
      </c>
      <c r="K342" s="59">
        <f t="shared" si="85"/>
        <v>52280826.40366945</v>
      </c>
      <c r="L342" s="59">
        <f t="shared" si="85"/>
        <v>56556350.88979343</v>
      </c>
      <c r="M342" s="59">
        <f t="shared" si="85"/>
        <v>49306495.82701702</v>
      </c>
      <c r="N342" s="59">
        <f t="shared" si="85"/>
        <v>45097220.34864846</v>
      </c>
      <c r="O342" s="33">
        <f t="shared" si="85"/>
        <v>527437131.0358713</v>
      </c>
      <c r="P342" s="85">
        <f t="shared" si="82"/>
        <v>0</v>
      </c>
      <c r="Q342" s="86"/>
      <c r="R342" s="109">
        <v>527437131</v>
      </c>
      <c r="S342" s="211">
        <f>ROUND(O342-R342,0)</f>
        <v>0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2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6" ref="C344:N344">C78</f>
        <v>0</v>
      </c>
      <c r="D344" s="59">
        <f t="shared" si="86"/>
        <v>0</v>
      </c>
      <c r="E344" s="59">
        <f t="shared" si="86"/>
        <v>0</v>
      </c>
      <c r="F344" s="59">
        <f t="shared" si="86"/>
        <v>0</v>
      </c>
      <c r="G344" s="59">
        <f t="shared" si="86"/>
        <v>0</v>
      </c>
      <c r="H344" s="59">
        <f t="shared" si="86"/>
        <v>0</v>
      </c>
      <c r="I344" s="59">
        <f t="shared" si="86"/>
        <v>0</v>
      </c>
      <c r="J344" s="59">
        <f t="shared" si="86"/>
        <v>0</v>
      </c>
      <c r="K344" s="59">
        <f t="shared" si="86"/>
        <v>0</v>
      </c>
      <c r="L344" s="59">
        <f t="shared" si="86"/>
        <v>0</v>
      </c>
      <c r="M344" s="59">
        <f t="shared" si="86"/>
        <v>0</v>
      </c>
      <c r="N344" s="59">
        <f t="shared" si="86"/>
        <v>0</v>
      </c>
      <c r="O344" s="33">
        <f>O78</f>
        <v>0</v>
      </c>
      <c r="P344" s="85">
        <f t="shared" si="82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7" ref="C345:N345">C201</f>
        <v>260040.52115123035</v>
      </c>
      <c r="D345" s="59">
        <f t="shared" si="87"/>
        <v>260353.62973962713</v>
      </c>
      <c r="E345" s="59">
        <f t="shared" si="87"/>
        <v>273734.621364744</v>
      </c>
      <c r="F345" s="59">
        <f t="shared" si="87"/>
        <v>326812.249262088</v>
      </c>
      <c r="G345" s="59">
        <f t="shared" si="87"/>
        <v>385351.5655572479</v>
      </c>
      <c r="H345" s="59">
        <f t="shared" si="87"/>
        <v>415489.4347215744</v>
      </c>
      <c r="I345" s="59">
        <f t="shared" si="87"/>
        <v>426636.2584322299</v>
      </c>
      <c r="J345" s="59">
        <f t="shared" si="87"/>
        <v>350486.44199498993</v>
      </c>
      <c r="K345" s="59">
        <f t="shared" si="87"/>
        <v>388453.405210696</v>
      </c>
      <c r="L345" s="59">
        <f t="shared" si="87"/>
        <v>318217.01673770393</v>
      </c>
      <c r="M345" s="59">
        <f t="shared" si="87"/>
        <v>305701.921274498</v>
      </c>
      <c r="N345" s="59">
        <f t="shared" si="87"/>
        <v>280084.598317538</v>
      </c>
      <c r="O345" s="33">
        <f>O201</f>
        <v>3991361.663764167</v>
      </c>
      <c r="P345" s="85">
        <f t="shared" si="82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2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8" ref="C347:N347">SUM(C339:C346)</f>
        <v>63393566.652966015</v>
      </c>
      <c r="D347" s="78">
        <f t="shared" si="88"/>
        <v>61220934.489593</v>
      </c>
      <c r="E347" s="78">
        <f t="shared" si="88"/>
        <v>43702840.06985647</v>
      </c>
      <c r="F347" s="78">
        <f t="shared" si="88"/>
        <v>43300846.346839495</v>
      </c>
      <c r="G347" s="78">
        <f t="shared" si="88"/>
        <v>39439390.48729291</v>
      </c>
      <c r="H347" s="78">
        <f t="shared" si="88"/>
        <v>48828113.68760193</v>
      </c>
      <c r="I347" s="78">
        <f t="shared" si="88"/>
        <v>53663294.66227448</v>
      </c>
      <c r="J347" s="78">
        <f t="shared" si="88"/>
        <v>52940564.902956896</v>
      </c>
      <c r="K347" s="78">
        <f t="shared" si="88"/>
        <v>59561144.27620897</v>
      </c>
      <c r="L347" s="78">
        <f t="shared" si="88"/>
        <v>62973253.72846391</v>
      </c>
      <c r="M347" s="78">
        <f t="shared" si="88"/>
        <v>56725881.35330071</v>
      </c>
      <c r="N347" s="78">
        <f t="shared" si="88"/>
        <v>52691988.39987839</v>
      </c>
      <c r="O347" s="39">
        <f>SUM(O339:O346)</f>
        <v>638441819.0572331</v>
      </c>
      <c r="P347" s="85">
        <f t="shared" si="82"/>
        <v>0</v>
      </c>
      <c r="R347" s="39">
        <f>SUM(R339:R346)</f>
        <v>638441819</v>
      </c>
      <c r="S347" s="213">
        <f>ROUND(O347-R347,0)</f>
        <v>0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89" ref="C350:O350">C317</f>
        <v>2230634.2446042513</v>
      </c>
      <c r="D350" s="59">
        <f t="shared" si="89"/>
        <v>2234487.2246042513</v>
      </c>
      <c r="E350" s="59">
        <f t="shared" si="89"/>
        <v>2233535.9946042513</v>
      </c>
      <c r="F350" s="59">
        <f t="shared" si="89"/>
        <v>2247525.544604251</v>
      </c>
      <c r="G350" s="59">
        <f t="shared" si="89"/>
        <v>2238880.584604251</v>
      </c>
      <c r="H350" s="59">
        <f t="shared" si="89"/>
        <v>2302774.334604251</v>
      </c>
      <c r="I350" s="59">
        <f t="shared" si="89"/>
        <v>2274857.924604251</v>
      </c>
      <c r="J350" s="59">
        <f t="shared" si="89"/>
        <v>2265299.014604251</v>
      </c>
      <c r="K350" s="59">
        <f t="shared" si="89"/>
        <v>2277176.9946042513</v>
      </c>
      <c r="L350" s="59">
        <f t="shared" si="89"/>
        <v>2253027.544604251</v>
      </c>
      <c r="M350" s="59">
        <f t="shared" si="89"/>
        <v>2241285.8246042514</v>
      </c>
      <c r="N350" s="59">
        <f t="shared" si="89"/>
        <v>2234873.724604251</v>
      </c>
      <c r="O350" s="33">
        <f t="shared" si="89"/>
        <v>27034358.955251016</v>
      </c>
      <c r="P350" s="85">
        <f t="shared" si="82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aca="true" t="shared" si="90" ref="C351:O351">C318</f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2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2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2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2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58662774.02044397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59138986.194578245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677463239.2512218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51994664.07829041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437641542.2212515</v>
      </c>
      <c r="P360" s="85">
        <f t="shared" si="95"/>
        <v>0</v>
      </c>
      <c r="R360" s="109">
        <v>437641542</v>
      </c>
      <c r="S360" s="211">
        <f t="shared" si="96"/>
        <v>0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100374394.10799392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119638721.60306129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1220783645.071945</v>
      </c>
      <c r="P364" s="85">
        <f t="shared" si="95"/>
        <v>0</v>
      </c>
      <c r="R364" s="39">
        <f>SUM(R357:R363)</f>
        <v>1220783645</v>
      </c>
      <c r="S364" s="213">
        <f>ROUND(O364-R364,0)</f>
        <v>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140131690.29275993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124881814.48346321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1508445769.999578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0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0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192">
        <f t="shared" si="104"/>
        <v>0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335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5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62">
        <v>2455.707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27255.792999999998</v>
      </c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9072.531598186368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104103.07362169755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62">
        <v>1418300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15044810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5392624.019038469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61585034.08033952</v>
      </c>
      <c r="P397" s="85"/>
      <c r="Q397" s="1"/>
    </row>
    <row r="398" spans="3:16" ht="11.25"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3"/>
      <c r="O398" s="3"/>
      <c r="P398" s="3"/>
    </row>
    <row r="399" spans="1:17" ht="11.25">
      <c r="A399" s="222"/>
      <c r="B399" s="29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341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337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657984.2269416712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240280437.33859754</v>
      </c>
      <c r="P408" s="85"/>
      <c r="R408" s="126">
        <f>-SUM(R332:R334)+SUM(R339:R340)+R342+SUM(R344:R345)+SUM(R350:R352)</f>
        <v>240280438</v>
      </c>
      <c r="S408" s="217">
        <f>ROUND(O408-R408,0)</f>
        <v>-1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105703704.32778671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124223830.25652155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1268165332.6609807</v>
      </c>
      <c r="P409" s="85"/>
      <c r="R409" s="130">
        <f>-R335+R341+R343+R353+R364</f>
        <v>1268165332</v>
      </c>
      <c r="S409" s="218">
        <f>ROUND(O409-R409,0)</f>
        <v>1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140131690.29275993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124881814.48346323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1508445769.9995782</v>
      </c>
      <c r="P410" s="132" t="s">
        <v>250</v>
      </c>
      <c r="R410" s="39">
        <f>SUM(R408:R409)</f>
        <v>1508445770</v>
      </c>
      <c r="S410" s="216">
        <f>ROUND(O410-R410,0)</f>
        <v>0</v>
      </c>
    </row>
    <row r="412" ht="11.25">
      <c r="A412" s="5" t="s">
        <v>276</v>
      </c>
    </row>
    <row r="413" spans="1:16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6">
        <v>1475000000</v>
      </c>
      <c r="P413" s="133" t="s">
        <v>267</v>
      </c>
    </row>
    <row r="414" spans="1:18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1">
        <f>O413/O410-1</f>
        <v>-0.022172338352997367</v>
      </c>
      <c r="R414" s="160">
        <f>O413/R410-1</f>
        <v>-0.022172338353270704</v>
      </c>
    </row>
    <row r="416" ht="11.25">
      <c r="A416" s="5" t="s">
        <v>336</v>
      </c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7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643395.1780309851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234952858.18231997</v>
      </c>
      <c r="P417" s="85"/>
      <c r="Q417" s="131"/>
      <c r="R417" s="126">
        <f>(1+$R$414)*R408</f>
        <v>234952858.82899192</v>
      </c>
      <c r="S417" s="217">
        <f>ROUND(O417-R417,0)</f>
        <v>-1</v>
      </c>
    </row>
    <row r="418" spans="1:19" ht="11.25">
      <c r="A418" s="18" t="s">
        <v>275</v>
      </c>
      <c r="B418" s="29"/>
      <c r="C418" s="59">
        <f>(1+$O$414)*C409</f>
        <v>103360006.03026584</v>
      </c>
      <c r="D418" s="59">
        <f aca="true" t="shared" si="113" ref="D418:N418">(1+$O$414)*D409</f>
        <v>121601287.40390994</v>
      </c>
      <c r="E418" s="59">
        <f t="shared" si="113"/>
        <v>114487939.86364143</v>
      </c>
      <c r="F418" s="59">
        <f t="shared" si="113"/>
        <v>109386855.19297197</v>
      </c>
      <c r="G418" s="59">
        <f t="shared" si="113"/>
        <v>111922754.54440005</v>
      </c>
      <c r="H418" s="59">
        <f t="shared" si="113"/>
        <v>121469497.46056865</v>
      </c>
      <c r="I418" s="59">
        <f t="shared" si="113"/>
        <v>110221349.98039925</v>
      </c>
      <c r="J418" s="59">
        <f t="shared" si="113"/>
        <v>95710311.72614607</v>
      </c>
      <c r="K418" s="59">
        <f t="shared" si="113"/>
        <v>93603603.74384636</v>
      </c>
      <c r="L418" s="59">
        <f t="shared" si="113"/>
        <v>80202749.73940663</v>
      </c>
      <c r="M418" s="59">
        <f t="shared" si="113"/>
        <v>86791638.39206077</v>
      </c>
      <c r="N418" s="59">
        <f t="shared" si="113"/>
        <v>91289147.74006265</v>
      </c>
      <c r="O418" s="135">
        <f>(1+$O$414)*O409</f>
        <v>1240047141.81768</v>
      </c>
      <c r="P418" s="85"/>
      <c r="Q418" s="131"/>
      <c r="R418" s="135">
        <f>(1+$R$414)*R409</f>
        <v>1240047141.171008</v>
      </c>
      <c r="S418" s="218">
        <f>ROUND(O418-R418,0)</f>
        <v>1</v>
      </c>
    </row>
    <row r="419" spans="1:19" ht="11.25">
      <c r="A419" s="38" t="s">
        <v>273</v>
      </c>
      <c r="B419" s="34"/>
      <c r="C419" s="78">
        <f>SUM(C417:C418)</f>
        <v>137024643.04161143</v>
      </c>
      <c r="D419" s="78">
        <f aca="true" t="shared" si="114" ref="D419:N419">SUM(D417:D418)</f>
        <v>148099892.37453696</v>
      </c>
      <c r="E419" s="78">
        <f t="shared" si="114"/>
        <v>123387179.26516885</v>
      </c>
      <c r="F419" s="78">
        <f t="shared" si="114"/>
        <v>111488561.9135946</v>
      </c>
      <c r="G419" s="78">
        <f t="shared" si="114"/>
        <v>111327152.53156473</v>
      </c>
      <c r="H419" s="78">
        <f t="shared" si="114"/>
        <v>122112892.63859963</v>
      </c>
      <c r="I419" s="78">
        <f t="shared" si="114"/>
        <v>126083848.12298961</v>
      </c>
      <c r="J419" s="78">
        <f t="shared" si="114"/>
        <v>115997260.57425472</v>
      </c>
      <c r="K419" s="78">
        <f t="shared" si="114"/>
        <v>118762926.80748527</v>
      </c>
      <c r="L419" s="78">
        <f t="shared" si="114"/>
        <v>117643506.29340814</v>
      </c>
      <c r="M419" s="78">
        <f t="shared" si="114"/>
        <v>123089695.51166904</v>
      </c>
      <c r="N419" s="78">
        <f t="shared" si="114"/>
        <v>119982440.92511655</v>
      </c>
      <c r="O419" s="39">
        <f>SUM(O417:O418)</f>
        <v>1474999999.9999998</v>
      </c>
      <c r="P419" s="132" t="s">
        <v>249</v>
      </c>
      <c r="R419" s="105">
        <f>SUM(R417:R418)</f>
        <v>1475000000</v>
      </c>
      <c r="S419" s="216">
        <f>ROUND(O419-R419,0)</f>
        <v>0</v>
      </c>
    </row>
    <row r="420" spans="1:15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</row>
    <row r="421" spans="1:17" ht="11.25">
      <c r="A421" s="3" t="s">
        <v>243</v>
      </c>
      <c r="C421" s="113">
        <f aca="true" t="shared" si="115" ref="C421:O421">C397</f>
        <v>5581296.864122737</v>
      </c>
      <c r="D421" s="114">
        <f t="shared" si="115"/>
        <v>5456765.139644236</v>
      </c>
      <c r="E421" s="114">
        <f t="shared" si="115"/>
        <v>4811197.089344594</v>
      </c>
      <c r="F421" s="114">
        <f t="shared" si="115"/>
        <v>4902607.745818259</v>
      </c>
      <c r="G421" s="114">
        <f t="shared" si="115"/>
        <v>4972392.752910504</v>
      </c>
      <c r="H421" s="115">
        <f t="shared" si="115"/>
        <v>5392624.019038469</v>
      </c>
      <c r="I421" s="114">
        <f t="shared" si="115"/>
        <v>5409177.157763412</v>
      </c>
      <c r="J421" s="114">
        <f t="shared" si="115"/>
        <v>4977522.637930683</v>
      </c>
      <c r="K421" s="114">
        <f t="shared" si="115"/>
        <v>5150142.6992729325</v>
      </c>
      <c r="L421" s="114">
        <f t="shared" si="115"/>
        <v>4834714.178041546</v>
      </c>
      <c r="M421" s="114">
        <f t="shared" si="115"/>
        <v>5006223.999268866</v>
      </c>
      <c r="N421" s="114">
        <f t="shared" si="115"/>
        <v>5090369.797183279</v>
      </c>
      <c r="O421" s="116">
        <f t="shared" si="115"/>
        <v>61585034.08033952</v>
      </c>
      <c r="P421" s="132" t="s">
        <v>248</v>
      </c>
      <c r="Q421" s="1"/>
    </row>
    <row r="422" spans="3:15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</row>
    <row r="423" spans="1:17" ht="11.25">
      <c r="A423" s="155" t="s">
        <v>285</v>
      </c>
      <c r="B423" s="118"/>
      <c r="C423" s="156">
        <f aca="true" t="shared" si="116" ref="C423:O423">C419/C421</f>
        <v>24.55068174610505</v>
      </c>
      <c r="D423" s="157">
        <f t="shared" si="116"/>
        <v>27.140602277083268</v>
      </c>
      <c r="E423" s="157">
        <f t="shared" si="116"/>
        <v>25.645837610443287</v>
      </c>
      <c r="F423" s="157">
        <f t="shared" si="116"/>
        <v>22.740665314023985</v>
      </c>
      <c r="G423" s="157">
        <f t="shared" si="116"/>
        <v>22.389050516253228</v>
      </c>
      <c r="H423" s="157">
        <f t="shared" si="116"/>
        <v>22.644429169822406</v>
      </c>
      <c r="I423" s="157">
        <f t="shared" si="116"/>
        <v>23.309247311678508</v>
      </c>
      <c r="J423" s="157">
        <f t="shared" si="116"/>
        <v>23.30421557308648</v>
      </c>
      <c r="K423" s="157">
        <f t="shared" si="116"/>
        <v>23.06012352322811</v>
      </c>
      <c r="L423" s="157">
        <f t="shared" si="116"/>
        <v>24.333084017194864</v>
      </c>
      <c r="M423" s="157">
        <f t="shared" si="116"/>
        <v>24.58733279406708</v>
      </c>
      <c r="N423" s="158">
        <f t="shared" si="116"/>
        <v>23.57047635154287</v>
      </c>
      <c r="O423" s="159">
        <f t="shared" si="116"/>
        <v>23.950624076554348</v>
      </c>
      <c r="P423" s="132" t="s">
        <v>244</v>
      </c>
      <c r="Q423" s="1"/>
    </row>
    <row r="426" ht="11.25">
      <c r="A426" s="5" t="s">
        <v>288</v>
      </c>
    </row>
    <row r="428" ht="11.25">
      <c r="A428" s="5" t="s">
        <v>240</v>
      </c>
    </row>
    <row r="429" spans="1:15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0.43284111341301157</v>
      </c>
    </row>
    <row r="430" spans="1:15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0.42586659116107095</v>
      </c>
    </row>
    <row r="432" spans="1:19" ht="11.25">
      <c r="A432" s="110" t="s">
        <v>270</v>
      </c>
      <c r="R432" s="10" t="s">
        <v>278</v>
      </c>
      <c r="S432" s="154" t="s">
        <v>309</v>
      </c>
    </row>
    <row r="433" spans="1:19" ht="11.25">
      <c r="A433" s="15" t="s">
        <v>226</v>
      </c>
      <c r="B433" s="30"/>
      <c r="C433" s="76">
        <f>$O$429*C408</f>
        <v>14901847.77764654</v>
      </c>
      <c r="D433" s="76">
        <f aca="true" t="shared" si="117" ref="D433:N433">$O$429*D408</f>
        <v>11729761.929682795</v>
      </c>
      <c r="E433" s="76">
        <f t="shared" si="117"/>
        <v>3939300.187722277</v>
      </c>
      <c r="F433" s="76">
        <f t="shared" si="117"/>
        <v>930332.7290717565</v>
      </c>
      <c r="G433" s="76">
        <f t="shared" si="117"/>
        <v>-263646.70227516635</v>
      </c>
      <c r="H433" s="76">
        <f t="shared" si="117"/>
        <v>284802.62539763266</v>
      </c>
      <c r="I433" s="76">
        <f t="shared" si="117"/>
        <v>7021627.252788082</v>
      </c>
      <c r="J433" s="76">
        <f t="shared" si="117"/>
        <v>8980136.144213645</v>
      </c>
      <c r="K433" s="76">
        <f t="shared" si="117"/>
        <v>11136920.987938294</v>
      </c>
      <c r="L433" s="76">
        <f t="shared" si="117"/>
        <v>16573369.101220906</v>
      </c>
      <c r="M433" s="76">
        <f t="shared" si="117"/>
        <v>16067546.536694456</v>
      </c>
      <c r="N433" s="76">
        <f t="shared" si="117"/>
        <v>12701253.458902678</v>
      </c>
      <c r="O433" s="183">
        <f>$O$429*O408</f>
        <v>104003252.02900392</v>
      </c>
      <c r="P433" s="85"/>
      <c r="R433" s="136">
        <f>O429*R408</f>
        <v>104003252.3152861</v>
      </c>
      <c r="S433" s="214">
        <f>ROUND(O433-R433,0)</f>
        <v>0</v>
      </c>
    </row>
    <row r="434" spans="1:19" ht="11.25">
      <c r="A434" s="18" t="s">
        <v>227</v>
      </c>
      <c r="B434" s="29"/>
      <c r="C434" s="59">
        <f>$O$430*C409</f>
        <v>45015676.23517227</v>
      </c>
      <c r="D434" s="59">
        <f aca="true" t="shared" si="118" ref="D434:N434">$O$430*D409</f>
        <v>52960176.7046304</v>
      </c>
      <c r="E434" s="59">
        <f t="shared" si="118"/>
        <v>49862149.1200807</v>
      </c>
      <c r="F434" s="59">
        <f t="shared" si="118"/>
        <v>47640508.61518545</v>
      </c>
      <c r="G434" s="59">
        <f t="shared" si="118"/>
        <v>48744951.50903979</v>
      </c>
      <c r="H434" s="59">
        <f t="shared" si="118"/>
        <v>52902779.132316336</v>
      </c>
      <c r="I434" s="59">
        <f t="shared" si="118"/>
        <v>48003950.42032393</v>
      </c>
      <c r="J434" s="59">
        <f t="shared" si="118"/>
        <v>41684057.21425752</v>
      </c>
      <c r="K434" s="59">
        <f t="shared" si="118"/>
        <v>40766537.10086388</v>
      </c>
      <c r="L434" s="59">
        <f t="shared" si="118"/>
        <v>34930154.845216304</v>
      </c>
      <c r="M434" s="59">
        <f t="shared" si="118"/>
        <v>37799768.4388013</v>
      </c>
      <c r="N434" s="59">
        <f t="shared" si="118"/>
        <v>39758537.91308936</v>
      </c>
      <c r="O434" s="162">
        <f>$O$430*O409</f>
        <v>540069247.2489774</v>
      </c>
      <c r="P434" s="85"/>
      <c r="R434" s="137">
        <f>O430*R409</f>
        <v>540069246.9674878</v>
      </c>
      <c r="S434" s="215">
        <f>ROUND(O434-R434,0)</f>
        <v>0</v>
      </c>
    </row>
    <row r="435" spans="1:19" ht="11.25">
      <c r="A435" s="38" t="s">
        <v>269</v>
      </c>
      <c r="B435" s="34"/>
      <c r="C435" s="78">
        <f>SUM(C433:C434)</f>
        <v>59917524.01281881</v>
      </c>
      <c r="D435" s="78">
        <f aca="true" t="shared" si="119" ref="D435:N435">SUM(D433:D434)</f>
        <v>64689938.634313196</v>
      </c>
      <c r="E435" s="78">
        <f t="shared" si="119"/>
        <v>53801449.307802975</v>
      </c>
      <c r="F435" s="78">
        <f t="shared" si="119"/>
        <v>48570841.344257206</v>
      </c>
      <c r="G435" s="78">
        <f t="shared" si="119"/>
        <v>48481304.806764625</v>
      </c>
      <c r="H435" s="78">
        <f t="shared" si="119"/>
        <v>53187581.757713966</v>
      </c>
      <c r="I435" s="78">
        <f t="shared" si="119"/>
        <v>55025577.67311201</v>
      </c>
      <c r="J435" s="78">
        <f t="shared" si="119"/>
        <v>50664193.35847117</v>
      </c>
      <c r="K435" s="78">
        <f t="shared" si="119"/>
        <v>51903458.088802174</v>
      </c>
      <c r="L435" s="78">
        <f t="shared" si="119"/>
        <v>51503523.94643721</v>
      </c>
      <c r="M435" s="78">
        <f t="shared" si="119"/>
        <v>53867314.975495756</v>
      </c>
      <c r="N435" s="78">
        <f t="shared" si="119"/>
        <v>52459791.37199204</v>
      </c>
      <c r="O435" s="134">
        <f>SUM(O433:O434)</f>
        <v>644072499.2779813</v>
      </c>
      <c r="P435" s="85"/>
      <c r="Q435" s="150"/>
      <c r="R435" s="39">
        <f>SUM(R433:R434)</f>
        <v>644072499.282774</v>
      </c>
      <c r="S435" s="216">
        <f>ROUND(O435-R435,0)</f>
        <v>0</v>
      </c>
    </row>
    <row r="436" spans="3:17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</row>
    <row r="437" ht="11.25">
      <c r="A437" s="5" t="s">
        <v>277</v>
      </c>
    </row>
    <row r="438" spans="1:16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108">
        <f>-15000000</f>
        <v>-15000000</v>
      </c>
      <c r="P438" s="133" t="s">
        <v>267</v>
      </c>
    </row>
    <row r="439" spans="1:18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-0.023289303637114345</v>
      </c>
      <c r="R439" s="160">
        <f>(R435+O438)/R435-1</f>
        <v>-0.02328930363694104</v>
      </c>
    </row>
    <row r="440" spans="1:15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</row>
    <row r="441" ht="11.25">
      <c r="A441" s="5" t="s">
        <v>340</v>
      </c>
    </row>
    <row r="442" spans="1:19" ht="11.25">
      <c r="A442" s="15" t="s">
        <v>226</v>
      </c>
      <c r="B442" s="30"/>
      <c r="C442" s="76">
        <f>(1+$O$439)*C433</f>
        <v>14554794.119998872</v>
      </c>
      <c r="D442" s="76">
        <f aca="true" t="shared" si="120" ref="D442:N442">(1+$O$439)*D433</f>
        <v>11456583.942511348</v>
      </c>
      <c r="E442" s="76">
        <f t="shared" si="120"/>
        <v>3847556.629532671</v>
      </c>
      <c r="F442" s="76">
        <f t="shared" si="120"/>
        <v>908665.9276608591</v>
      </c>
      <c r="G442" s="76">
        <f t="shared" si="120"/>
        <v>-257506.55417295612</v>
      </c>
      <c r="H442" s="76">
        <f t="shared" si="120"/>
        <v>278169.7705780999</v>
      </c>
      <c r="I442" s="76">
        <f t="shared" si="120"/>
        <v>6858098.443671263</v>
      </c>
      <c r="J442" s="76">
        <f t="shared" si="120"/>
        <v>8770995.026848428</v>
      </c>
      <c r="K442" s="76">
        <f t="shared" si="120"/>
        <v>10877549.853467647</v>
      </c>
      <c r="L442" s="76">
        <f t="shared" si="120"/>
        <v>16187386.875932604</v>
      </c>
      <c r="M442" s="76">
        <f t="shared" si="120"/>
        <v>15693344.566697914</v>
      </c>
      <c r="N442" s="76">
        <f t="shared" si="120"/>
        <v>12405450.110526344</v>
      </c>
      <c r="O442" s="126">
        <f>(1+$O$439)*O433</f>
        <v>101581088.71325311</v>
      </c>
      <c r="P442" s="85"/>
      <c r="R442" s="126">
        <f>(1+$R$439)*R433</f>
        <v>101581088.992886</v>
      </c>
      <c r="S442" s="214">
        <f>ROUND(O442-R442,0)</f>
        <v>0</v>
      </c>
    </row>
    <row r="443" spans="1:19" ht="11.25">
      <c r="A443" s="18" t="s">
        <v>227</v>
      </c>
      <c r="B443" s="29"/>
      <c r="C443" s="59">
        <f>(1+$O$439)*C434</f>
        <v>43967292.48290131</v>
      </c>
      <c r="D443" s="59">
        <f aca="true" t="shared" si="121" ref="D443:N443">(1+$O$439)*D434</f>
        <v>51726771.06868103</v>
      </c>
      <c r="E443" s="59">
        <f t="shared" si="121"/>
        <v>48700894.38922407</v>
      </c>
      <c r="F443" s="59">
        <f t="shared" si="121"/>
        <v>46530994.34461983</v>
      </c>
      <c r="G443" s="59">
        <f t="shared" si="121"/>
        <v>47609715.53256935</v>
      </c>
      <c r="H443" s="59">
        <f t="shared" si="121"/>
        <v>51670710.24585663</v>
      </c>
      <c r="I443" s="59">
        <f t="shared" si="121"/>
        <v>46885971.84320402</v>
      </c>
      <c r="J443" s="59">
        <f t="shared" si="121"/>
        <v>40713264.54896783</v>
      </c>
      <c r="K443" s="59">
        <f t="shared" si="121"/>
        <v>39817112.840088174</v>
      </c>
      <c r="L443" s="59">
        <f t="shared" si="121"/>
        <v>34116655.86293464</v>
      </c>
      <c r="M443" s="59">
        <f t="shared" si="121"/>
        <v>36919438.15421745</v>
      </c>
      <c r="N443" s="59">
        <f t="shared" si="121"/>
        <v>38832589.2514637</v>
      </c>
      <c r="O443" s="135">
        <f>(1+$O$439)*O434</f>
        <v>527491410.5647282</v>
      </c>
      <c r="P443" s="85"/>
      <c r="R443" s="135">
        <f>(1+$R$439)*R434</f>
        <v>527491410.2898879</v>
      </c>
      <c r="S443" s="215">
        <f>ROUND(O443-R443,0)</f>
        <v>0</v>
      </c>
    </row>
    <row r="444" spans="1:19" ht="11.25">
      <c r="A444" s="252" t="s">
        <v>283</v>
      </c>
      <c r="B444" s="99"/>
      <c r="C444" s="68">
        <f aca="true" t="shared" si="122" ref="C444:O444">SUM(C442:C443)</f>
        <v>58522086.602900185</v>
      </c>
      <c r="D444" s="68">
        <f t="shared" si="122"/>
        <v>63183355.01119238</v>
      </c>
      <c r="E444" s="68">
        <f t="shared" si="122"/>
        <v>52548451.01875674</v>
      </c>
      <c r="F444" s="68">
        <f t="shared" si="122"/>
        <v>47439660.27228069</v>
      </c>
      <c r="G444" s="68">
        <f t="shared" si="122"/>
        <v>47352208.97839639</v>
      </c>
      <c r="H444" s="68">
        <f t="shared" si="122"/>
        <v>51948880.01643473</v>
      </c>
      <c r="I444" s="68">
        <f t="shared" si="122"/>
        <v>53744070.286875285</v>
      </c>
      <c r="J444" s="68">
        <f t="shared" si="122"/>
        <v>49484259.57581626</v>
      </c>
      <c r="K444" s="68">
        <f t="shared" si="122"/>
        <v>50694662.69355582</v>
      </c>
      <c r="L444" s="68">
        <f t="shared" si="122"/>
        <v>50304042.738867246</v>
      </c>
      <c r="M444" s="68">
        <f t="shared" si="122"/>
        <v>52612782.72091536</v>
      </c>
      <c r="N444" s="68">
        <f t="shared" si="122"/>
        <v>51238039.36199004</v>
      </c>
      <c r="O444" s="105">
        <f t="shared" si="122"/>
        <v>629072499.2779813</v>
      </c>
      <c r="P444" s="85"/>
      <c r="R444" s="105">
        <f>SUM(R442:R443)</f>
        <v>629072499.282774</v>
      </c>
      <c r="S444" s="216">
        <f>ROUND(O444-R444,0)</f>
        <v>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6" ht="11.25">
      <c r="A446" s="3" t="s">
        <v>242</v>
      </c>
      <c r="C446" s="113">
        <f>C$393</f>
        <v>2487068.8526099944</v>
      </c>
      <c r="D446" s="114">
        <f aca="true" t="shared" si="123" ref="D446:O446">D$393</f>
        <v>2438509.7444056342</v>
      </c>
      <c r="E446" s="114">
        <f t="shared" si="123"/>
        <v>2080961.8373600258</v>
      </c>
      <c r="F446" s="114">
        <f t="shared" si="123"/>
        <v>2071429.3328379635</v>
      </c>
      <c r="G446" s="114">
        <f t="shared" si="123"/>
        <v>2071815.7681234297</v>
      </c>
      <c r="H446" s="115">
        <f t="shared" si="123"/>
        <v>2188690.6580353575</v>
      </c>
      <c r="I446" s="114">
        <f t="shared" si="123"/>
        <v>2214778.992962022</v>
      </c>
      <c r="J446" s="114">
        <f t="shared" si="123"/>
        <v>2061686.698582105</v>
      </c>
      <c r="K446" s="114">
        <f t="shared" si="123"/>
        <v>2151582.6614674903</v>
      </c>
      <c r="L446" s="114">
        <f t="shared" si="123"/>
        <v>2067721.3107937044</v>
      </c>
      <c r="M446" s="114">
        <f t="shared" si="123"/>
        <v>2144934.3661793056</v>
      </c>
      <c r="N446" s="114">
        <f t="shared" si="123"/>
        <v>2247828.3069755384</v>
      </c>
      <c r="O446" s="116">
        <f t="shared" si="123"/>
        <v>26227008.530332573</v>
      </c>
      <c r="P446" s="85"/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253"/>
      <c r="C448" s="119">
        <f>C444/C446</f>
        <v>23.530545421565467</v>
      </c>
      <c r="D448" s="120">
        <f aca="true" t="shared" si="124" ref="D448:N448">D444/D446</f>
        <v>25.91064282443242</v>
      </c>
      <c r="E448" s="120">
        <f t="shared" si="124"/>
        <v>25.25200129831375</v>
      </c>
      <c r="F448" s="120">
        <f t="shared" si="124"/>
        <v>22.90189654082283</v>
      </c>
      <c r="G448" s="120">
        <f t="shared" si="124"/>
        <v>22.85541490075934</v>
      </c>
      <c r="H448" s="120">
        <f t="shared" si="124"/>
        <v>23.735140379803966</v>
      </c>
      <c r="I448" s="120">
        <f t="shared" si="124"/>
        <v>24.266109827508586</v>
      </c>
      <c r="J448" s="120">
        <f t="shared" si="124"/>
        <v>24.0018328729813</v>
      </c>
      <c r="K448" s="120">
        <f t="shared" si="124"/>
        <v>23.56156870077185</v>
      </c>
      <c r="L448" s="120">
        <f t="shared" si="124"/>
        <v>24.328250850961055</v>
      </c>
      <c r="M448" s="120">
        <f t="shared" si="124"/>
        <v>24.528854379182064</v>
      </c>
      <c r="N448" s="121">
        <f t="shared" si="124"/>
        <v>22.7944630837624</v>
      </c>
      <c r="O448" s="122">
        <f>O444/O446</f>
        <v>23.98567486453646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385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24.55068174610505</v>
      </c>
      <c r="D458" s="157">
        <f aca="true" t="shared" si="125" ref="D458:O458">D423</f>
        <v>27.140602277083268</v>
      </c>
      <c r="E458" s="157">
        <f t="shared" si="125"/>
        <v>25.645837610443287</v>
      </c>
      <c r="F458" s="157">
        <f t="shared" si="125"/>
        <v>22.740665314023985</v>
      </c>
      <c r="G458" s="157">
        <f t="shared" si="125"/>
        <v>22.389050516253228</v>
      </c>
      <c r="H458" s="157">
        <f t="shared" si="125"/>
        <v>22.644429169822406</v>
      </c>
      <c r="I458" s="157">
        <f t="shared" si="125"/>
        <v>23.309247311678508</v>
      </c>
      <c r="J458" s="157">
        <f t="shared" si="125"/>
        <v>23.30421557308648</v>
      </c>
      <c r="K458" s="157">
        <f t="shared" si="125"/>
        <v>23.06012352322811</v>
      </c>
      <c r="L458" s="157">
        <f t="shared" si="125"/>
        <v>24.333084017194864</v>
      </c>
      <c r="M458" s="157">
        <f t="shared" si="125"/>
        <v>24.58733279406708</v>
      </c>
      <c r="N458" s="158">
        <f t="shared" si="125"/>
        <v>23.57047635154287</v>
      </c>
      <c r="O458" s="159">
        <f t="shared" si="125"/>
        <v>23.950624076554348</v>
      </c>
      <c r="P458" s="132" t="s">
        <v>244</v>
      </c>
    </row>
    <row r="460" spans="1:16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1.0001400533189024</v>
      </c>
      <c r="P460" s="132" t="s">
        <v>246</v>
      </c>
    </row>
    <row r="461" spans="15:16" ht="11.25">
      <c r="O461" s="145"/>
      <c r="P461" s="132"/>
    </row>
    <row r="462" spans="1:16" ht="11.25">
      <c r="A462" s="117" t="s">
        <v>348</v>
      </c>
      <c r="B462" s="118"/>
      <c r="C462" s="119">
        <f>$O$460*C458</f>
        <v>24.55412015056491</v>
      </c>
      <c r="D462" s="120">
        <f aca="true" t="shared" si="126" ref="D462:N462">$O$460*D458</f>
        <v>27.144403408509184</v>
      </c>
      <c r="E462" s="120">
        <f t="shared" si="126"/>
        <v>25.649429395116663</v>
      </c>
      <c r="F462" s="120">
        <f t="shared" si="126"/>
        <v>22.743850219675263</v>
      </c>
      <c r="G462" s="120">
        <f t="shared" si="126"/>
        <v>22.392186177085105</v>
      </c>
      <c r="H462" s="120">
        <f t="shared" si="126"/>
        <v>22.647600597282292</v>
      </c>
      <c r="I462" s="120">
        <f t="shared" si="126"/>
        <v>23.312511849125627</v>
      </c>
      <c r="J462" s="120">
        <f t="shared" si="126"/>
        <v>23.30747940582191</v>
      </c>
      <c r="K462" s="120">
        <f t="shared" si="126"/>
        <v>23.063353170061838</v>
      </c>
      <c r="L462" s="120">
        <f t="shared" si="126"/>
        <v>24.336491946370604</v>
      </c>
      <c r="M462" s="120">
        <f t="shared" si="126"/>
        <v>24.590776331627847</v>
      </c>
      <c r="N462" s="121">
        <f t="shared" si="126"/>
        <v>23.573777474984013</v>
      </c>
      <c r="O462" s="159">
        <f>O466/O464</f>
        <v>23.98567486453646</v>
      </c>
      <c r="P462" s="132" t="s">
        <v>247</v>
      </c>
    </row>
    <row r="464" spans="1:17" ht="11.25">
      <c r="A464" s="3" t="s">
        <v>242</v>
      </c>
      <c r="C464" s="113">
        <f>C$393</f>
        <v>2487068.8526099944</v>
      </c>
      <c r="D464" s="114">
        <f aca="true" t="shared" si="127" ref="D464:O464">D$393</f>
        <v>2438509.7444056342</v>
      </c>
      <c r="E464" s="114">
        <f t="shared" si="127"/>
        <v>2080961.8373600258</v>
      </c>
      <c r="F464" s="114">
        <f t="shared" si="127"/>
        <v>2071429.3328379635</v>
      </c>
      <c r="G464" s="114">
        <f t="shared" si="127"/>
        <v>2071815.7681234297</v>
      </c>
      <c r="H464" s="115">
        <f t="shared" si="127"/>
        <v>2188690.6580353575</v>
      </c>
      <c r="I464" s="114">
        <f t="shared" si="127"/>
        <v>2214778.992962022</v>
      </c>
      <c r="J464" s="114">
        <f t="shared" si="127"/>
        <v>2061686.698582105</v>
      </c>
      <c r="K464" s="114">
        <f t="shared" si="127"/>
        <v>2151582.6614674903</v>
      </c>
      <c r="L464" s="114">
        <f t="shared" si="127"/>
        <v>2067721.3107937044</v>
      </c>
      <c r="M464" s="114">
        <f t="shared" si="127"/>
        <v>2144934.3661793056</v>
      </c>
      <c r="N464" s="114">
        <f t="shared" si="127"/>
        <v>2247828.3069755384</v>
      </c>
      <c r="O464" s="116">
        <f t="shared" si="127"/>
        <v>26227008.530332573</v>
      </c>
      <c r="P464" s="132" t="s">
        <v>359</v>
      </c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61067787.42971341</v>
      </c>
      <c r="D466" s="78">
        <f aca="true" t="shared" si="128" ref="D466:N466">D462*D464</f>
        <v>66191892.217727154</v>
      </c>
      <c r="E466" s="78">
        <f t="shared" si="128"/>
        <v>53375483.721298225</v>
      </c>
      <c r="F466" s="78">
        <f t="shared" si="128"/>
        <v>47112278.4867085</v>
      </c>
      <c r="G466" s="78">
        <f t="shared" si="128"/>
        <v>46392484.40444042</v>
      </c>
      <c r="H466" s="78">
        <f t="shared" si="128"/>
        <v>49568591.854187734</v>
      </c>
      <c r="I466" s="78">
        <f t="shared" si="128"/>
        <v>51632061.51662166</v>
      </c>
      <c r="J466" s="78">
        <f t="shared" si="128"/>
        <v>48052720.26845937</v>
      </c>
      <c r="K466" s="78">
        <f t="shared" si="128"/>
        <v>49622710.79600633</v>
      </c>
      <c r="L466" s="78">
        <f t="shared" si="128"/>
        <v>50321083.02746985</v>
      </c>
      <c r="M466" s="78">
        <f t="shared" si="128"/>
        <v>52745601.244737245</v>
      </c>
      <c r="N466" s="78">
        <f t="shared" si="128"/>
        <v>52989804.3106114</v>
      </c>
      <c r="O466" s="134">
        <f>SUM(C466:N466)</f>
        <v>629072499.2779813</v>
      </c>
      <c r="P466" s="132" t="s">
        <v>263</v>
      </c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9" ref="D472:N473">$O472/12</f>
        <v>5232462.166666667</v>
      </c>
      <c r="E472" s="76">
        <f t="shared" si="129"/>
        <v>5232462.166666667</v>
      </c>
      <c r="F472" s="76">
        <f t="shared" si="129"/>
        <v>5232462.166666667</v>
      </c>
      <c r="G472" s="76">
        <f t="shared" si="129"/>
        <v>5232462.166666667</v>
      </c>
      <c r="H472" s="76">
        <f t="shared" si="129"/>
        <v>5232462.166666667</v>
      </c>
      <c r="I472" s="76">
        <f t="shared" si="129"/>
        <v>5232462.166666667</v>
      </c>
      <c r="J472" s="76">
        <f t="shared" si="129"/>
        <v>5232462.166666667</v>
      </c>
      <c r="K472" s="76">
        <f t="shared" si="129"/>
        <v>5232462.166666667</v>
      </c>
      <c r="L472" s="76">
        <f t="shared" si="129"/>
        <v>5232462.166666667</v>
      </c>
      <c r="M472" s="76">
        <f t="shared" si="129"/>
        <v>5232462.166666667</v>
      </c>
      <c r="N472" s="76">
        <f t="shared" si="129"/>
        <v>5232462.166666667</v>
      </c>
      <c r="O472" s="108">
        <v>62789546</v>
      </c>
      <c r="P472" s="132" t="s">
        <v>251</v>
      </c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9"/>
        <v>642594.6666666666</v>
      </c>
      <c r="E473" s="59">
        <f t="shared" si="129"/>
        <v>642594.6666666666</v>
      </c>
      <c r="F473" s="59">
        <f t="shared" si="129"/>
        <v>642594.6666666666</v>
      </c>
      <c r="G473" s="59">
        <f t="shared" si="129"/>
        <v>642594.6666666666</v>
      </c>
      <c r="H473" s="59">
        <f t="shared" si="129"/>
        <v>642594.6666666666</v>
      </c>
      <c r="I473" s="59">
        <f t="shared" si="129"/>
        <v>642594.6666666666</v>
      </c>
      <c r="J473" s="59">
        <f t="shared" si="129"/>
        <v>642594.6666666666</v>
      </c>
      <c r="K473" s="59">
        <f t="shared" si="129"/>
        <v>642594.6666666666</v>
      </c>
      <c r="L473" s="59">
        <f t="shared" si="129"/>
        <v>642594.6666666666</v>
      </c>
      <c r="M473" s="59">
        <f t="shared" si="129"/>
        <v>642594.6666666666</v>
      </c>
      <c r="N473" s="59">
        <f t="shared" si="129"/>
        <v>642594.6666666666</v>
      </c>
      <c r="O473" s="109">
        <v>7711136</v>
      </c>
      <c r="P473" s="132" t="s">
        <v>252</v>
      </c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30" ref="D474:O474">SUM(D472:D473)</f>
        <v>5875056.833333334</v>
      </c>
      <c r="E474" s="78">
        <f t="shared" si="130"/>
        <v>5875056.833333334</v>
      </c>
      <c r="F474" s="78">
        <f t="shared" si="130"/>
        <v>5875056.833333334</v>
      </c>
      <c r="G474" s="78">
        <f t="shared" si="130"/>
        <v>5875056.833333334</v>
      </c>
      <c r="H474" s="78">
        <f t="shared" si="130"/>
        <v>5875056.833333334</v>
      </c>
      <c r="I474" s="78">
        <f t="shared" si="130"/>
        <v>5875056.833333334</v>
      </c>
      <c r="J474" s="78">
        <f t="shared" si="130"/>
        <v>5875056.833333334</v>
      </c>
      <c r="K474" s="78">
        <f t="shared" si="130"/>
        <v>5875056.833333334</v>
      </c>
      <c r="L474" s="78">
        <f t="shared" si="130"/>
        <v>5875056.833333334</v>
      </c>
      <c r="M474" s="78">
        <f t="shared" si="130"/>
        <v>5875056.833333334</v>
      </c>
      <c r="N474" s="78">
        <f t="shared" si="130"/>
        <v>5875056.833333334</v>
      </c>
      <c r="O474" s="134">
        <f t="shared" si="130"/>
        <v>70500682</v>
      </c>
      <c r="P474" s="132" t="s">
        <v>253</v>
      </c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31" ref="C477:N477">$O$429*C472</f>
        <v>2264824.750111459</v>
      </c>
      <c r="D477" s="76">
        <f t="shared" si="131"/>
        <v>2264824.750111459</v>
      </c>
      <c r="E477" s="76">
        <f t="shared" si="131"/>
        <v>2264824.750111459</v>
      </c>
      <c r="F477" s="76">
        <f t="shared" si="131"/>
        <v>2264824.750111459</v>
      </c>
      <c r="G477" s="76">
        <f t="shared" si="131"/>
        <v>2264824.750111459</v>
      </c>
      <c r="H477" s="76">
        <f t="shared" si="131"/>
        <v>2264824.750111459</v>
      </c>
      <c r="I477" s="76">
        <f t="shared" si="131"/>
        <v>2264824.750111459</v>
      </c>
      <c r="J477" s="76">
        <f t="shared" si="131"/>
        <v>2264824.750111459</v>
      </c>
      <c r="K477" s="76">
        <f t="shared" si="131"/>
        <v>2264824.750111459</v>
      </c>
      <c r="L477" s="76">
        <f t="shared" si="131"/>
        <v>2264824.750111459</v>
      </c>
      <c r="M477" s="76">
        <f t="shared" si="131"/>
        <v>2264824.750111459</v>
      </c>
      <c r="N477" s="76">
        <f t="shared" si="131"/>
        <v>2264824.750111459</v>
      </c>
      <c r="O477" s="126">
        <f>SUM(C477:N477)</f>
        <v>27177897.001337513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2" ref="C478:N478">$O$430*C473</f>
        <v>273659.60019161797</v>
      </c>
      <c r="D478" s="59">
        <f t="shared" si="132"/>
        <v>273659.60019161797</v>
      </c>
      <c r="E478" s="59">
        <f t="shared" si="132"/>
        <v>273659.60019161797</v>
      </c>
      <c r="F478" s="59">
        <f t="shared" si="132"/>
        <v>273659.60019161797</v>
      </c>
      <c r="G478" s="59">
        <f t="shared" si="132"/>
        <v>273659.60019161797</v>
      </c>
      <c r="H478" s="59">
        <f t="shared" si="132"/>
        <v>273659.60019161797</v>
      </c>
      <c r="I478" s="59">
        <f t="shared" si="132"/>
        <v>273659.60019161797</v>
      </c>
      <c r="J478" s="59">
        <f t="shared" si="132"/>
        <v>273659.60019161797</v>
      </c>
      <c r="K478" s="59">
        <f t="shared" si="132"/>
        <v>273659.60019161797</v>
      </c>
      <c r="L478" s="59">
        <f t="shared" si="132"/>
        <v>273659.60019161797</v>
      </c>
      <c r="M478" s="59">
        <f t="shared" si="132"/>
        <v>273659.60019161797</v>
      </c>
      <c r="N478" s="59">
        <f t="shared" si="132"/>
        <v>273659.60019161797</v>
      </c>
      <c r="O478" s="135">
        <f>SUM(C478:N478)</f>
        <v>3283915.2022994147</v>
      </c>
      <c r="P478" s="132"/>
    </row>
    <row r="479" spans="1:16" ht="11.25">
      <c r="A479" s="38" t="s">
        <v>259</v>
      </c>
      <c r="B479" s="34"/>
      <c r="C479" s="78">
        <f aca="true" t="shared" si="133" ref="C479:O479">SUM(C477:C478)</f>
        <v>2538484.3503030767</v>
      </c>
      <c r="D479" s="78">
        <f t="shared" si="133"/>
        <v>2538484.3503030767</v>
      </c>
      <c r="E479" s="78">
        <f t="shared" si="133"/>
        <v>2538484.3503030767</v>
      </c>
      <c r="F479" s="78">
        <f t="shared" si="133"/>
        <v>2538484.3503030767</v>
      </c>
      <c r="G479" s="78">
        <f t="shared" si="133"/>
        <v>2538484.3503030767</v>
      </c>
      <c r="H479" s="78">
        <f t="shared" si="133"/>
        <v>2538484.3503030767</v>
      </c>
      <c r="I479" s="78">
        <f t="shared" si="133"/>
        <v>2538484.3503030767</v>
      </c>
      <c r="J479" s="78">
        <f t="shared" si="133"/>
        <v>2538484.3503030767</v>
      </c>
      <c r="K479" s="78">
        <f t="shared" si="133"/>
        <v>2538484.3503030767</v>
      </c>
      <c r="L479" s="78">
        <f t="shared" si="133"/>
        <v>2538484.3503030767</v>
      </c>
      <c r="M479" s="78">
        <f t="shared" si="133"/>
        <v>2538484.3503030767</v>
      </c>
      <c r="N479" s="78">
        <f t="shared" si="133"/>
        <v>2538484.3503030767</v>
      </c>
      <c r="O479" s="134">
        <f t="shared" si="133"/>
        <v>30461812.20363693</v>
      </c>
      <c r="P479" s="132" t="s">
        <v>260</v>
      </c>
    </row>
    <row r="481" spans="1:17" ht="11.25">
      <c r="A481" s="3" t="s">
        <v>242</v>
      </c>
      <c r="C481" s="113">
        <f>C$393</f>
        <v>2487068.8526099944</v>
      </c>
      <c r="D481" s="114">
        <f aca="true" t="shared" si="134" ref="D481:O481">D$393</f>
        <v>2438509.7444056342</v>
      </c>
      <c r="E481" s="114">
        <f t="shared" si="134"/>
        <v>2080961.8373600258</v>
      </c>
      <c r="F481" s="114">
        <f t="shared" si="134"/>
        <v>2071429.3328379635</v>
      </c>
      <c r="G481" s="114">
        <f t="shared" si="134"/>
        <v>2071815.7681234297</v>
      </c>
      <c r="H481" s="115">
        <f t="shared" si="134"/>
        <v>2188690.6580353575</v>
      </c>
      <c r="I481" s="114">
        <f t="shared" si="134"/>
        <v>2214778.992962022</v>
      </c>
      <c r="J481" s="114">
        <f t="shared" si="134"/>
        <v>2061686.698582105</v>
      </c>
      <c r="K481" s="114">
        <f t="shared" si="134"/>
        <v>2151582.6614674903</v>
      </c>
      <c r="L481" s="114">
        <f t="shared" si="134"/>
        <v>2067721.3107937044</v>
      </c>
      <c r="M481" s="114">
        <f t="shared" si="134"/>
        <v>2144934.3661793056</v>
      </c>
      <c r="N481" s="114">
        <f t="shared" si="134"/>
        <v>2247828.3069755384</v>
      </c>
      <c r="O481" s="116">
        <f t="shared" si="134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1.020673129993617</v>
      </c>
      <c r="D483" s="120">
        <f aca="true" t="shared" si="135" ref="D483:O483">D479/D481</f>
        <v>1.0409982392429644</v>
      </c>
      <c r="E483" s="120">
        <f t="shared" si="135"/>
        <v>1.21986107805008</v>
      </c>
      <c r="F483" s="120">
        <f t="shared" si="135"/>
        <v>1.2254747531383192</v>
      </c>
      <c r="G483" s="120">
        <f t="shared" si="135"/>
        <v>1.2252461774640981</v>
      </c>
      <c r="H483" s="120">
        <f t="shared" si="135"/>
        <v>1.1598186984458123</v>
      </c>
      <c r="I483" s="120">
        <f t="shared" si="135"/>
        <v>1.1461569566849352</v>
      </c>
      <c r="J483" s="120">
        <f t="shared" si="135"/>
        <v>1.2312658135927648</v>
      </c>
      <c r="K483" s="120">
        <f t="shared" si="135"/>
        <v>1.1798219030877017</v>
      </c>
      <c r="L483" s="120">
        <f t="shared" si="135"/>
        <v>1.2276723836292367</v>
      </c>
      <c r="M483" s="120">
        <f t="shared" si="135"/>
        <v>1.1834788002510248</v>
      </c>
      <c r="N483" s="121">
        <f t="shared" si="135"/>
        <v>1.1293052687456442</v>
      </c>
      <c r="O483" s="159">
        <f t="shared" si="135"/>
        <v>1.161467277840957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6" ref="C488:O488">C466-C479</f>
        <v>58529303.07941034</v>
      </c>
      <c r="D488" s="78">
        <f t="shared" si="136"/>
        <v>63653407.86742408</v>
      </c>
      <c r="E488" s="78">
        <f t="shared" si="136"/>
        <v>50836999.37099515</v>
      </c>
      <c r="F488" s="78">
        <f t="shared" si="136"/>
        <v>44573794.13640542</v>
      </c>
      <c r="G488" s="78">
        <f t="shared" si="136"/>
        <v>43854000.05413734</v>
      </c>
      <c r="H488" s="78">
        <f t="shared" si="136"/>
        <v>47030107.50388466</v>
      </c>
      <c r="I488" s="78">
        <f t="shared" si="136"/>
        <v>49093577.16631858</v>
      </c>
      <c r="J488" s="78">
        <f t="shared" si="136"/>
        <v>45514235.918156296</v>
      </c>
      <c r="K488" s="78">
        <f t="shared" si="136"/>
        <v>47084226.44570325</v>
      </c>
      <c r="L488" s="78">
        <f t="shared" si="136"/>
        <v>47782598.677166775</v>
      </c>
      <c r="M488" s="78">
        <f t="shared" si="136"/>
        <v>50207116.89443417</v>
      </c>
      <c r="N488" s="78">
        <f t="shared" si="136"/>
        <v>50451319.96030832</v>
      </c>
      <c r="O488" s="134">
        <f t="shared" si="136"/>
        <v>598610687.0743444</v>
      </c>
      <c r="P488" s="132" t="s">
        <v>262</v>
      </c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7" ref="D490:O490">D$393</f>
        <v>2438509.7444056342</v>
      </c>
      <c r="E490" s="114">
        <f t="shared" si="137"/>
        <v>2080961.8373600258</v>
      </c>
      <c r="F490" s="114">
        <f t="shared" si="137"/>
        <v>2071429.3328379635</v>
      </c>
      <c r="G490" s="114">
        <f t="shared" si="137"/>
        <v>2071815.7681234297</v>
      </c>
      <c r="H490" s="115">
        <f t="shared" si="137"/>
        <v>2188690.6580353575</v>
      </c>
      <c r="I490" s="114">
        <f t="shared" si="137"/>
        <v>2214778.992962022</v>
      </c>
      <c r="J490" s="114">
        <f t="shared" si="137"/>
        <v>2061686.698582105</v>
      </c>
      <c r="K490" s="114">
        <f t="shared" si="137"/>
        <v>2151582.6614674903</v>
      </c>
      <c r="L490" s="114">
        <f t="shared" si="137"/>
        <v>2067721.3107937044</v>
      </c>
      <c r="M490" s="114">
        <f t="shared" si="137"/>
        <v>2144934.3661793056</v>
      </c>
      <c r="N490" s="114">
        <f t="shared" si="137"/>
        <v>2247828.3069755384</v>
      </c>
      <c r="O490" s="116">
        <f t="shared" si="137"/>
        <v>26227008.530332573</v>
      </c>
      <c r="P490" s="132" t="s">
        <v>358</v>
      </c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8" ref="C492:O492">C488/C490</f>
        <v>23.533447020571295</v>
      </c>
      <c r="D492" s="157">
        <f t="shared" si="138"/>
        <v>26.103405169266217</v>
      </c>
      <c r="E492" s="157">
        <f t="shared" si="138"/>
        <v>24.429568317066582</v>
      </c>
      <c r="F492" s="157">
        <f t="shared" si="138"/>
        <v>21.518375466536945</v>
      </c>
      <c r="G492" s="157">
        <f t="shared" si="138"/>
        <v>21.166939999621004</v>
      </c>
      <c r="H492" s="157">
        <f t="shared" si="138"/>
        <v>21.48778189883648</v>
      </c>
      <c r="I492" s="157">
        <f t="shared" si="138"/>
        <v>22.16635489244069</v>
      </c>
      <c r="J492" s="157">
        <f t="shared" si="138"/>
        <v>22.07621359222914</v>
      </c>
      <c r="K492" s="157">
        <f t="shared" si="138"/>
        <v>21.88353126697414</v>
      </c>
      <c r="L492" s="157">
        <f t="shared" si="138"/>
        <v>23.108819562741367</v>
      </c>
      <c r="M492" s="157">
        <f t="shared" si="138"/>
        <v>23.407297531376823</v>
      </c>
      <c r="N492" s="158">
        <f t="shared" si="138"/>
        <v>22.44447220623837</v>
      </c>
      <c r="O492" s="159">
        <f t="shared" si="138"/>
        <v>22.824207586695504</v>
      </c>
      <c r="P492" s="132" t="s">
        <v>264</v>
      </c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M4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35" sqref="O435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331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224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235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7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284">
        <v>9626850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91873508.5</v>
      </c>
      <c r="P33" s="85"/>
      <c r="Q33" s="3">
        <f>H33-'Base Forecast'!H33</f>
        <v>-592</v>
      </c>
    </row>
    <row r="34" spans="1:17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284">
        <v>9564218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38747565.756</v>
      </c>
      <c r="P34" s="85"/>
      <c r="Q34" s="3">
        <f>H34-'Base Forecast'!H34</f>
        <v>-515423</v>
      </c>
    </row>
    <row r="35" spans="1:17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284">
        <v>1093369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23060831.655</v>
      </c>
      <c r="P35" s="85"/>
      <c r="Q35" s="3">
        <f>H35-'Base Forecast'!H35</f>
        <v>-7103.399999999907</v>
      </c>
    </row>
    <row r="36" spans="1:17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284">
        <v>9229198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101613118</v>
      </c>
      <c r="P36" s="85"/>
      <c r="Q36" s="3">
        <f>H36-'Base Forecast'!H36</f>
        <v>-210</v>
      </c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288">
        <f aca="true" t="shared" si="5" ref="C39:N39">SUM(C32:C38)</f>
        <v>23131264.3</v>
      </c>
      <c r="D39" s="193">
        <f t="shared" si="5"/>
        <v>29555770</v>
      </c>
      <c r="E39" s="193">
        <f t="shared" si="5"/>
        <v>29161418.5</v>
      </c>
      <c r="F39" s="193">
        <f t="shared" si="5"/>
        <v>30406768</v>
      </c>
      <c r="G39" s="193">
        <f t="shared" si="5"/>
        <v>30333131</v>
      </c>
      <c r="H39" s="193">
        <f t="shared" si="5"/>
        <v>36972363.5</v>
      </c>
      <c r="I39" s="193">
        <f t="shared" si="5"/>
        <v>27468482</v>
      </c>
      <c r="J39" s="193">
        <f t="shared" si="5"/>
        <v>23190078.1</v>
      </c>
      <c r="K39" s="193">
        <f t="shared" si="5"/>
        <v>24759792.7</v>
      </c>
      <c r="L39" s="193">
        <f t="shared" si="5"/>
        <v>18437900.695</v>
      </c>
      <c r="M39" s="193">
        <f t="shared" si="5"/>
        <v>12448841.899999999</v>
      </c>
      <c r="N39" s="289">
        <f t="shared" si="5"/>
        <v>17158905.086</v>
      </c>
      <c r="O39" s="80">
        <f>SUM(O32:O38)</f>
        <v>303024715.781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55496951.7162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488977260.98160005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7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284">
        <v>8625089.803080356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77385269.540649</v>
      </c>
      <c r="P55" s="85"/>
      <c r="Q55" s="3">
        <f>H55-'Base Forecast'!H55</f>
        <v>-253.0819000005722</v>
      </c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27703706.998380356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281276278.441479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44050549.87098036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441930742.866729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7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284">
        <v>305580.72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20247669.802</v>
      </c>
      <c r="P150" s="85"/>
      <c r="Q150" s="3">
        <f>H150-'Base Forecast'!H150</f>
        <v>22338.439999999944</v>
      </c>
    </row>
    <row r="151" spans="1:17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284">
        <v>733563.9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7774765.1</v>
      </c>
      <c r="P151" s="85"/>
      <c r="Q151" s="3">
        <f>H151-'Base Forecast'!H151</f>
        <v>-965.9000000000233</v>
      </c>
    </row>
    <row r="152" spans="1:17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284">
        <v>2598417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116893081.8</v>
      </c>
      <c r="P152" s="85"/>
      <c r="Q152" s="3">
        <f>H152-'Base Forecast'!H152</f>
        <v>498766.5</v>
      </c>
    </row>
    <row r="153" spans="1:17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284">
        <v>7406277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53094950.1</v>
      </c>
      <c r="P153" s="85"/>
      <c r="Q153" s="3">
        <f>H153-'Base Forecast'!H153</f>
        <v>65966.5</v>
      </c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288">
        <f aca="true" t="shared" si="20" ref="C157:N157">SUM(C150:C156)</f>
        <v>17514045.06855</v>
      </c>
      <c r="D157" s="193">
        <f t="shared" si="20"/>
        <v>17959353.62</v>
      </c>
      <c r="E157" s="193">
        <f t="shared" si="20"/>
        <v>10048917.75</v>
      </c>
      <c r="F157" s="193">
        <f t="shared" si="20"/>
        <v>12186550.84</v>
      </c>
      <c r="G157" s="193">
        <f t="shared" si="20"/>
        <v>6732813.412</v>
      </c>
      <c r="H157" s="193">
        <f t="shared" si="20"/>
        <v>11043838.620000001</v>
      </c>
      <c r="I157" s="193">
        <f t="shared" si="20"/>
        <v>13067773.85</v>
      </c>
      <c r="J157" s="193">
        <f t="shared" si="20"/>
        <v>17520093.21</v>
      </c>
      <c r="K157" s="193">
        <f t="shared" si="20"/>
        <v>24101486.13</v>
      </c>
      <c r="L157" s="193">
        <f t="shared" si="20"/>
        <v>28021391.07</v>
      </c>
      <c r="M157" s="193">
        <f t="shared" si="20"/>
        <v>21554080.454</v>
      </c>
      <c r="N157" s="289">
        <f t="shared" si="20"/>
        <v>18658834.21</v>
      </c>
      <c r="O157" s="80">
        <f>SUM(O150:O156)</f>
        <v>198409178.23454997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48998476.710980356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635036309.851569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7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284">
        <v>11919606.9634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138384539.3079</v>
      </c>
      <c r="P174" s="85"/>
      <c r="Q174" s="3">
        <f>H174-'Base Forecast'!H174</f>
        <v>-366.40499999932945</v>
      </c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7" ht="11.25">
      <c r="A176" s="3" t="s">
        <v>55</v>
      </c>
      <c r="C176" s="61">
        <v>17229544.4529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284">
        <v>16412574.1793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187980295.9411</v>
      </c>
      <c r="P176" s="85"/>
      <c r="Q176" s="3">
        <f>H176-'Base Forecast'!H176</f>
        <v>-2800.681799998507</v>
      </c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90">
        <v>-89606.92347418125</v>
      </c>
      <c r="D178" s="91">
        <v>-85872.95424030545</v>
      </c>
      <c r="E178" s="91">
        <v>-48314.56361266213</v>
      </c>
      <c r="F178" s="91">
        <v>-93356.63693954583</v>
      </c>
      <c r="G178" s="91">
        <v>-89895.28442748239</v>
      </c>
      <c r="H178" s="91">
        <v>-68871.3646960949</v>
      </c>
      <c r="I178" s="91">
        <v>-40181.09538940538</v>
      </c>
      <c r="J178" s="91">
        <v>-72929.83164118814</v>
      </c>
      <c r="K178" s="91">
        <v>-61392.658959915636</v>
      </c>
      <c r="L178" s="91">
        <v>-68822.04104146942</v>
      </c>
      <c r="M178" s="91">
        <v>-101577.31511697356</v>
      </c>
      <c r="N178" s="290">
        <v>-57930.4483479764</v>
      </c>
      <c r="O178" s="162">
        <f t="shared" si="23"/>
        <v>-878751.1178872006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190">
        <f aca="true" t="shared" si="24" ref="C180:N180">SUM(C168:C179)</f>
        <v>63643003.32856582</v>
      </c>
      <c r="D180" s="78">
        <f t="shared" si="24"/>
        <v>65732488.5197897</v>
      </c>
      <c r="E180" s="78">
        <f t="shared" si="24"/>
        <v>62758592.86005733</v>
      </c>
      <c r="F180" s="78">
        <f t="shared" si="24"/>
        <v>63806080.26683045</v>
      </c>
      <c r="G180" s="78">
        <f t="shared" si="24"/>
        <v>62309292.21062251</v>
      </c>
      <c r="H180" s="78">
        <f t="shared" si="24"/>
        <v>64113900.23590391</v>
      </c>
      <c r="I180" s="78">
        <f t="shared" si="24"/>
        <v>63586039.9605806</v>
      </c>
      <c r="J180" s="78">
        <f t="shared" si="24"/>
        <v>60264563.645778805</v>
      </c>
      <c r="K180" s="78">
        <f t="shared" si="24"/>
        <v>60378720.67266008</v>
      </c>
      <c r="L180" s="78">
        <f t="shared" si="24"/>
        <v>53082983.84633853</v>
      </c>
      <c r="M180" s="78">
        <f t="shared" si="24"/>
        <v>55342203.65165303</v>
      </c>
      <c r="N180" s="191">
        <f t="shared" si="24"/>
        <v>58665149.09778202</v>
      </c>
      <c r="O180" s="81">
        <f>SUM(O168:O179)</f>
        <v>733683018.2965628</v>
      </c>
    </row>
    <row r="181" spans="3:15" ht="11.25">
      <c r="C181" s="288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289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7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284">
        <v>5589836.767749864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41091001.16571129</v>
      </c>
      <c r="P187" s="85"/>
      <c r="Q187" s="3">
        <f>H187-'Base Forecast'!H187</f>
        <v>-253.0819000005722</v>
      </c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38430985.87236848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301115381.5703273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55185759.76236848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483427849.9181273</v>
      </c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30" ref="C204:N204">-C41+C159+C165+C180+C197+C202</f>
        <v>140131690.2507976</v>
      </c>
      <c r="D204" s="74">
        <f t="shared" si="30"/>
        <v>151458071.9527501</v>
      </c>
      <c r="E204" s="74">
        <f t="shared" si="30"/>
        <v>126184995.66187906</v>
      </c>
      <c r="F204" s="74">
        <f t="shared" si="30"/>
        <v>114016575.9710235</v>
      </c>
      <c r="G204" s="74">
        <f t="shared" si="30"/>
        <v>113851506.61701354</v>
      </c>
      <c r="H204" s="74">
        <f t="shared" si="30"/>
        <v>125987575.14053431</v>
      </c>
      <c r="I204" s="74">
        <f t="shared" si="30"/>
        <v>128942811.75496432</v>
      </c>
      <c r="J204" s="74">
        <f t="shared" si="30"/>
        <v>118627509.82662931</v>
      </c>
      <c r="K204" s="74">
        <f t="shared" si="30"/>
        <v>121455887.81899227</v>
      </c>
      <c r="L204" s="74">
        <f t="shared" si="30"/>
        <v>120311084.33122666</v>
      </c>
      <c r="M204" s="74">
        <f t="shared" si="30"/>
        <v>125880766.41002247</v>
      </c>
      <c r="N204" s="75">
        <f t="shared" si="30"/>
        <v>122703054.54075013</v>
      </c>
      <c r="O204" s="83">
        <f>-O41+O159+O165+O180+O197+O202</f>
        <v>1509551530.2765832</v>
      </c>
    </row>
    <row r="205" spans="1:15" ht="12" thickTop="1">
      <c r="A205" s="49" t="s">
        <v>362</v>
      </c>
      <c r="C205" s="90">
        <v>140131690.25079757</v>
      </c>
      <c r="D205" s="91">
        <v>151458071.9527501</v>
      </c>
      <c r="E205" s="91">
        <v>126184995.66187908</v>
      </c>
      <c r="F205" s="91">
        <v>114016575.9710235</v>
      </c>
      <c r="G205" s="91">
        <v>113851506.61701351</v>
      </c>
      <c r="H205" s="91">
        <v>125987575.14053431</v>
      </c>
      <c r="I205" s="91">
        <v>128942811.7549643</v>
      </c>
      <c r="J205" s="91">
        <v>118627509.8266293</v>
      </c>
      <c r="K205" s="91">
        <v>121455887.81899227</v>
      </c>
      <c r="L205" s="91">
        <v>120311084.33122665</v>
      </c>
      <c r="M205" s="91">
        <v>125880766.41002247</v>
      </c>
      <c r="N205" s="91">
        <v>122703054.54075012</v>
      </c>
      <c r="O205" s="91">
        <v>1509551530.2765832</v>
      </c>
    </row>
    <row r="206" spans="1:15" ht="11.25">
      <c r="A206" s="49" t="s">
        <v>309</v>
      </c>
      <c r="C206" s="90">
        <f>C204-C205</f>
        <v>0</v>
      </c>
      <c r="D206" s="91">
        <f aca="true" t="shared" si="31" ref="D206:O206">D204-D205</f>
        <v>0</v>
      </c>
      <c r="E206" s="91">
        <f t="shared" si="31"/>
        <v>0</v>
      </c>
      <c r="F206" s="91">
        <f t="shared" si="31"/>
        <v>0</v>
      </c>
      <c r="G206" s="91">
        <f t="shared" si="31"/>
        <v>0</v>
      </c>
      <c r="H206" s="91">
        <f t="shared" si="31"/>
        <v>0</v>
      </c>
      <c r="I206" s="91">
        <f t="shared" si="31"/>
        <v>0</v>
      </c>
      <c r="J206" s="91">
        <f t="shared" si="31"/>
        <v>0</v>
      </c>
      <c r="K206" s="91">
        <f t="shared" si="31"/>
        <v>0</v>
      </c>
      <c r="L206" s="91">
        <f t="shared" si="31"/>
        <v>0</v>
      </c>
      <c r="M206" s="91">
        <f t="shared" si="31"/>
        <v>0</v>
      </c>
      <c r="N206" s="91">
        <f t="shared" si="31"/>
        <v>0</v>
      </c>
      <c r="O206" s="91">
        <f t="shared" si="31"/>
        <v>0</v>
      </c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3"/>
      <c r="O207" s="3"/>
      <c r="P207" s="3"/>
    </row>
    <row r="208" spans="1:17" ht="11.25">
      <c r="A208" s="222"/>
      <c r="B208" s="29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Q208" s="1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0" ht="11.25">
      <c r="I210" s="239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364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29362438.22688036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425847983.57278895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P264" s="291">
        <v>0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P265" s="291">
        <v>0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P266" s="291">
        <v>0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P267" s="291">
        <v>0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P268" s="291">
        <v>0.019776411907514557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P269" s="291">
        <v>0.3927181307808496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P270" s="291">
        <v>0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P271" s="291">
        <v>0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P272" s="291">
        <v>0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P273" s="291">
        <v>0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P274" s="291">
        <v>0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P275" s="292">
        <v>0.412494542542845</v>
      </c>
      <c r="Q275" s="86"/>
      <c r="R275" s="10"/>
    </row>
    <row r="276" spans="3:18" ht="11.25">
      <c r="C276" s="293">
        <f>C268/C275</f>
        <v>0.1118018947870406</v>
      </c>
      <c r="D276" s="293">
        <f aca="true" t="shared" si="51" ref="D276:N276">D268/D275</f>
        <v>0.1118018947870406</v>
      </c>
      <c r="E276" s="293">
        <f t="shared" si="51"/>
        <v>0.11180189478704061</v>
      </c>
      <c r="F276" s="293">
        <f t="shared" si="51"/>
        <v>0.11180189478704058</v>
      </c>
      <c r="G276" s="293">
        <f t="shared" si="51"/>
        <v>0.11180189478704057</v>
      </c>
      <c r="H276" s="293">
        <f t="shared" si="51"/>
        <v>0.11180189478704058</v>
      </c>
      <c r="I276" s="293">
        <f t="shared" si="51"/>
        <v>0.11180189478704056</v>
      </c>
      <c r="J276" s="293">
        <f t="shared" si="51"/>
        <v>0.11180189478704057</v>
      </c>
      <c r="K276" s="293">
        <f t="shared" si="51"/>
        <v>0.11180189478704061</v>
      </c>
      <c r="L276" s="293">
        <f t="shared" si="51"/>
        <v>0.1118018947870406</v>
      </c>
      <c r="M276" s="293">
        <f t="shared" si="51"/>
        <v>0.11180189478704057</v>
      </c>
      <c r="N276" s="293">
        <f t="shared" si="51"/>
        <v>0.1118018947870406</v>
      </c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2" ref="C279:N279">C168+C264</f>
        <v>1660541.4045920414</v>
      </c>
      <c r="D279" s="125">
        <f t="shared" si="52"/>
        <v>1785968.1823656384</v>
      </c>
      <c r="E279" s="125">
        <f t="shared" si="52"/>
        <v>1708736.9911463507</v>
      </c>
      <c r="F279" s="125">
        <f t="shared" si="52"/>
        <v>1764885.2484047315</v>
      </c>
      <c r="G279" s="125">
        <f t="shared" si="52"/>
        <v>1739154.4226602663</v>
      </c>
      <c r="H279" s="125">
        <f t="shared" si="52"/>
        <v>1817378.68735945</v>
      </c>
      <c r="I279" s="125">
        <f t="shared" si="52"/>
        <v>1608772.3790119702</v>
      </c>
      <c r="J279" s="125">
        <f t="shared" si="52"/>
        <v>1520695.4591832</v>
      </c>
      <c r="K279" s="125">
        <f t="shared" si="52"/>
        <v>1673383.8077806905</v>
      </c>
      <c r="L279" s="125">
        <f t="shared" si="52"/>
        <v>932625.5889793249</v>
      </c>
      <c r="M279" s="125">
        <f t="shared" si="52"/>
        <v>1421660.940947849</v>
      </c>
      <c r="N279" s="182">
        <f t="shared" si="52"/>
        <v>1404522.5941796512</v>
      </c>
      <c r="O279" s="183">
        <f aca="true" t="shared" si="53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4" ref="C280:N280">C169+C265</f>
        <v>4980229.350084232</v>
      </c>
      <c r="D280" s="129">
        <f t="shared" si="54"/>
        <v>5038850.433960587</v>
      </c>
      <c r="E280" s="129">
        <f t="shared" si="54"/>
        <v>4851465.761788623</v>
      </c>
      <c r="F280" s="129">
        <f t="shared" si="54"/>
        <v>4975230.51580941</v>
      </c>
      <c r="G280" s="129">
        <f t="shared" si="54"/>
        <v>4820025.195853364</v>
      </c>
      <c r="H280" s="129">
        <f t="shared" si="54"/>
        <v>4978081.1604545675</v>
      </c>
      <c r="I280" s="129">
        <f t="shared" si="54"/>
        <v>4977825.5329585</v>
      </c>
      <c r="J280" s="129">
        <f t="shared" si="54"/>
        <v>4655943.389189223</v>
      </c>
      <c r="K280" s="129">
        <f t="shared" si="54"/>
        <v>4980099.611200731</v>
      </c>
      <c r="L280" s="129">
        <f t="shared" si="54"/>
        <v>4732219.945598034</v>
      </c>
      <c r="M280" s="129">
        <f t="shared" si="54"/>
        <v>2515009.905957871</v>
      </c>
      <c r="N280" s="177">
        <f t="shared" si="54"/>
        <v>4717965.741680412</v>
      </c>
      <c r="O280" s="162">
        <f t="shared" si="53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5" ref="C281:N281">C170+C266</f>
        <v>1249028.4279276324</v>
      </c>
      <c r="D281" s="129">
        <f t="shared" si="55"/>
        <v>1262530.0396093347</v>
      </c>
      <c r="E281" s="129">
        <f t="shared" si="55"/>
        <v>1224413.6900539948</v>
      </c>
      <c r="F281" s="129">
        <f t="shared" si="55"/>
        <v>1259059.8331510446</v>
      </c>
      <c r="G281" s="129">
        <f t="shared" si="55"/>
        <v>1220857.104109196</v>
      </c>
      <c r="H281" s="129">
        <f t="shared" si="55"/>
        <v>1262569.2152603578</v>
      </c>
      <c r="I281" s="129">
        <f t="shared" si="55"/>
        <v>1265023.222948755</v>
      </c>
      <c r="J281" s="129">
        <f t="shared" si="55"/>
        <v>1180979.34802089</v>
      </c>
      <c r="K281" s="129">
        <f t="shared" si="55"/>
        <v>1263208.9025766272</v>
      </c>
      <c r="L281" s="129">
        <f t="shared" si="55"/>
        <v>962579.2320542338</v>
      </c>
      <c r="M281" s="129">
        <f t="shared" si="55"/>
        <v>1028772.8522369203</v>
      </c>
      <c r="N281" s="177">
        <f t="shared" si="55"/>
        <v>1200920.491091918</v>
      </c>
      <c r="O281" s="162">
        <f t="shared" si="53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6" ref="C282:N282">C171+C267</f>
        <v>1947724.8581318394</v>
      </c>
      <c r="D282" s="129">
        <f t="shared" si="56"/>
        <v>1953485.266873497</v>
      </c>
      <c r="E282" s="129">
        <f t="shared" si="56"/>
        <v>1888485.4303317603</v>
      </c>
      <c r="F282" s="129">
        <f t="shared" si="56"/>
        <v>1948646.3015997296</v>
      </c>
      <c r="G282" s="129">
        <f t="shared" si="56"/>
        <v>1905402.81619066</v>
      </c>
      <c r="H282" s="129">
        <f t="shared" si="56"/>
        <v>1972816.3676936254</v>
      </c>
      <c r="I282" s="129">
        <f t="shared" si="56"/>
        <v>1977851.4695498405</v>
      </c>
      <c r="J282" s="129">
        <f t="shared" si="56"/>
        <v>1844226.2180606688</v>
      </c>
      <c r="K282" s="129">
        <f t="shared" si="56"/>
        <v>1974128.870017385</v>
      </c>
      <c r="L282" s="129">
        <f t="shared" si="56"/>
        <v>1908671.012725545</v>
      </c>
      <c r="M282" s="129">
        <f t="shared" si="56"/>
        <v>1490534.2522575178</v>
      </c>
      <c r="N282" s="177">
        <f t="shared" si="56"/>
        <v>1898502.1122236352</v>
      </c>
      <c r="O282" s="162">
        <f t="shared" si="53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7" ref="C283:N283">C172+C268</f>
        <v>5237475.1678722035</v>
      </c>
      <c r="D283" s="129">
        <f t="shared" si="57"/>
        <v>5318469.058611665</v>
      </c>
      <c r="E283" s="129">
        <f t="shared" si="57"/>
        <v>5102233.262577889</v>
      </c>
      <c r="F283" s="129">
        <f t="shared" si="57"/>
        <v>5230933.431098656</v>
      </c>
      <c r="G283" s="129">
        <f t="shared" si="57"/>
        <v>4892476.096986375</v>
      </c>
      <c r="H283" s="129">
        <f t="shared" si="57"/>
        <v>4551760.51694484</v>
      </c>
      <c r="I283" s="129">
        <f t="shared" si="57"/>
        <v>4236111.513399587</v>
      </c>
      <c r="J283" s="129">
        <f t="shared" si="57"/>
        <v>4733951.123463441</v>
      </c>
      <c r="K283" s="129">
        <f t="shared" si="57"/>
        <v>5129495.65972421</v>
      </c>
      <c r="L283" s="129">
        <f t="shared" si="57"/>
        <v>3241735.2532202965</v>
      </c>
      <c r="M283" s="129">
        <f t="shared" si="57"/>
        <v>4350560.563133414</v>
      </c>
      <c r="N283" s="177">
        <f t="shared" si="57"/>
        <v>4888796.465379077</v>
      </c>
      <c r="O283" s="162">
        <f t="shared" si="53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8" ref="C284:N284">C173+C269</f>
        <v>1015373.1189943148</v>
      </c>
      <c r="D284" s="129">
        <f t="shared" si="58"/>
        <v>1027266.274073157</v>
      </c>
      <c r="E284" s="129">
        <f t="shared" si="58"/>
        <v>998796.555221549</v>
      </c>
      <c r="F284" s="129">
        <f t="shared" si="58"/>
        <v>1019493.3012832766</v>
      </c>
      <c r="G284" s="129">
        <f t="shared" si="58"/>
        <v>1012239.5003378241</v>
      </c>
      <c r="H284" s="129">
        <f t="shared" si="58"/>
        <v>1053234.2765756096</v>
      </c>
      <c r="I284" s="129">
        <f t="shared" si="58"/>
        <v>1061172.2508443643</v>
      </c>
      <c r="J284" s="129">
        <f t="shared" si="58"/>
        <v>982622.8035231747</v>
      </c>
      <c r="K284" s="129">
        <f t="shared" si="58"/>
        <v>1055522.2367633523</v>
      </c>
      <c r="L284" s="129">
        <f t="shared" si="58"/>
        <v>522150.13832956686</v>
      </c>
      <c r="M284" s="129">
        <f t="shared" si="58"/>
        <v>967813.3363521919</v>
      </c>
      <c r="N284" s="177">
        <f t="shared" si="58"/>
        <v>861131.4401163652</v>
      </c>
      <c r="O284" s="162">
        <f t="shared" si="53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9" ref="C285:N285">C174+C270</f>
        <v>10800820.66556078</v>
      </c>
      <c r="D285" s="129">
        <f t="shared" si="59"/>
        <v>11809123.278736051</v>
      </c>
      <c r="E285" s="129">
        <f t="shared" si="59"/>
        <v>11227633.18092503</v>
      </c>
      <c r="F285" s="129">
        <f t="shared" si="59"/>
        <v>11796163.333642334</v>
      </c>
      <c r="G285" s="129">
        <f t="shared" si="59"/>
        <v>11405553.05932282</v>
      </c>
      <c r="H285" s="129">
        <f t="shared" si="59"/>
        <v>11915558.27918362</v>
      </c>
      <c r="I285" s="129">
        <f t="shared" si="59"/>
        <v>12585653.914625397</v>
      </c>
      <c r="J285" s="129">
        <f t="shared" si="59"/>
        <v>11762609.17782855</v>
      </c>
      <c r="K285" s="129">
        <f t="shared" si="59"/>
        <v>11404364.367800709</v>
      </c>
      <c r="L285" s="129">
        <f t="shared" si="59"/>
        <v>9299408.505532699</v>
      </c>
      <c r="M285" s="129">
        <f t="shared" si="59"/>
        <v>12450368.696202189</v>
      </c>
      <c r="N285" s="177">
        <f t="shared" si="59"/>
        <v>11875624.430025604</v>
      </c>
      <c r="O285" s="162">
        <f t="shared" si="53"/>
        <v>138332880.8893858</v>
      </c>
      <c r="P285" s="85"/>
    </row>
    <row r="286" spans="1:16" ht="11.25">
      <c r="A286" s="18" t="s">
        <v>54</v>
      </c>
      <c r="B286" s="29"/>
      <c r="C286" s="176">
        <f aca="true" t="shared" si="60" ref="C286:N286">C175+C271</f>
        <v>8636936.882995749</v>
      </c>
      <c r="D286" s="129">
        <f t="shared" si="60"/>
        <v>8991355.259470733</v>
      </c>
      <c r="E286" s="129">
        <f t="shared" si="60"/>
        <v>8222190.7521559335</v>
      </c>
      <c r="F286" s="129">
        <f t="shared" si="60"/>
        <v>7103149.759098399</v>
      </c>
      <c r="G286" s="129">
        <f t="shared" si="60"/>
        <v>8209556.898581143</v>
      </c>
      <c r="H286" s="129">
        <f t="shared" si="60"/>
        <v>9109281.450303435</v>
      </c>
      <c r="I286" s="129">
        <f t="shared" si="60"/>
        <v>8568721.007758327</v>
      </c>
      <c r="J286" s="129">
        <f t="shared" si="60"/>
        <v>8061222.93044928</v>
      </c>
      <c r="K286" s="129">
        <f t="shared" si="60"/>
        <v>8612328.50892924</v>
      </c>
      <c r="L286" s="129">
        <f t="shared" si="60"/>
        <v>8264354.850829201</v>
      </c>
      <c r="M286" s="129">
        <f t="shared" si="60"/>
        <v>8143909.265038121</v>
      </c>
      <c r="N286" s="177">
        <f t="shared" si="60"/>
        <v>7857052.774927048</v>
      </c>
      <c r="O286" s="162">
        <f t="shared" si="53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1" ref="C287:N287">C176+C272</f>
        <v>17227821.47957746</v>
      </c>
      <c r="D287" s="129">
        <f t="shared" si="61"/>
        <v>17538670.103112847</v>
      </c>
      <c r="E287" s="129">
        <f t="shared" si="61"/>
        <v>16877544.500425257</v>
      </c>
      <c r="F287" s="129">
        <f t="shared" si="61"/>
        <v>17690613.508409988</v>
      </c>
      <c r="G287" s="129">
        <f t="shared" si="61"/>
        <v>16393895.679036371</v>
      </c>
      <c r="H287" s="129">
        <f t="shared" si="61"/>
        <v>16411249.911939204</v>
      </c>
      <c r="I287" s="129">
        <f t="shared" si="61"/>
        <v>16260397.039086826</v>
      </c>
      <c r="J287" s="129">
        <f t="shared" si="61"/>
        <v>15193304.087520547</v>
      </c>
      <c r="K287" s="129">
        <f t="shared" si="61"/>
        <v>15951739.730544388</v>
      </c>
      <c r="L287" s="129">
        <f t="shared" si="61"/>
        <v>12832432.400540708</v>
      </c>
      <c r="M287" s="129">
        <f t="shared" si="61"/>
        <v>12019918.62756432</v>
      </c>
      <c r="N287" s="177">
        <f t="shared" si="61"/>
        <v>13565812.135070428</v>
      </c>
      <c r="O287" s="162">
        <f t="shared" si="53"/>
        <v>187963399.20282835</v>
      </c>
      <c r="P287" s="85"/>
    </row>
    <row r="288" spans="1:16" ht="11.25">
      <c r="A288" s="18" t="s">
        <v>58</v>
      </c>
      <c r="B288" s="29"/>
      <c r="C288" s="176">
        <f aca="true" t="shared" si="62" ref="C288:N288">C177+C273</f>
        <v>9146584.848370463</v>
      </c>
      <c r="D288" s="129">
        <f t="shared" si="62"/>
        <v>9263964.424313007</v>
      </c>
      <c r="E288" s="129">
        <f t="shared" si="62"/>
        <v>8970267.499836138</v>
      </c>
      <c r="F288" s="129">
        <f t="shared" si="62"/>
        <v>9277495.362910664</v>
      </c>
      <c r="G288" s="129">
        <f t="shared" si="62"/>
        <v>8982634.27054632</v>
      </c>
      <c r="H288" s="129">
        <f t="shared" si="62"/>
        <v>9257381.148701273</v>
      </c>
      <c r="I288" s="129">
        <f t="shared" si="62"/>
        <v>9259482.817160083</v>
      </c>
      <c r="J288" s="129">
        <f t="shared" si="62"/>
        <v>8659193.594003614</v>
      </c>
      <c r="K288" s="129">
        <f t="shared" si="62"/>
        <v>6549745.167250811</v>
      </c>
      <c r="L288" s="129">
        <f t="shared" si="62"/>
        <v>8660158.538104922</v>
      </c>
      <c r="M288" s="129">
        <f t="shared" si="62"/>
        <v>9211089.635211758</v>
      </c>
      <c r="N288" s="177">
        <f t="shared" si="62"/>
        <v>8786755.388692202</v>
      </c>
      <c r="O288" s="162">
        <f t="shared" si="53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3" ref="C289:N289">C179+C274</f>
        <v>1740467.1665214875</v>
      </c>
      <c r="D289" s="179">
        <f t="shared" si="63"/>
        <v>1742806.238972796</v>
      </c>
      <c r="E289" s="179">
        <f t="shared" si="63"/>
        <v>1686825.258274154</v>
      </c>
      <c r="F289" s="179">
        <f t="shared" si="63"/>
        <v>1740409.7152447607</v>
      </c>
      <c r="G289" s="179">
        <f t="shared" si="63"/>
        <v>1727497.209195922</v>
      </c>
      <c r="H289" s="179">
        <f t="shared" si="63"/>
        <v>1784589.2538168281</v>
      </c>
      <c r="I289" s="179">
        <f t="shared" si="63"/>
        <v>1785028.8320983506</v>
      </c>
      <c r="J289" s="179">
        <f t="shared" si="63"/>
        <v>1669815.548770214</v>
      </c>
      <c r="K289" s="179">
        <f t="shared" si="63"/>
        <v>1784703.8388902682</v>
      </c>
      <c r="L289" s="179">
        <f t="shared" si="63"/>
        <v>1726648.412729753</v>
      </c>
      <c r="M289" s="179">
        <f t="shared" si="63"/>
        <v>1742565.6244322776</v>
      </c>
      <c r="N289" s="180">
        <f t="shared" si="63"/>
        <v>1608065.5515888163</v>
      </c>
      <c r="O289" s="163">
        <f t="shared" si="53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4" ref="C290:O290">SUM(C279:C289)</f>
        <v>63643003.3706282</v>
      </c>
      <c r="D290" s="78">
        <f t="shared" si="64"/>
        <v>65732488.56009932</v>
      </c>
      <c r="E290" s="78">
        <f t="shared" si="64"/>
        <v>62758592.88273668</v>
      </c>
      <c r="F290" s="78">
        <f t="shared" si="64"/>
        <v>63806080.310653</v>
      </c>
      <c r="G290" s="78">
        <f t="shared" si="64"/>
        <v>62309292.25282026</v>
      </c>
      <c r="H290" s="78">
        <f t="shared" si="64"/>
        <v>64113900.268232815</v>
      </c>
      <c r="I290" s="78">
        <f t="shared" si="64"/>
        <v>63586039.97944201</v>
      </c>
      <c r="J290" s="78">
        <f t="shared" si="64"/>
        <v>60264563.6800128</v>
      </c>
      <c r="K290" s="78">
        <f t="shared" si="64"/>
        <v>60378720.701478414</v>
      </c>
      <c r="L290" s="78">
        <f t="shared" si="64"/>
        <v>53082983.87864429</v>
      </c>
      <c r="M290" s="78">
        <f t="shared" si="64"/>
        <v>55342203.699334435</v>
      </c>
      <c r="N290" s="191">
        <f t="shared" si="64"/>
        <v>58665149.12497515</v>
      </c>
      <c r="O290" s="134">
        <f t="shared" si="64"/>
        <v>733683018.7090573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5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5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5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5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5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5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5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5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6" ref="D302:O302">SUM(D294:D301)</f>
        <v>18992662.34</v>
      </c>
      <c r="E302" s="78">
        <f t="shared" si="66"/>
        <v>18001091.84</v>
      </c>
      <c r="F302" s="78">
        <f t="shared" si="66"/>
        <v>15330306.84</v>
      </c>
      <c r="G302" s="78">
        <f t="shared" si="66"/>
        <v>15978659.547799999</v>
      </c>
      <c r="H302" s="78">
        <f t="shared" si="66"/>
        <v>16754773.89</v>
      </c>
      <c r="I302" s="78">
        <f t="shared" si="66"/>
        <v>12888889.640000002</v>
      </c>
      <c r="J302" s="78">
        <f t="shared" si="66"/>
        <v>12056070.365999999</v>
      </c>
      <c r="K302" s="78">
        <f t="shared" si="66"/>
        <v>10983152.764</v>
      </c>
      <c r="L302" s="78">
        <f t="shared" si="66"/>
        <v>12101814.76</v>
      </c>
      <c r="M302" s="78">
        <f t="shared" si="66"/>
        <v>15789619.76</v>
      </c>
      <c r="N302" s="78">
        <f t="shared" si="66"/>
        <v>15844367.259999998</v>
      </c>
      <c r="O302" s="134">
        <f t="shared" si="66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7" ref="C306:N306">C183+C294</f>
        <v>1102722.5</v>
      </c>
      <c r="D306" s="125">
        <f t="shared" si="67"/>
        <v>12114868.80294811</v>
      </c>
      <c r="E306" s="125">
        <f t="shared" si="67"/>
        <v>13468792.352030212</v>
      </c>
      <c r="F306" s="125">
        <f t="shared" si="67"/>
        <v>12805368.51088837</v>
      </c>
      <c r="G306" s="125">
        <f t="shared" si="67"/>
        <v>12054714.926317964</v>
      </c>
      <c r="H306" s="125">
        <f t="shared" si="67"/>
        <v>15767306.111504104</v>
      </c>
      <c r="I306" s="125">
        <f t="shared" si="67"/>
        <v>10249490.641097877</v>
      </c>
      <c r="J306" s="125">
        <f t="shared" si="67"/>
        <v>1145343.6900907692</v>
      </c>
      <c r="K306" s="125">
        <f t="shared" si="67"/>
        <v>1102722.5</v>
      </c>
      <c r="L306" s="125">
        <f t="shared" si="67"/>
        <v>1945682</v>
      </c>
      <c r="M306" s="125">
        <f t="shared" si="67"/>
        <v>2007457.5</v>
      </c>
      <c r="N306" s="182">
        <f t="shared" si="67"/>
        <v>1069922</v>
      </c>
      <c r="O306" s="183">
        <f aca="true" t="shared" si="68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9" ref="C307:N307">C184+C295</f>
        <v>11780509.439879201</v>
      </c>
      <c r="D307" s="129">
        <f t="shared" si="69"/>
        <v>11509667.078837749</v>
      </c>
      <c r="E307" s="129">
        <f t="shared" si="69"/>
        <v>11748386.214340225</v>
      </c>
      <c r="F307" s="129">
        <f t="shared" si="69"/>
        <v>9792212.983247126</v>
      </c>
      <c r="G307" s="129">
        <f t="shared" si="69"/>
        <v>11714431.039568912</v>
      </c>
      <c r="H307" s="129">
        <f t="shared" si="69"/>
        <v>12752826.63382503</v>
      </c>
      <c r="I307" s="129">
        <f t="shared" si="69"/>
        <v>12629147.36065774</v>
      </c>
      <c r="J307" s="129">
        <f t="shared" si="69"/>
        <v>11565607.146354519</v>
      </c>
      <c r="K307" s="129">
        <f t="shared" si="69"/>
        <v>11270377.010786578</v>
      </c>
      <c r="L307" s="129">
        <f t="shared" si="69"/>
        <v>12121239.496981151</v>
      </c>
      <c r="M307" s="129">
        <f t="shared" si="69"/>
        <v>14297417.058656115</v>
      </c>
      <c r="N307" s="177">
        <f t="shared" si="69"/>
        <v>13769008.06753863</v>
      </c>
      <c r="O307" s="162">
        <f t="shared" si="68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70" ref="C308:N308">C185+C296</f>
        <v>3153178.705539461</v>
      </c>
      <c r="D308" s="129">
        <f t="shared" si="70"/>
        <v>3040131.4848048314</v>
      </c>
      <c r="E308" s="129">
        <f t="shared" si="70"/>
        <v>244735.57732211344</v>
      </c>
      <c r="F308" s="129">
        <f t="shared" si="70"/>
        <v>0</v>
      </c>
      <c r="G308" s="129">
        <f t="shared" si="70"/>
        <v>0</v>
      </c>
      <c r="H308" s="129">
        <f t="shared" si="70"/>
        <v>0</v>
      </c>
      <c r="I308" s="129">
        <f t="shared" si="70"/>
        <v>0</v>
      </c>
      <c r="J308" s="129">
        <f t="shared" si="70"/>
        <v>0</v>
      </c>
      <c r="K308" s="129">
        <f t="shared" si="70"/>
        <v>0</v>
      </c>
      <c r="L308" s="129">
        <f t="shared" si="70"/>
        <v>0</v>
      </c>
      <c r="M308" s="129">
        <f t="shared" si="70"/>
        <v>0</v>
      </c>
      <c r="N308" s="177">
        <f t="shared" si="70"/>
        <v>993880.2413467322</v>
      </c>
      <c r="O308" s="162">
        <f t="shared" si="68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1" ref="C309:N309">C186+C297</f>
        <v>3144243.4890327053</v>
      </c>
      <c r="D309" s="129">
        <f t="shared" si="71"/>
        <v>3066797.122824406</v>
      </c>
      <c r="E309" s="129">
        <f t="shared" si="71"/>
        <v>3144914.2298989594</v>
      </c>
      <c r="F309" s="129">
        <f t="shared" si="71"/>
        <v>2943088.64740716</v>
      </c>
      <c r="G309" s="129">
        <f t="shared" si="71"/>
        <v>3014978.311787312</v>
      </c>
      <c r="H309" s="129">
        <f t="shared" si="71"/>
        <v>3191348.765978072</v>
      </c>
      <c r="I309" s="129">
        <f t="shared" si="71"/>
        <v>3161521.187092651</v>
      </c>
      <c r="J309" s="129">
        <f t="shared" si="71"/>
        <v>2831330.0600651065</v>
      </c>
      <c r="K309" s="129">
        <f t="shared" si="71"/>
        <v>2988003.844423804</v>
      </c>
      <c r="L309" s="129">
        <f t="shared" si="71"/>
        <v>3302916.9742901484</v>
      </c>
      <c r="M309" s="129">
        <f t="shared" si="71"/>
        <v>3890667.748814837</v>
      </c>
      <c r="N309" s="177">
        <f t="shared" si="71"/>
        <v>3674824.3881474975</v>
      </c>
      <c r="O309" s="162">
        <f t="shared" si="68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2" ref="C310:N310">C187+C298</f>
        <v>7553388.496051349</v>
      </c>
      <c r="D310" s="129">
        <f t="shared" si="72"/>
        <v>8272784.176131814</v>
      </c>
      <c r="E310" s="129">
        <f t="shared" si="72"/>
        <v>7036429.427488076</v>
      </c>
      <c r="F310" s="129">
        <f t="shared" si="72"/>
        <v>7888770.157415604</v>
      </c>
      <c r="G310" s="129">
        <f t="shared" si="72"/>
        <v>7066075.659887202</v>
      </c>
      <c r="H310" s="129">
        <f t="shared" si="72"/>
        <v>7840427.20404576</v>
      </c>
      <c r="I310" s="129">
        <f t="shared" si="72"/>
        <v>5739790.034153882</v>
      </c>
      <c r="J310" s="129">
        <f t="shared" si="72"/>
        <v>5545038.01484064</v>
      </c>
      <c r="K310" s="129">
        <f t="shared" si="72"/>
        <v>3428293.17739778</v>
      </c>
      <c r="L310" s="129">
        <f t="shared" si="72"/>
        <v>1876166.709395714</v>
      </c>
      <c r="M310" s="129">
        <f t="shared" si="72"/>
        <v>1905141.709395714</v>
      </c>
      <c r="N310" s="177">
        <f t="shared" si="72"/>
        <v>2796468.23913035</v>
      </c>
      <c r="O310" s="162">
        <f t="shared" si="68"/>
        <v>66948773.005333886</v>
      </c>
      <c r="P310" s="85"/>
    </row>
    <row r="311" spans="1:16" ht="11.25">
      <c r="A311" s="18" t="s">
        <v>56</v>
      </c>
      <c r="B311" s="29"/>
      <c r="C311" s="176">
        <f aca="true" t="shared" si="73" ref="C311:N311">C188+C299</f>
        <v>9691251.559283013</v>
      </c>
      <c r="D311" s="129">
        <f t="shared" si="73"/>
        <v>14819800.20030049</v>
      </c>
      <c r="E311" s="129">
        <f t="shared" si="73"/>
        <v>12563350.706585672</v>
      </c>
      <c r="F311" s="129">
        <f t="shared" si="73"/>
        <v>8904634.910844516</v>
      </c>
      <c r="G311" s="129">
        <f t="shared" si="73"/>
        <v>12725904.665171374</v>
      </c>
      <c r="H311" s="129">
        <f t="shared" si="73"/>
        <v>14368823.240781192</v>
      </c>
      <c r="I311" s="129">
        <f t="shared" si="73"/>
        <v>12809532.13288777</v>
      </c>
      <c r="J311" s="129">
        <f t="shared" si="73"/>
        <v>12378470.804351203</v>
      </c>
      <c r="K311" s="129">
        <f t="shared" si="73"/>
        <v>13162915.005955063</v>
      </c>
      <c r="L311" s="129">
        <f t="shared" si="73"/>
        <v>6770279.952697198</v>
      </c>
      <c r="M311" s="129">
        <f t="shared" si="73"/>
        <v>7961435.158602065</v>
      </c>
      <c r="N311" s="177">
        <f t="shared" si="73"/>
        <v>8851368.28170652</v>
      </c>
      <c r="O311" s="162">
        <f t="shared" si="68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4" ref="C312:N312">C189+C300</f>
        <v>0</v>
      </c>
      <c r="D312" s="179">
        <f t="shared" si="74"/>
        <v>0</v>
      </c>
      <c r="E312" s="179">
        <f t="shared" si="74"/>
        <v>0</v>
      </c>
      <c r="F312" s="179">
        <f t="shared" si="74"/>
        <v>1023894.853590749</v>
      </c>
      <c r="G312" s="179">
        <f t="shared" si="74"/>
        <v>1195142.830305361</v>
      </c>
      <c r="H312" s="179">
        <f t="shared" si="74"/>
        <v>1265027.806234322</v>
      </c>
      <c r="I312" s="179">
        <f t="shared" si="74"/>
        <v>1253204.082659317</v>
      </c>
      <c r="J312" s="179">
        <f t="shared" si="74"/>
        <v>1162258.876511354</v>
      </c>
      <c r="K312" s="179">
        <f t="shared" si="74"/>
        <v>0</v>
      </c>
      <c r="L312" s="179">
        <f t="shared" si="74"/>
        <v>0</v>
      </c>
      <c r="M312" s="179">
        <f t="shared" si="74"/>
        <v>0</v>
      </c>
      <c r="N312" s="180">
        <f t="shared" si="74"/>
        <v>0</v>
      </c>
      <c r="O312" s="163">
        <f t="shared" si="68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5" ref="C313:O313">SUM(C306:C312)</f>
        <v>36425294.18978573</v>
      </c>
      <c r="D313" s="77">
        <f t="shared" si="75"/>
        <v>52824048.8658474</v>
      </c>
      <c r="E313" s="77">
        <f t="shared" si="75"/>
        <v>48206608.50766526</v>
      </c>
      <c r="F313" s="77">
        <f t="shared" si="75"/>
        <v>43357970.063393526</v>
      </c>
      <c r="G313" s="77">
        <f t="shared" si="75"/>
        <v>47771247.43303812</v>
      </c>
      <c r="H313" s="77">
        <f t="shared" si="75"/>
        <v>55185759.76236848</v>
      </c>
      <c r="I313" s="77">
        <f t="shared" si="75"/>
        <v>45842685.438549235</v>
      </c>
      <c r="J313" s="77">
        <f t="shared" si="75"/>
        <v>34628048.59221359</v>
      </c>
      <c r="K313" s="77">
        <f t="shared" si="75"/>
        <v>31952311.538563225</v>
      </c>
      <c r="L313" s="77">
        <f t="shared" si="75"/>
        <v>26016285.13336421</v>
      </c>
      <c r="M313" s="77">
        <f t="shared" si="75"/>
        <v>30062119.17546873</v>
      </c>
      <c r="N313" s="186">
        <f t="shared" si="75"/>
        <v>31155471.21786973</v>
      </c>
      <c r="O313" s="187">
        <f t="shared" si="75"/>
        <v>483427849.9181273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6" ref="D322:O322">SUM(D317:D321)</f>
        <v>11189864.027066076</v>
      </c>
      <c r="E322" s="167">
        <f t="shared" si="76"/>
        <v>11518485.103358384</v>
      </c>
      <c r="F322" s="167">
        <f t="shared" si="76"/>
        <v>11172373.135397488</v>
      </c>
      <c r="G322" s="167">
        <f t="shared" si="76"/>
        <v>11564610.263224468</v>
      </c>
      <c r="H322" s="167">
        <f t="shared" si="76"/>
        <v>12435258.91361883</v>
      </c>
      <c r="I322" s="167">
        <f t="shared" si="76"/>
        <v>11925089.692157917</v>
      </c>
      <c r="J322" s="167">
        <f t="shared" si="76"/>
        <v>11826197.586959587</v>
      </c>
      <c r="K322" s="167">
        <f t="shared" si="76"/>
        <v>11826470.55557961</v>
      </c>
      <c r="L322" s="167">
        <f t="shared" si="76"/>
        <v>11785983.817357121</v>
      </c>
      <c r="M322" s="167">
        <f t="shared" si="76"/>
        <v>11140764.065469872</v>
      </c>
      <c r="N322" s="167">
        <f t="shared" si="76"/>
        <v>11342176.37773681</v>
      </c>
      <c r="O322" s="166">
        <f t="shared" si="76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7" ref="C323:N323">C322-C165</f>
        <v>-0.01919611170887947</v>
      </c>
      <c r="D323" s="206">
        <f t="shared" si="77"/>
        <v>-0.27493392303586006</v>
      </c>
      <c r="E323" s="206">
        <f t="shared" si="77"/>
        <v>-0.29964161477983</v>
      </c>
      <c r="F323" s="206">
        <f t="shared" si="77"/>
        <v>0.529397489503026</v>
      </c>
      <c r="G323" s="206">
        <f t="shared" si="77"/>
        <v>0.4082244671881199</v>
      </c>
      <c r="H323" s="206">
        <f t="shared" si="77"/>
        <v>-0.3953811712563038</v>
      </c>
      <c r="I323" s="206">
        <f t="shared" si="77"/>
        <v>0.1461579166352749</v>
      </c>
      <c r="J323" s="206">
        <f t="shared" si="77"/>
        <v>0.1969595868140459</v>
      </c>
      <c r="K323" s="206">
        <f t="shared" si="77"/>
        <v>-0.4614203907549381</v>
      </c>
      <c r="L323" s="206">
        <f t="shared" si="77"/>
        <v>0.2023571226745844</v>
      </c>
      <c r="M323" s="206">
        <f t="shared" si="77"/>
        <v>-0.29553012922406197</v>
      </c>
      <c r="N323" s="206">
        <f t="shared" si="77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333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8" ref="D332:O332">D9+D17</f>
        <v>2415425.535</v>
      </c>
      <c r="E332" s="59">
        <f t="shared" si="78"/>
        <v>1335251.607</v>
      </c>
      <c r="F332" s="59">
        <f t="shared" si="78"/>
        <v>1080389.8620000002</v>
      </c>
      <c r="G332" s="59">
        <f t="shared" si="78"/>
        <v>1060944.527</v>
      </c>
      <c r="H332" s="59">
        <f t="shared" si="78"/>
        <v>1084310.262</v>
      </c>
      <c r="I332" s="59">
        <f t="shared" si="78"/>
        <v>2231974.862</v>
      </c>
      <c r="J332" s="59">
        <f t="shared" si="78"/>
        <v>2133257.103</v>
      </c>
      <c r="K332" s="59">
        <f t="shared" si="78"/>
        <v>1952851.305</v>
      </c>
      <c r="L332" s="59">
        <f t="shared" si="78"/>
        <v>1950422.1269999999</v>
      </c>
      <c r="M332" s="59">
        <f t="shared" si="78"/>
        <v>1777894.8879999998</v>
      </c>
      <c r="N332" s="59">
        <f t="shared" si="78"/>
        <v>1788986.454</v>
      </c>
      <c r="O332" s="33">
        <f t="shared" si="78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9" ref="D333:O333">D12</f>
        <v>2164955.2</v>
      </c>
      <c r="E333" s="59">
        <f t="shared" si="79"/>
        <v>2095115.4</v>
      </c>
      <c r="F333" s="59">
        <f t="shared" si="79"/>
        <v>2164955.2</v>
      </c>
      <c r="G333" s="59">
        <f t="shared" si="79"/>
        <v>2095115.4</v>
      </c>
      <c r="H333" s="59">
        <f t="shared" si="79"/>
        <v>2164955.2</v>
      </c>
      <c r="I333" s="59">
        <f t="shared" si="79"/>
        <v>2164955.2</v>
      </c>
      <c r="J333" s="59">
        <f t="shared" si="79"/>
        <v>1955435.2</v>
      </c>
      <c r="K333" s="59">
        <f t="shared" si="79"/>
        <v>2164955.2</v>
      </c>
      <c r="L333" s="59">
        <f t="shared" si="79"/>
        <v>2095115.4</v>
      </c>
      <c r="M333" s="59">
        <f t="shared" si="79"/>
        <v>2164955.2</v>
      </c>
      <c r="N333" s="59">
        <f t="shared" si="79"/>
        <v>2095115.4</v>
      </c>
      <c r="O333" s="33">
        <f t="shared" si="79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80" ref="D334:O334">SUM(D10:D11)+SUM(D13:D16)+D18+D29+D39</f>
        <v>35234838.9642</v>
      </c>
      <c r="E334" s="59">
        <f t="shared" si="80"/>
        <v>36876820.0405</v>
      </c>
      <c r="F334" s="59">
        <f t="shared" si="80"/>
        <v>44701192.934200004</v>
      </c>
      <c r="G334" s="59">
        <f t="shared" si="80"/>
        <v>44401732.8005</v>
      </c>
      <c r="H334" s="59">
        <f t="shared" si="80"/>
        <v>52247686.2542</v>
      </c>
      <c r="I334" s="59">
        <f t="shared" si="80"/>
        <v>42013009.1942</v>
      </c>
      <c r="J334" s="59">
        <f t="shared" si="80"/>
        <v>37257127.0782</v>
      </c>
      <c r="K334" s="59">
        <f t="shared" si="80"/>
        <v>38480594.584199995</v>
      </c>
      <c r="L334" s="59">
        <f t="shared" si="80"/>
        <v>29670050.2555</v>
      </c>
      <c r="M334" s="59">
        <f t="shared" si="80"/>
        <v>23763177.0242</v>
      </c>
      <c r="N334" s="59">
        <f t="shared" si="80"/>
        <v>27563803.476499997</v>
      </c>
      <c r="O334" s="33">
        <f t="shared" si="80"/>
        <v>442155706.8406</v>
      </c>
      <c r="P334" s="85">
        <f>SUM(C334:N334)-O334</f>
        <v>0</v>
      </c>
      <c r="Q334" s="86"/>
      <c r="R334" s="109">
        <v>442679035</v>
      </c>
      <c r="S334" s="211">
        <f>ROUND(O334-R334,0)</f>
        <v>-523328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1" ref="C336:N336">SUM(C332:C335)</f>
        <v>34629891.8432</v>
      </c>
      <c r="D336" s="78">
        <f t="shared" si="81"/>
        <v>39815219.6992</v>
      </c>
      <c r="E336" s="78">
        <f t="shared" si="81"/>
        <v>40307187.0475</v>
      </c>
      <c r="F336" s="78">
        <f t="shared" si="81"/>
        <v>47946537.9962</v>
      </c>
      <c r="G336" s="78">
        <f t="shared" si="81"/>
        <v>47557792.7275</v>
      </c>
      <c r="H336" s="78">
        <f t="shared" si="81"/>
        <v>55496951.716199994</v>
      </c>
      <c r="I336" s="78">
        <f t="shared" si="81"/>
        <v>46409939.2562</v>
      </c>
      <c r="J336" s="78">
        <f t="shared" si="81"/>
        <v>41345819.3812</v>
      </c>
      <c r="K336" s="78">
        <f t="shared" si="81"/>
        <v>42598401.0892</v>
      </c>
      <c r="L336" s="78">
        <f t="shared" si="81"/>
        <v>33715587.7825</v>
      </c>
      <c r="M336" s="78">
        <f t="shared" si="81"/>
        <v>27706027.1122</v>
      </c>
      <c r="N336" s="78">
        <f t="shared" si="81"/>
        <v>31447905.330499995</v>
      </c>
      <c r="O336" s="39">
        <f>SUM(O332:O335)</f>
        <v>488977260.9816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-523328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2" ref="C339:O339">C237+C240+C243+C246+C250+C128</f>
        <v>5961374.017819953</v>
      </c>
      <c r="D339" s="59">
        <f t="shared" si="82"/>
        <v>5916951.323731856</v>
      </c>
      <c r="E339" s="59">
        <f t="shared" si="82"/>
        <v>1042350.5603340247</v>
      </c>
      <c r="F339" s="59">
        <f t="shared" si="82"/>
        <v>713421.7023276587</v>
      </c>
      <c r="G339" s="59">
        <f t="shared" si="82"/>
        <v>581728.3611782596</v>
      </c>
      <c r="H339" s="59">
        <f t="shared" si="82"/>
        <v>640975.1647384905</v>
      </c>
      <c r="I339" s="59">
        <f t="shared" si="82"/>
        <v>310114.54011695774</v>
      </c>
      <c r="J339" s="59">
        <f t="shared" si="82"/>
        <v>291603.14522594475</v>
      </c>
      <c r="K339" s="59">
        <f t="shared" si="82"/>
        <v>340311.01108212443</v>
      </c>
      <c r="L339" s="59">
        <f t="shared" si="82"/>
        <v>390593.6753430788</v>
      </c>
      <c r="M339" s="59">
        <f t="shared" si="82"/>
        <v>439146.67535938683</v>
      </c>
      <c r="N339" s="59">
        <f t="shared" si="82"/>
        <v>421565.25394933013</v>
      </c>
      <c r="O339" s="33">
        <f t="shared" si="82"/>
        <v>17050135.431207065</v>
      </c>
      <c r="P339" s="85">
        <f aca="true" t="shared" si="83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4" ref="C340:O340">C253+C257+C57</f>
        <v>4145821.537152192</v>
      </c>
      <c r="D340" s="59">
        <f t="shared" si="84"/>
        <v>4098837.876110427</v>
      </c>
      <c r="E340" s="59">
        <f t="shared" si="84"/>
        <v>3977972.3403869355</v>
      </c>
      <c r="F340" s="59">
        <f t="shared" si="84"/>
        <v>3786454.643698757</v>
      </c>
      <c r="G340" s="59">
        <f t="shared" si="84"/>
        <v>3934092.1881797044</v>
      </c>
      <c r="H340" s="59">
        <f t="shared" si="84"/>
        <v>4024380.2738432656</v>
      </c>
      <c r="I340" s="59">
        <f t="shared" si="84"/>
        <v>4034517.568539302</v>
      </c>
      <c r="J340" s="59">
        <f t="shared" si="84"/>
        <v>3765593.8348063687</v>
      </c>
      <c r="K340" s="59">
        <f t="shared" si="84"/>
        <v>4024882.026626843</v>
      </c>
      <c r="L340" s="59">
        <f t="shared" si="84"/>
        <v>3313975.4400953227</v>
      </c>
      <c r="M340" s="59">
        <f t="shared" si="84"/>
        <v>3898929.0216176934</v>
      </c>
      <c r="N340" s="59">
        <f t="shared" si="84"/>
        <v>4086372.058298086</v>
      </c>
      <c r="O340" s="33">
        <f t="shared" si="84"/>
        <v>47091828.80935489</v>
      </c>
      <c r="P340" s="85">
        <f t="shared" si="83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5" ref="C341:O341">C238+C241+C244+C247+C251+C254+C258+C52+C69+C70</f>
        <v>5237995.164792803</v>
      </c>
      <c r="D341" s="59">
        <f t="shared" si="85"/>
        <v>5207359.457116978</v>
      </c>
      <c r="E341" s="59">
        <f t="shared" si="85"/>
        <v>5035310.422561478</v>
      </c>
      <c r="F341" s="59">
        <f t="shared" si="85"/>
        <v>4045993.5935188835</v>
      </c>
      <c r="G341" s="59">
        <f t="shared" si="85"/>
        <v>3871660.856819806</v>
      </c>
      <c r="H341" s="59">
        <f t="shared" si="85"/>
        <v>4198856.334460258</v>
      </c>
      <c r="I341" s="59">
        <f t="shared" si="85"/>
        <v>2455770.028741196</v>
      </c>
      <c r="J341" s="59">
        <f t="shared" si="85"/>
        <v>2315274.074212958</v>
      </c>
      <c r="K341" s="59">
        <f t="shared" si="85"/>
        <v>2526671.429619856</v>
      </c>
      <c r="L341" s="59">
        <f t="shared" si="85"/>
        <v>2394116.7064943695</v>
      </c>
      <c r="M341" s="59">
        <f t="shared" si="85"/>
        <v>2775607.9080321174</v>
      </c>
      <c r="N341" s="59">
        <f t="shared" si="85"/>
        <v>2806746.1406649784</v>
      </c>
      <c r="O341" s="33">
        <f t="shared" si="85"/>
        <v>42871362.11703568</v>
      </c>
      <c r="P341" s="85">
        <f t="shared" si="83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6" ref="C342:O342">C248+C255+C260+SUM(C89:C102)+SUM(C104:C106)</f>
        <v>47788335.41204984</v>
      </c>
      <c r="D342" s="59">
        <f t="shared" si="86"/>
        <v>45737432.20289411</v>
      </c>
      <c r="E342" s="59">
        <f t="shared" si="86"/>
        <v>33373472.12520929</v>
      </c>
      <c r="F342" s="59">
        <f t="shared" si="86"/>
        <v>34428164.15803211</v>
      </c>
      <c r="G342" s="59">
        <f t="shared" si="86"/>
        <v>30666557.515557893</v>
      </c>
      <c r="H342" s="59">
        <f t="shared" si="86"/>
        <v>40134264.93793834</v>
      </c>
      <c r="I342" s="59">
        <f t="shared" si="86"/>
        <v>46436256.266444795</v>
      </c>
      <c r="J342" s="59">
        <f t="shared" si="86"/>
        <v>46217607.40671664</v>
      </c>
      <c r="K342" s="59">
        <f t="shared" si="86"/>
        <v>52280826.40366945</v>
      </c>
      <c r="L342" s="59">
        <f t="shared" si="86"/>
        <v>56556350.88979343</v>
      </c>
      <c r="M342" s="59">
        <f t="shared" si="86"/>
        <v>49306495.82701702</v>
      </c>
      <c r="N342" s="59">
        <f t="shared" si="86"/>
        <v>45097220.34864846</v>
      </c>
      <c r="O342" s="33">
        <f t="shared" si="86"/>
        <v>528022983.4939713</v>
      </c>
      <c r="P342" s="85">
        <f t="shared" si="83"/>
        <v>0</v>
      </c>
      <c r="Q342" s="86"/>
      <c r="R342" s="109">
        <v>527437131</v>
      </c>
      <c r="S342" s="211">
        <f>ROUND(O342-R342,0)</f>
        <v>585852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3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7" ref="C344:N344">C78</f>
        <v>0</v>
      </c>
      <c r="D344" s="59">
        <f t="shared" si="87"/>
        <v>0</v>
      </c>
      <c r="E344" s="59">
        <f t="shared" si="87"/>
        <v>0</v>
      </c>
      <c r="F344" s="59">
        <f t="shared" si="87"/>
        <v>0</v>
      </c>
      <c r="G344" s="59">
        <f t="shared" si="87"/>
        <v>0</v>
      </c>
      <c r="H344" s="59">
        <f t="shared" si="87"/>
        <v>0</v>
      </c>
      <c r="I344" s="59">
        <f t="shared" si="87"/>
        <v>0</v>
      </c>
      <c r="J344" s="59">
        <f t="shared" si="87"/>
        <v>0</v>
      </c>
      <c r="K344" s="59">
        <f t="shared" si="87"/>
        <v>0</v>
      </c>
      <c r="L344" s="59">
        <f t="shared" si="87"/>
        <v>0</v>
      </c>
      <c r="M344" s="59">
        <f t="shared" si="87"/>
        <v>0</v>
      </c>
      <c r="N344" s="59">
        <f t="shared" si="87"/>
        <v>0</v>
      </c>
      <c r="O344" s="33">
        <f>O78</f>
        <v>0</v>
      </c>
      <c r="P344" s="85">
        <f t="shared" si="83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8" ref="C345:N345">C201</f>
        <v>260040.52115123035</v>
      </c>
      <c r="D345" s="59">
        <f t="shared" si="88"/>
        <v>260353.62973962713</v>
      </c>
      <c r="E345" s="59">
        <f t="shared" si="88"/>
        <v>273734.621364744</v>
      </c>
      <c r="F345" s="59">
        <f t="shared" si="88"/>
        <v>326812.249262088</v>
      </c>
      <c r="G345" s="59">
        <f t="shared" si="88"/>
        <v>385351.5655572479</v>
      </c>
      <c r="H345" s="59">
        <f t="shared" si="88"/>
        <v>415489.4347215744</v>
      </c>
      <c r="I345" s="59">
        <f t="shared" si="88"/>
        <v>426636.2584322299</v>
      </c>
      <c r="J345" s="59">
        <f t="shared" si="88"/>
        <v>350486.44199498993</v>
      </c>
      <c r="K345" s="59">
        <f t="shared" si="88"/>
        <v>388453.405210696</v>
      </c>
      <c r="L345" s="59">
        <f t="shared" si="88"/>
        <v>318217.01673770393</v>
      </c>
      <c r="M345" s="59">
        <f t="shared" si="88"/>
        <v>305701.921274498</v>
      </c>
      <c r="N345" s="59">
        <f t="shared" si="88"/>
        <v>280084.598317538</v>
      </c>
      <c r="O345" s="33">
        <f>O201</f>
        <v>3991361.663764167</v>
      </c>
      <c r="P345" s="85">
        <f t="shared" si="83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3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9" ref="C347:N347">SUM(C339:C346)</f>
        <v>63393566.652966015</v>
      </c>
      <c r="D347" s="78">
        <f t="shared" si="89"/>
        <v>61220934.489593</v>
      </c>
      <c r="E347" s="78">
        <f t="shared" si="89"/>
        <v>43702840.06985647</v>
      </c>
      <c r="F347" s="78">
        <f t="shared" si="89"/>
        <v>43300846.346839495</v>
      </c>
      <c r="G347" s="78">
        <f t="shared" si="89"/>
        <v>39439390.48729291</v>
      </c>
      <c r="H347" s="78">
        <f t="shared" si="89"/>
        <v>49413966.14570193</v>
      </c>
      <c r="I347" s="78">
        <f t="shared" si="89"/>
        <v>53663294.66227448</v>
      </c>
      <c r="J347" s="78">
        <f t="shared" si="89"/>
        <v>52940564.902956896</v>
      </c>
      <c r="K347" s="78">
        <f t="shared" si="89"/>
        <v>59561144.27620897</v>
      </c>
      <c r="L347" s="78">
        <f t="shared" si="89"/>
        <v>62973253.72846391</v>
      </c>
      <c r="M347" s="78">
        <f t="shared" si="89"/>
        <v>56725881.35330071</v>
      </c>
      <c r="N347" s="78">
        <f t="shared" si="89"/>
        <v>52691988.39987839</v>
      </c>
      <c r="O347" s="39">
        <f>SUM(O339:O346)</f>
        <v>639027671.515333</v>
      </c>
      <c r="P347" s="85">
        <f t="shared" si="83"/>
        <v>0</v>
      </c>
      <c r="R347" s="39">
        <f>SUM(R339:R346)</f>
        <v>638441819</v>
      </c>
      <c r="S347" s="213">
        <f>ROUND(O347-R347,0)</f>
        <v>585853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90" ref="C350:O351">C317</f>
        <v>2230634.2446042513</v>
      </c>
      <c r="D350" s="59">
        <f t="shared" si="90"/>
        <v>2234487.2246042513</v>
      </c>
      <c r="E350" s="59">
        <f t="shared" si="90"/>
        <v>2233535.9946042513</v>
      </c>
      <c r="F350" s="59">
        <f t="shared" si="90"/>
        <v>2247525.544604251</v>
      </c>
      <c r="G350" s="59">
        <f t="shared" si="90"/>
        <v>2238880.584604251</v>
      </c>
      <c r="H350" s="59">
        <f t="shared" si="90"/>
        <v>2302774.334604251</v>
      </c>
      <c r="I350" s="59">
        <f t="shared" si="90"/>
        <v>2274857.924604251</v>
      </c>
      <c r="J350" s="59">
        <f t="shared" si="90"/>
        <v>2265299.014604251</v>
      </c>
      <c r="K350" s="59">
        <f t="shared" si="90"/>
        <v>2277176.9946042513</v>
      </c>
      <c r="L350" s="59">
        <f t="shared" si="90"/>
        <v>2253027.544604251</v>
      </c>
      <c r="M350" s="59">
        <f t="shared" si="90"/>
        <v>2241285.8246042514</v>
      </c>
      <c r="N350" s="59">
        <f t="shared" si="90"/>
        <v>2234873.724604251</v>
      </c>
      <c r="O350" s="33">
        <f t="shared" si="90"/>
        <v>27034358.955251016</v>
      </c>
      <c r="P350" s="85">
        <f t="shared" si="83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t="shared" si="90"/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3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3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3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3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58662774.02054397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59135819.10777824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677460072.1645217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-3167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51994410.99639041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437641289.1393515</v>
      </c>
      <c r="P360" s="85">
        <f t="shared" si="95"/>
        <v>0</v>
      </c>
      <c r="R360" s="109">
        <v>437641542</v>
      </c>
      <c r="S360" s="211">
        <f t="shared" si="96"/>
        <v>-253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100374394.10809392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119635301.4343613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1220780224.9033449</v>
      </c>
      <c r="P364" s="85">
        <f t="shared" si="95"/>
        <v>0</v>
      </c>
      <c r="R364" s="39">
        <f>SUM(R357:R363)</f>
        <v>1220783645</v>
      </c>
      <c r="S364" s="213">
        <f>ROUND(O364-R364,0)</f>
        <v>-3420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140131690.29285994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125987575.17286323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1509551530.6890779</v>
      </c>
      <c r="P366" s="85">
        <f>SUM(C366:N366)-O366</f>
        <v>0</v>
      </c>
      <c r="R366" s="105">
        <f>-R336+R347+R354+R364</f>
        <v>1508445770</v>
      </c>
      <c r="S366" s="213">
        <f>ROUND(O366-R366,0)</f>
        <v>1105761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9.998679161071777E-05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240">
        <f t="shared" si="104"/>
        <v>1105760.6894000024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366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285" t="s">
        <v>389</v>
      </c>
      <c r="H375" s="286">
        <v>251.73394545454568</v>
      </c>
      <c r="I375" s="283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8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284">
        <f>2455.707+H375</f>
        <v>2707.4409454545457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27507.52694545454</v>
      </c>
      <c r="R378" s="287"/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9324.265543640915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104354.80756715211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27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285" t="s">
        <v>388</v>
      </c>
      <c r="H388" s="294">
        <v>26141.20827272729</v>
      </c>
      <c r="I388" s="280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268">
        <f>1418300+H388</f>
        <v>1444441.2082727272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15070951.208272727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5418765.227311196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61611175.28861225</v>
      </c>
      <c r="P397" s="85"/>
      <c r="Q397" s="1"/>
    </row>
    <row r="398" spans="3:16" ht="11.25"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3"/>
    </row>
    <row r="399" spans="1:17" ht="11.25">
      <c r="A399" s="222"/>
      <c r="B399" s="29"/>
      <c r="C399" s="267"/>
      <c r="D399" s="267"/>
      <c r="E399" s="267"/>
      <c r="F399" s="267"/>
      <c r="G399" s="267"/>
      <c r="H399" s="267"/>
      <c r="I399" s="267"/>
      <c r="J399" s="267"/>
      <c r="K399" s="267"/>
      <c r="L399" s="267"/>
      <c r="M399" s="267"/>
      <c r="N399" s="267"/>
      <c r="O399" s="267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384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338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1767165.0850416757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241389618.19669747</v>
      </c>
      <c r="P408" s="85"/>
      <c r="R408" s="126">
        <f>-SUM(R332:R334)+SUM(R339:R340)+R342+SUM(R344:R345)+SUM(R350:R352)</f>
        <v>240280438</v>
      </c>
      <c r="S408" s="242">
        <f>ROUND(O408-R408,0)</f>
        <v>1109180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105703704.32788672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124220410.08782156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1268161912.4923806</v>
      </c>
      <c r="P409" s="85"/>
      <c r="R409" s="130">
        <f>-R335+R341+R343+R353+R364</f>
        <v>1268165332</v>
      </c>
      <c r="S409" s="211">
        <f>ROUND(O409-R409,0)</f>
        <v>-3420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140131690.2928599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125987575.17286323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1509551530.689078</v>
      </c>
      <c r="P410" s="132"/>
      <c r="R410" s="39">
        <f>SUM(R408:R409)</f>
        <v>1508445770</v>
      </c>
      <c r="S410" s="213">
        <f>ROUND(O410-R410,0)</f>
        <v>1105761</v>
      </c>
    </row>
    <row r="411" ht="11.25">
      <c r="S411" s="50"/>
    </row>
    <row r="412" spans="1:19" ht="11.25">
      <c r="A412" s="5" t="s">
        <v>276</v>
      </c>
      <c r="S412" s="50"/>
    </row>
    <row r="413" spans="1:19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4">
        <f>(1+O414)*O410</f>
        <v>1476081243.3893547</v>
      </c>
      <c r="P413" s="133"/>
      <c r="S413" s="50"/>
    </row>
    <row r="414" spans="1:19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5">
        <f>'Base Forecast'!O414</f>
        <v>-0.022172338352997367</v>
      </c>
      <c r="P414" s="133" t="s">
        <v>267</v>
      </c>
      <c r="R414" s="160">
        <f>O414</f>
        <v>-0.022172338352997367</v>
      </c>
      <c r="S414" s="50"/>
    </row>
    <row r="415" ht="11.25">
      <c r="S415" s="50"/>
    </row>
    <row r="416" spans="1:19" ht="11.25">
      <c r="A416" s="5" t="s">
        <v>336</v>
      </c>
      <c r="S416" s="50"/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8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1727982.9028505282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236037445.90713945</v>
      </c>
      <c r="P417" s="131">
        <f>O417-'Base Forecast'!O417</f>
        <v>1084587.7248194814</v>
      </c>
      <c r="Q417" s="251">
        <f>P417/'Base Forecast'!O417</f>
        <v>0.004616192938490909</v>
      </c>
      <c r="R417" s="126">
        <f>(1+$R$414)*R408</f>
        <v>234952858.8290576</v>
      </c>
      <c r="S417" s="242">
        <f>ROUND(O417-R417,0)</f>
        <v>1084587</v>
      </c>
    </row>
    <row r="418" spans="1:19" ht="11.25">
      <c r="A418" s="18" t="s">
        <v>275</v>
      </c>
      <c r="B418" s="29"/>
      <c r="C418" s="59">
        <f>(1+$O$414)*C409</f>
        <v>103360006.03036362</v>
      </c>
      <c r="D418" s="59">
        <f t="shared" si="112"/>
        <v>121601287.40390994</v>
      </c>
      <c r="E418" s="59">
        <f t="shared" si="112"/>
        <v>114487939.86364143</v>
      </c>
      <c r="F418" s="59">
        <f t="shared" si="112"/>
        <v>109386855.19297197</v>
      </c>
      <c r="G418" s="59">
        <f t="shared" si="112"/>
        <v>111922754.54440005</v>
      </c>
      <c r="H418" s="59">
        <f t="shared" si="112"/>
        <v>121466153.12500629</v>
      </c>
      <c r="I418" s="59">
        <f t="shared" si="112"/>
        <v>110221349.98039925</v>
      </c>
      <c r="J418" s="59">
        <f t="shared" si="112"/>
        <v>95710311.72614607</v>
      </c>
      <c r="K418" s="59">
        <f t="shared" si="112"/>
        <v>93603603.74384636</v>
      </c>
      <c r="L418" s="59">
        <f t="shared" si="112"/>
        <v>80202749.73940663</v>
      </c>
      <c r="M418" s="59">
        <f t="shared" si="112"/>
        <v>86791638.39206077</v>
      </c>
      <c r="N418" s="59">
        <f t="shared" si="112"/>
        <v>91289147.74006265</v>
      </c>
      <c r="O418" s="135">
        <f>(1+$O$414)*O409</f>
        <v>1240043797.4822154</v>
      </c>
      <c r="P418" s="131">
        <f>O418-'Base Forecast'!O418</f>
        <v>-3344.335464477539</v>
      </c>
      <c r="Q418" s="251">
        <f>P418/'Base Forecast'!O418</f>
        <v>-2.6969421981614033E-06</v>
      </c>
      <c r="R418" s="135">
        <f>(1+$R$414)*R409</f>
        <v>1240047141.1713548</v>
      </c>
      <c r="S418" s="211">
        <f>ROUND(O418-R418,0)</f>
        <v>-3344</v>
      </c>
    </row>
    <row r="419" spans="1:19" ht="11.25">
      <c r="A419" s="38" t="s">
        <v>273</v>
      </c>
      <c r="B419" s="34"/>
      <c r="C419" s="78">
        <f>SUM(C417:C418)</f>
        <v>137024643.04170918</v>
      </c>
      <c r="D419" s="78">
        <f aca="true" t="shared" si="113" ref="D419:N419">SUM(D417:D418)</f>
        <v>148099892.37453696</v>
      </c>
      <c r="E419" s="78">
        <f t="shared" si="113"/>
        <v>123387179.26516885</v>
      </c>
      <c r="F419" s="78">
        <f t="shared" si="113"/>
        <v>111488561.9135946</v>
      </c>
      <c r="G419" s="78">
        <f t="shared" si="113"/>
        <v>111327152.53156473</v>
      </c>
      <c r="H419" s="78">
        <f t="shared" si="113"/>
        <v>123194136.02785681</v>
      </c>
      <c r="I419" s="78">
        <f t="shared" si="113"/>
        <v>126083848.12298961</v>
      </c>
      <c r="J419" s="78">
        <f t="shared" si="113"/>
        <v>115997260.57425472</v>
      </c>
      <c r="K419" s="78">
        <f t="shared" si="113"/>
        <v>118762926.80748527</v>
      </c>
      <c r="L419" s="78">
        <f t="shared" si="113"/>
        <v>117643506.29340814</v>
      </c>
      <c r="M419" s="78">
        <f t="shared" si="113"/>
        <v>123089695.51166904</v>
      </c>
      <c r="N419" s="78">
        <f t="shared" si="113"/>
        <v>119982440.92511655</v>
      </c>
      <c r="O419" s="39">
        <f>SUM(O417:O418)</f>
        <v>1476081243.389355</v>
      </c>
      <c r="P419" s="131">
        <f>O419-'Base Forecast'!O419</f>
        <v>1081243.3893551826</v>
      </c>
      <c r="Q419" s="251">
        <f>P419/'Base Forecast'!O419</f>
        <v>0.0007330463656645308</v>
      </c>
      <c r="R419" s="105">
        <f>SUM(R417:R418)</f>
        <v>1475000000.0004125</v>
      </c>
      <c r="S419" s="213">
        <f>ROUND(O419-R419,0)</f>
        <v>1081243</v>
      </c>
    </row>
    <row r="420" spans="1:19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  <c r="S420" s="50"/>
    </row>
    <row r="421" spans="1:19" ht="11.25">
      <c r="A421" s="3" t="s">
        <v>243</v>
      </c>
      <c r="C421" s="113">
        <f aca="true" t="shared" si="114" ref="C421:O421">C397</f>
        <v>5581296.864122737</v>
      </c>
      <c r="D421" s="114">
        <f t="shared" si="114"/>
        <v>5456765.139644236</v>
      </c>
      <c r="E421" s="114">
        <f t="shared" si="114"/>
        <v>4811197.089344594</v>
      </c>
      <c r="F421" s="114">
        <f t="shared" si="114"/>
        <v>4902607.745818259</v>
      </c>
      <c r="G421" s="114">
        <f t="shared" si="114"/>
        <v>4972392.752910504</v>
      </c>
      <c r="H421" s="115">
        <f t="shared" si="114"/>
        <v>5418765.227311196</v>
      </c>
      <c r="I421" s="114">
        <f t="shared" si="114"/>
        <v>5409177.157763412</v>
      </c>
      <c r="J421" s="114">
        <f t="shared" si="114"/>
        <v>4977522.637930683</v>
      </c>
      <c r="K421" s="114">
        <f t="shared" si="114"/>
        <v>5150142.6992729325</v>
      </c>
      <c r="L421" s="114">
        <f t="shared" si="114"/>
        <v>4834714.178041546</v>
      </c>
      <c r="M421" s="114">
        <f t="shared" si="114"/>
        <v>5006223.999268866</v>
      </c>
      <c r="N421" s="114">
        <f t="shared" si="114"/>
        <v>5090369.797183279</v>
      </c>
      <c r="O421" s="116">
        <f t="shared" si="114"/>
        <v>61611175.28861225</v>
      </c>
      <c r="P421" s="131">
        <f>O421-'Base Forecast'!O421</f>
        <v>26141.208272725344</v>
      </c>
      <c r="Q421" s="251">
        <f>P421/'Base Forecast'!O421</f>
        <v>0.0004244733913538694</v>
      </c>
      <c r="S421" s="50"/>
    </row>
    <row r="422" spans="3:19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  <c r="S422" s="50"/>
    </row>
    <row r="423" spans="1:19" ht="11.25">
      <c r="A423" s="155" t="s">
        <v>285</v>
      </c>
      <c r="B423" s="118"/>
      <c r="C423" s="156">
        <f aca="true" t="shared" si="115" ref="C423:O423">C419/C421</f>
        <v>24.550681746122564</v>
      </c>
      <c r="D423" s="157">
        <f t="shared" si="115"/>
        <v>27.140602277083268</v>
      </c>
      <c r="E423" s="157">
        <f t="shared" si="115"/>
        <v>25.645837610443287</v>
      </c>
      <c r="F423" s="157">
        <f t="shared" si="115"/>
        <v>22.740665314023985</v>
      </c>
      <c r="G423" s="157">
        <f t="shared" si="115"/>
        <v>22.389050516253228</v>
      </c>
      <c r="H423" s="157">
        <f t="shared" si="115"/>
        <v>22.734724768466492</v>
      </c>
      <c r="I423" s="157">
        <f t="shared" si="115"/>
        <v>23.309247311678508</v>
      </c>
      <c r="J423" s="157">
        <f t="shared" si="115"/>
        <v>23.30421557308648</v>
      </c>
      <c r="K423" s="157">
        <f t="shared" si="115"/>
        <v>23.06012352322811</v>
      </c>
      <c r="L423" s="157">
        <f t="shared" si="115"/>
        <v>24.333084017194864</v>
      </c>
      <c r="M423" s="157">
        <f t="shared" si="115"/>
        <v>24.58733279406708</v>
      </c>
      <c r="N423" s="158">
        <f t="shared" si="115"/>
        <v>23.57047635154287</v>
      </c>
      <c r="O423" s="159">
        <f t="shared" si="115"/>
        <v>23.95801145611619</v>
      </c>
      <c r="P423" s="250">
        <f>O423-'Base Forecast'!O423</f>
        <v>0.007387379561841101</v>
      </c>
      <c r="Q423" s="251">
        <f>P423/'Base Forecast'!O423</f>
        <v>0.0003084420488680596</v>
      </c>
      <c r="S423" s="50"/>
    </row>
    <row r="424" ht="11.25">
      <c r="S424" s="50"/>
    </row>
    <row r="425" ht="11.25">
      <c r="S425" s="50"/>
    </row>
    <row r="426" spans="1:19" ht="11.25">
      <c r="A426" s="5" t="s">
        <v>288</v>
      </c>
      <c r="S426" s="50"/>
    </row>
    <row r="427" ht="11.25">
      <c r="S427" s="50"/>
    </row>
    <row r="428" spans="1:19" ht="11.25">
      <c r="A428" s="5" t="s">
        <v>240</v>
      </c>
      <c r="Q428" s="210" t="s">
        <v>396</v>
      </c>
      <c r="R428" s="210" t="s">
        <v>395</v>
      </c>
      <c r="S428" s="50"/>
    </row>
    <row r="429" spans="1:19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0.43200863082337787</v>
      </c>
      <c r="P429" s="249">
        <f>O429-'Base Forecast'!O429</f>
        <v>-0.0008324825896336985</v>
      </c>
      <c r="Q429" s="293">
        <f>0.75*(O381/O385)+0.25*O430</f>
        <v>0.43200863082337787</v>
      </c>
      <c r="R429" s="293">
        <f>'Base Forecast'!O429</f>
        <v>0.43284111341301157</v>
      </c>
      <c r="S429" s="50"/>
    </row>
    <row r="430" spans="1:19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0.42568589882394564</v>
      </c>
      <c r="P430" s="249">
        <f>O430-'Base Forecast'!O430</f>
        <v>-0.00018069233712530997</v>
      </c>
      <c r="Q430" s="293">
        <f>O393/O397</f>
        <v>0.42568589882394564</v>
      </c>
      <c r="R430" s="293">
        <f>'Base Forecast'!O430</f>
        <v>0.42586659116107095</v>
      </c>
      <c r="S430" s="50"/>
    </row>
    <row r="431" ht="11.25">
      <c r="S431" s="50"/>
    </row>
    <row r="432" spans="1:19" ht="11.25">
      <c r="A432" s="110" t="s">
        <v>270</v>
      </c>
      <c r="R432" s="10" t="s">
        <v>278</v>
      </c>
      <c r="S432" s="243" t="s">
        <v>309</v>
      </c>
    </row>
    <row r="433" spans="1:19" ht="11.25">
      <c r="A433" s="15" t="s">
        <v>226</v>
      </c>
      <c r="B433" s="30"/>
      <c r="C433" s="76">
        <f>$O$429*C408</f>
        <v>14873187.078734547</v>
      </c>
      <c r="D433" s="76">
        <f aca="true" t="shared" si="116" ref="D433:N433">$O$429*D408</f>
        <v>11707202.098177854</v>
      </c>
      <c r="E433" s="76">
        <f t="shared" si="116"/>
        <v>3931723.738258498</v>
      </c>
      <c r="F433" s="76">
        <f t="shared" si="116"/>
        <v>928543.4216896279</v>
      </c>
      <c r="G433" s="76">
        <f t="shared" si="116"/>
        <v>-263139.6310135485</v>
      </c>
      <c r="H433" s="76">
        <f t="shared" si="116"/>
        <v>763430.5688277325</v>
      </c>
      <c r="I433" s="76">
        <f t="shared" si="116"/>
        <v>7008122.568834305</v>
      </c>
      <c r="J433" s="76">
        <f t="shared" si="116"/>
        <v>8962864.663383992</v>
      </c>
      <c r="K433" s="76">
        <f t="shared" si="116"/>
        <v>11115501.366425265</v>
      </c>
      <c r="L433" s="76">
        <f t="shared" si="116"/>
        <v>16541493.568142386</v>
      </c>
      <c r="M433" s="76">
        <f t="shared" si="116"/>
        <v>16036643.851308458</v>
      </c>
      <c r="N433" s="76">
        <f t="shared" si="116"/>
        <v>12676825.159364106</v>
      </c>
      <c r="O433" s="183">
        <f>$O$429*O408</f>
        <v>104282398.45213321</v>
      </c>
      <c r="P433" s="85"/>
      <c r="R433" s="136">
        <f>O429*R408</f>
        <v>103803223.03402154</v>
      </c>
      <c r="S433" s="242">
        <f>ROUND(O433-R433,0)</f>
        <v>479175</v>
      </c>
    </row>
    <row r="434" spans="1:19" ht="11.25">
      <c r="A434" s="18" t="s">
        <v>227</v>
      </c>
      <c r="B434" s="29"/>
      <c r="C434" s="59">
        <f>$O$430*C409</f>
        <v>44996576.38583705</v>
      </c>
      <c r="D434" s="59">
        <f aca="true" t="shared" si="117" ref="D434:N434">$O$430*D409</f>
        <v>52937706.05700988</v>
      </c>
      <c r="E434" s="59">
        <f t="shared" si="117"/>
        <v>49840992.94477699</v>
      </c>
      <c r="F434" s="59">
        <f t="shared" si="117"/>
        <v>47620295.06704107</v>
      </c>
      <c r="G434" s="59">
        <f t="shared" si="117"/>
        <v>48724269.353186205</v>
      </c>
      <c r="H434" s="59">
        <f t="shared" si="117"/>
        <v>52878876.92051344</v>
      </c>
      <c r="I434" s="59">
        <f t="shared" si="117"/>
        <v>47983582.66626028</v>
      </c>
      <c r="J434" s="59">
        <f t="shared" si="117"/>
        <v>41666370.948475614</v>
      </c>
      <c r="K434" s="59">
        <f t="shared" si="117"/>
        <v>40749240.13270965</v>
      </c>
      <c r="L434" s="59">
        <f t="shared" si="117"/>
        <v>34915334.21489185</v>
      </c>
      <c r="M434" s="59">
        <f t="shared" si="117"/>
        <v>37783730.2506838</v>
      </c>
      <c r="N434" s="59">
        <f t="shared" si="117"/>
        <v>39741668.632226974</v>
      </c>
      <c r="O434" s="162">
        <f>$O$430*O409</f>
        <v>539838643.5736129</v>
      </c>
      <c r="P434" s="85"/>
      <c r="R434" s="137">
        <f>O430*R409</f>
        <v>539840099.2097875</v>
      </c>
      <c r="S434" s="211">
        <f>ROUND(O434-R434,0)</f>
        <v>-1456</v>
      </c>
    </row>
    <row r="435" spans="1:19" ht="11.25">
      <c r="A435" s="38" t="s">
        <v>269</v>
      </c>
      <c r="B435" s="34"/>
      <c r="C435" s="78">
        <f>SUM(C433:C434)</f>
        <v>59869763.464571595</v>
      </c>
      <c r="D435" s="78">
        <f aca="true" t="shared" si="118" ref="D435:N435">SUM(D433:D434)</f>
        <v>64644908.15518774</v>
      </c>
      <c r="E435" s="78">
        <f t="shared" si="118"/>
        <v>53772716.683035485</v>
      </c>
      <c r="F435" s="78">
        <f t="shared" si="118"/>
        <v>48548838.4887307</v>
      </c>
      <c r="G435" s="78">
        <f t="shared" si="118"/>
        <v>48461129.722172655</v>
      </c>
      <c r="H435" s="78">
        <f t="shared" si="118"/>
        <v>53642307.48934118</v>
      </c>
      <c r="I435" s="78">
        <f t="shared" si="118"/>
        <v>54991705.235094585</v>
      </c>
      <c r="J435" s="78">
        <f t="shared" si="118"/>
        <v>50629235.611859605</v>
      </c>
      <c r="K435" s="78">
        <f t="shared" si="118"/>
        <v>51864741.49913491</v>
      </c>
      <c r="L435" s="78">
        <f t="shared" si="118"/>
        <v>51456827.783034235</v>
      </c>
      <c r="M435" s="78">
        <f t="shared" si="118"/>
        <v>53820374.10199226</v>
      </c>
      <c r="N435" s="78">
        <f t="shared" si="118"/>
        <v>52418493.79159108</v>
      </c>
      <c r="O435" s="134">
        <f>SUM(O433:O434)</f>
        <v>644121042.0257461</v>
      </c>
      <c r="P435" s="85"/>
      <c r="Q435" s="150"/>
      <c r="R435" s="39">
        <f>SUM(R433:R434)</f>
        <v>643643322.243809</v>
      </c>
      <c r="S435" s="213">
        <f>ROUND(O435-R435,0)</f>
        <v>477720</v>
      </c>
    </row>
    <row r="436" spans="3:19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  <c r="S436" s="50"/>
    </row>
    <row r="437" spans="1:19" ht="11.25">
      <c r="A437" s="5" t="s">
        <v>277</v>
      </c>
      <c r="S437" s="50"/>
    </row>
    <row r="438" spans="1:19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244">
        <f>'Base Forecast'!O438</f>
        <v>-15000000</v>
      </c>
      <c r="P438" s="133" t="s">
        <v>267</v>
      </c>
      <c r="S438" s="50"/>
    </row>
    <row r="439" spans="1:19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-0.023287548490614984</v>
      </c>
      <c r="R439" s="160">
        <f>(R435+O438)/R435-1</f>
        <v>-0.023304832787992558</v>
      </c>
      <c r="S439" s="50"/>
    </row>
    <row r="440" spans="1:19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  <c r="S440" s="50"/>
    </row>
    <row r="441" spans="1:19" ht="11.25">
      <c r="A441" s="5" t="s">
        <v>340</v>
      </c>
      <c r="S441" s="50"/>
    </row>
    <row r="442" spans="1:19" ht="11.25">
      <c r="A442" s="15" t="s">
        <v>226</v>
      </c>
      <c r="B442" s="30"/>
      <c r="C442" s="76">
        <f>(1+$O$439)*C433</f>
        <v>14526827.013428528</v>
      </c>
      <c r="D442" s="76">
        <f aca="true" t="shared" si="119" ref="D442:N443">(1+$O$439)*D433</f>
        <v>11434570.061627109</v>
      </c>
      <c r="E442" s="76">
        <f t="shared" si="119"/>
        <v>3840163.531052101</v>
      </c>
      <c r="F442" s="76">
        <f t="shared" si="119"/>
        <v>906919.9217313891</v>
      </c>
      <c r="G442" s="76">
        <f t="shared" si="119"/>
        <v>-257011.75409651798</v>
      </c>
      <c r="H442" s="76">
        <f t="shared" si="119"/>
        <v>745652.1424369388</v>
      </c>
      <c r="I442" s="76">
        <f t="shared" si="119"/>
        <v>6844920.574684403</v>
      </c>
      <c r="J442" s="76">
        <f t="shared" si="119"/>
        <v>8754141.517920619</v>
      </c>
      <c r="K442" s="76">
        <f t="shared" si="119"/>
        <v>10856648.58935714</v>
      </c>
      <c r="L442" s="76">
        <f t="shared" si="119"/>
        <v>16156282.734567074</v>
      </c>
      <c r="M442" s="76">
        <f t="shared" si="119"/>
        <v>15663189.729994388</v>
      </c>
      <c r="N442" s="76">
        <f t="shared" si="119"/>
        <v>12381612.978758367</v>
      </c>
      <c r="O442" s="126">
        <f>(1+$O$439)*O433</f>
        <v>101853917.04146153</v>
      </c>
      <c r="P442" s="131">
        <f>O442-'Base Forecast'!O442</f>
        <v>272828.3282084167</v>
      </c>
      <c r="Q442" s="251">
        <f>P442/'Base Forecast'!O442</f>
        <v>0.002685818115009248</v>
      </c>
      <c r="R442" s="126">
        <f>(1+$R$439)*R433</f>
        <v>101384106.27835897</v>
      </c>
      <c r="S442" s="242">
        <f>ROUND(O442-R442,0)</f>
        <v>469811</v>
      </c>
    </row>
    <row r="443" spans="1:19" ht="11.25">
      <c r="A443" s="18" t="s">
        <v>227</v>
      </c>
      <c r="B443" s="29"/>
      <c r="C443" s="59">
        <f>(1+$O$439)*C434</f>
        <v>43948716.43134021</v>
      </c>
      <c r="D443" s="59">
        <f t="shared" si="119"/>
        <v>51704916.66022535</v>
      </c>
      <c r="E443" s="59">
        <f t="shared" si="119"/>
        <v>48680318.40475509</v>
      </c>
      <c r="F443" s="59">
        <f t="shared" si="119"/>
        <v>46511335.13652996</v>
      </c>
      <c r="G443" s="59">
        <f t="shared" si="119"/>
        <v>47589600.56795409</v>
      </c>
      <c r="H443" s="59">
        <f t="shared" si="119"/>
        <v>51647457.51009773</v>
      </c>
      <c r="I443" s="59">
        <f t="shared" si="119"/>
        <v>46866162.65816631</v>
      </c>
      <c r="J443" s="59">
        <f t="shared" si="119"/>
        <v>40696063.31458504</v>
      </c>
      <c r="K443" s="59">
        <f t="shared" si="119"/>
        <v>39800290.227163464</v>
      </c>
      <c r="L443" s="59">
        <f t="shared" si="119"/>
        <v>34102241.67629653</v>
      </c>
      <c r="M443" s="59">
        <f t="shared" si="119"/>
        <v>36903839.80031469</v>
      </c>
      <c r="N443" s="59">
        <f t="shared" si="119"/>
        <v>38816182.596856035</v>
      </c>
      <c r="O443" s="135">
        <f>(1+$O$439)*O434</f>
        <v>527267124.9842846</v>
      </c>
      <c r="P443" s="131">
        <f>O443-'Base Forecast'!O443</f>
        <v>-224285.58044362068</v>
      </c>
      <c r="Q443" s="251">
        <f>P443/'Base Forecast'!O443</f>
        <v>-0.0004251928580287256</v>
      </c>
      <c r="R443" s="135">
        <f>(1+$R$439)*R434</f>
        <v>527259215.96545005</v>
      </c>
      <c r="S443" s="211">
        <f>ROUND(O443-R443,0)</f>
        <v>7909</v>
      </c>
    </row>
    <row r="444" spans="1:19" ht="11.25">
      <c r="A444" s="252" t="s">
        <v>283</v>
      </c>
      <c r="B444" s="99"/>
      <c r="C444" s="68">
        <f aca="true" t="shared" si="120" ref="C444:O444">SUM(C442:C443)</f>
        <v>58475543.44476874</v>
      </c>
      <c r="D444" s="68">
        <f t="shared" si="120"/>
        <v>63139486.72185245</v>
      </c>
      <c r="E444" s="68">
        <f t="shared" si="120"/>
        <v>52520481.93580719</v>
      </c>
      <c r="F444" s="68">
        <f t="shared" si="120"/>
        <v>47418255.05826135</v>
      </c>
      <c r="G444" s="68">
        <f t="shared" si="120"/>
        <v>47332588.81385758</v>
      </c>
      <c r="H444" s="68">
        <f t="shared" si="120"/>
        <v>52393109.65253466</v>
      </c>
      <c r="I444" s="68">
        <f t="shared" si="120"/>
        <v>53711083.232850716</v>
      </c>
      <c r="J444" s="68">
        <f t="shared" si="120"/>
        <v>49450204.83250566</v>
      </c>
      <c r="K444" s="68">
        <f t="shared" si="120"/>
        <v>50656938.8165206</v>
      </c>
      <c r="L444" s="68">
        <f t="shared" si="120"/>
        <v>50258524.41086361</v>
      </c>
      <c r="M444" s="68">
        <f t="shared" si="120"/>
        <v>52567029.53030907</v>
      </c>
      <c r="N444" s="68">
        <f t="shared" si="120"/>
        <v>51197795.5756144</v>
      </c>
      <c r="O444" s="105">
        <f t="shared" si="120"/>
        <v>629121042.0257461</v>
      </c>
      <c r="P444" s="131">
        <f>O444-'Base Forecast'!O444</f>
        <v>48542.74776482582</v>
      </c>
      <c r="Q444" s="251">
        <f>P444/'Base Forecast'!O444</f>
        <v>7.716558555737346E-05</v>
      </c>
      <c r="R444" s="105">
        <f>SUM(R442:R443)</f>
        <v>628643322.243809</v>
      </c>
      <c r="S444" s="213">
        <f>ROUND(O444-R444,0)</f>
        <v>477720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7" ht="11.25">
      <c r="A446" s="3" t="s">
        <v>242</v>
      </c>
      <c r="C446" s="113">
        <f>C$393</f>
        <v>2487068.8526099944</v>
      </c>
      <c r="D446" s="114">
        <f aca="true" t="shared" si="121" ref="D446:O446">D$393</f>
        <v>2438509.7444056342</v>
      </c>
      <c r="E446" s="114">
        <f t="shared" si="121"/>
        <v>2080961.8373600258</v>
      </c>
      <c r="F446" s="114">
        <f t="shared" si="121"/>
        <v>2071429.3328379635</v>
      </c>
      <c r="G446" s="114">
        <f t="shared" si="121"/>
        <v>2071815.7681234297</v>
      </c>
      <c r="H446" s="115">
        <f t="shared" si="121"/>
        <v>2188690.6580353575</v>
      </c>
      <c r="I446" s="114">
        <f t="shared" si="121"/>
        <v>2214778.992962022</v>
      </c>
      <c r="J446" s="114">
        <f t="shared" si="121"/>
        <v>2061686.698582105</v>
      </c>
      <c r="K446" s="114">
        <f t="shared" si="121"/>
        <v>2151582.6614674903</v>
      </c>
      <c r="L446" s="114">
        <f t="shared" si="121"/>
        <v>2067721.3107937044</v>
      </c>
      <c r="M446" s="114">
        <f t="shared" si="121"/>
        <v>2144934.3661793056</v>
      </c>
      <c r="N446" s="114">
        <f t="shared" si="121"/>
        <v>2247828.3069755384</v>
      </c>
      <c r="O446" s="116">
        <f t="shared" si="121"/>
        <v>26227008.530332573</v>
      </c>
      <c r="P446" s="131">
        <f>O446-'Base Forecast'!O446</f>
        <v>0</v>
      </c>
      <c r="Q446" s="251">
        <f>P446/'Base Forecast'!O446</f>
        <v>0</v>
      </c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118"/>
      <c r="C448" s="119">
        <f>C444/C446</f>
        <v>23.51183136060065</v>
      </c>
      <c r="D448" s="120">
        <f aca="true" t="shared" si="122" ref="D448:N448">D444/D446</f>
        <v>25.892653029870157</v>
      </c>
      <c r="E448" s="120">
        <f t="shared" si="122"/>
        <v>25.238560838980277</v>
      </c>
      <c r="F448" s="120">
        <f t="shared" si="122"/>
        <v>22.891562993025655</v>
      </c>
      <c r="G448" s="120">
        <f t="shared" si="122"/>
        <v>22.845944867351598</v>
      </c>
      <c r="H448" s="120">
        <f t="shared" si="122"/>
        <v>23.93810631035657</v>
      </c>
      <c r="I448" s="120">
        <f t="shared" si="122"/>
        <v>24.251215766236832</v>
      </c>
      <c r="J448" s="120">
        <f t="shared" si="122"/>
        <v>23.985314968813793</v>
      </c>
      <c r="K448" s="120">
        <f t="shared" si="122"/>
        <v>23.544035617934362</v>
      </c>
      <c r="L448" s="120">
        <f t="shared" si="122"/>
        <v>24.30623708742047</v>
      </c>
      <c r="M448" s="120">
        <f t="shared" si="122"/>
        <v>24.507523567700037</v>
      </c>
      <c r="N448" s="121">
        <f t="shared" si="122"/>
        <v>22.776559676170834</v>
      </c>
      <c r="O448" s="122">
        <f>O444/O446</f>
        <v>23.98752573318237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386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24.550681746122564</v>
      </c>
      <c r="D458" s="157">
        <f aca="true" t="shared" si="123" ref="D458:O458">D423</f>
        <v>27.140602277083268</v>
      </c>
      <c r="E458" s="157">
        <f t="shared" si="123"/>
        <v>25.645837610443287</v>
      </c>
      <c r="F458" s="157">
        <f t="shared" si="123"/>
        <v>22.740665314023985</v>
      </c>
      <c r="G458" s="157">
        <f t="shared" si="123"/>
        <v>22.389050516253228</v>
      </c>
      <c r="H458" s="157">
        <f t="shared" si="123"/>
        <v>22.734724768466492</v>
      </c>
      <c r="I458" s="157">
        <f t="shared" si="123"/>
        <v>23.309247311678508</v>
      </c>
      <c r="J458" s="157">
        <f t="shared" si="123"/>
        <v>23.30421557308648</v>
      </c>
      <c r="K458" s="157">
        <f t="shared" si="123"/>
        <v>23.06012352322811</v>
      </c>
      <c r="L458" s="157">
        <f t="shared" si="123"/>
        <v>24.333084017194864</v>
      </c>
      <c r="M458" s="157">
        <f t="shared" si="123"/>
        <v>24.58733279406708</v>
      </c>
      <c r="N458" s="158">
        <f t="shared" si="123"/>
        <v>23.57047635154287</v>
      </c>
      <c r="O458" s="159">
        <f t="shared" si="123"/>
        <v>23.95801145611619</v>
      </c>
      <c r="P458" s="132"/>
    </row>
    <row r="459" spans="17:18" ht="11.25">
      <c r="Q459" s="210" t="s">
        <v>396</v>
      </c>
      <c r="R459" s="210" t="s">
        <v>395</v>
      </c>
    </row>
    <row r="460" spans="1:18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0.9999030566226741</v>
      </c>
      <c r="P460" s="296">
        <f>O460-'Base Forecast'!O460</f>
        <v>-0.00023699669622834207</v>
      </c>
      <c r="Q460" s="295">
        <f>O444/(C458*C464+D458*D464+E458*E464+F458*F464+G458*G464+H458*H464+I458*I464+J458*J464+K458*K464+L458*L464+M458*M464+N458*N464)</f>
        <v>0.9999030566226741</v>
      </c>
      <c r="R460" s="295">
        <f>'Base Forecast'!O460</f>
        <v>1.0001400533189024</v>
      </c>
    </row>
    <row r="461" spans="15:16" ht="11.25">
      <c r="O461" s="145"/>
      <c r="P461" s="132"/>
    </row>
    <row r="462" spans="1:16" ht="11.25">
      <c r="A462" s="117" t="s">
        <v>348</v>
      </c>
      <c r="B462" s="253"/>
      <c r="C462" s="119">
        <f>$O$460*C458</f>
        <v>24.54830172011844</v>
      </c>
      <c r="D462" s="120">
        <f aca="true" t="shared" si="124" ref="D462:N462">$O$460*D458</f>
        <v>27.13797117543587</v>
      </c>
      <c r="E462" s="120">
        <f t="shared" si="124"/>
        <v>25.64335141633098</v>
      </c>
      <c r="F462" s="120">
        <f t="shared" si="124"/>
        <v>22.738460757125807</v>
      </c>
      <c r="G462" s="120">
        <f t="shared" si="124"/>
        <v>22.38688004608106</v>
      </c>
      <c r="H462" s="120">
        <f t="shared" si="124"/>
        <v>22.73252078746486</v>
      </c>
      <c r="I462" s="120">
        <f t="shared" si="124"/>
        <v>23.30698763452119</v>
      </c>
      <c r="J462" s="120">
        <f t="shared" si="124"/>
        <v>23.301956383722896</v>
      </c>
      <c r="K462" s="120">
        <f t="shared" si="124"/>
        <v>23.057887996972216</v>
      </c>
      <c r="L462" s="120">
        <f t="shared" si="124"/>
        <v>24.330725085849483</v>
      </c>
      <c r="M462" s="120">
        <f t="shared" si="124"/>
        <v>24.584949214986587</v>
      </c>
      <c r="N462" s="121">
        <f t="shared" si="124"/>
        <v>23.56819134996017</v>
      </c>
      <c r="O462" s="159">
        <f>O466/O464</f>
        <v>23.987525733182366</v>
      </c>
      <c r="P462" s="132"/>
    </row>
    <row r="464" spans="1:17" ht="11.25">
      <c r="A464" s="3" t="s">
        <v>242</v>
      </c>
      <c r="C464" s="113">
        <f>C$393</f>
        <v>2487068.8526099944</v>
      </c>
      <c r="D464" s="114">
        <f aca="true" t="shared" si="125" ref="D464:O464">D$393</f>
        <v>2438509.7444056342</v>
      </c>
      <c r="E464" s="114">
        <f t="shared" si="125"/>
        <v>2080961.8373600258</v>
      </c>
      <c r="F464" s="114">
        <f t="shared" si="125"/>
        <v>2071429.3328379635</v>
      </c>
      <c r="G464" s="114">
        <f t="shared" si="125"/>
        <v>2071815.7681234297</v>
      </c>
      <c r="H464" s="115">
        <f t="shared" si="125"/>
        <v>2188690.6580353575</v>
      </c>
      <c r="I464" s="114">
        <f t="shared" si="125"/>
        <v>2214778.992962022</v>
      </c>
      <c r="J464" s="114">
        <f t="shared" si="125"/>
        <v>2061686.698582105</v>
      </c>
      <c r="K464" s="114">
        <f t="shared" si="125"/>
        <v>2151582.6614674903</v>
      </c>
      <c r="L464" s="114">
        <f t="shared" si="125"/>
        <v>2067721.3107937044</v>
      </c>
      <c r="M464" s="114">
        <f t="shared" si="125"/>
        <v>2144934.3661793056</v>
      </c>
      <c r="N464" s="114">
        <f t="shared" si="125"/>
        <v>2247828.3069755384</v>
      </c>
      <c r="O464" s="116">
        <f t="shared" si="125"/>
        <v>26227008.530332573</v>
      </c>
      <c r="P464" s="132"/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61053316.592578925</v>
      </c>
      <c r="D466" s="78">
        <f aca="true" t="shared" si="126" ref="D466:N466">D462*D464</f>
        <v>66176207.15469959</v>
      </c>
      <c r="E466" s="78">
        <f t="shared" si="126"/>
        <v>53362835.679396935</v>
      </c>
      <c r="F466" s="78">
        <f t="shared" si="126"/>
        <v>47101114.59589533</v>
      </c>
      <c r="G466" s="78">
        <f t="shared" si="126"/>
        <v>46381491.07855851</v>
      </c>
      <c r="H466" s="78">
        <f t="shared" si="126"/>
        <v>49754455.88111891</v>
      </c>
      <c r="I466" s="78">
        <f t="shared" si="126"/>
        <v>51619826.602163136</v>
      </c>
      <c r="J466" s="78">
        <f t="shared" si="126"/>
        <v>48041333.52726187</v>
      </c>
      <c r="K466" s="78">
        <f t="shared" si="126"/>
        <v>49610952.02434478</v>
      </c>
      <c r="L466" s="78">
        <f t="shared" si="126"/>
        <v>50309158.76707396</v>
      </c>
      <c r="M466" s="78">
        <f t="shared" si="126"/>
        <v>52733102.46199767</v>
      </c>
      <c r="N466" s="78">
        <f t="shared" si="126"/>
        <v>52977247.6606565</v>
      </c>
      <c r="O466" s="134">
        <f>SUM(C466:N466)</f>
        <v>629121042.025746</v>
      </c>
      <c r="P466" s="132"/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7" ref="D472:N473">$O472/12</f>
        <v>5232462.166666667</v>
      </c>
      <c r="E472" s="76">
        <f t="shared" si="127"/>
        <v>5232462.166666667</v>
      </c>
      <c r="F472" s="76">
        <f t="shared" si="127"/>
        <v>5232462.166666667</v>
      </c>
      <c r="G472" s="76">
        <f t="shared" si="127"/>
        <v>5232462.166666667</v>
      </c>
      <c r="H472" s="76">
        <f t="shared" si="127"/>
        <v>5232462.166666667</v>
      </c>
      <c r="I472" s="76">
        <f t="shared" si="127"/>
        <v>5232462.166666667</v>
      </c>
      <c r="J472" s="76">
        <f t="shared" si="127"/>
        <v>5232462.166666667</v>
      </c>
      <c r="K472" s="76">
        <f t="shared" si="127"/>
        <v>5232462.166666667</v>
      </c>
      <c r="L472" s="76">
        <f t="shared" si="127"/>
        <v>5232462.166666667</v>
      </c>
      <c r="M472" s="76">
        <f t="shared" si="127"/>
        <v>5232462.166666667</v>
      </c>
      <c r="N472" s="76">
        <f t="shared" si="127"/>
        <v>5232462.166666667</v>
      </c>
      <c r="O472" s="108">
        <v>62789546</v>
      </c>
      <c r="P472" s="132"/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7"/>
        <v>642594.6666666666</v>
      </c>
      <c r="E473" s="59">
        <f t="shared" si="127"/>
        <v>642594.6666666666</v>
      </c>
      <c r="F473" s="59">
        <f t="shared" si="127"/>
        <v>642594.6666666666</v>
      </c>
      <c r="G473" s="59">
        <f t="shared" si="127"/>
        <v>642594.6666666666</v>
      </c>
      <c r="H473" s="59">
        <f t="shared" si="127"/>
        <v>642594.6666666666</v>
      </c>
      <c r="I473" s="59">
        <f t="shared" si="127"/>
        <v>642594.6666666666</v>
      </c>
      <c r="J473" s="59">
        <f t="shared" si="127"/>
        <v>642594.6666666666</v>
      </c>
      <c r="K473" s="59">
        <f t="shared" si="127"/>
        <v>642594.6666666666</v>
      </c>
      <c r="L473" s="59">
        <f t="shared" si="127"/>
        <v>642594.6666666666</v>
      </c>
      <c r="M473" s="59">
        <f t="shared" si="127"/>
        <v>642594.6666666666</v>
      </c>
      <c r="N473" s="59">
        <f t="shared" si="127"/>
        <v>642594.6666666666</v>
      </c>
      <c r="O473" s="109">
        <v>7711136</v>
      </c>
      <c r="P473" s="132"/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28" ref="D474:O474">SUM(D472:D473)</f>
        <v>5875056.833333334</v>
      </c>
      <c r="E474" s="78">
        <f t="shared" si="128"/>
        <v>5875056.833333334</v>
      </c>
      <c r="F474" s="78">
        <f t="shared" si="128"/>
        <v>5875056.833333334</v>
      </c>
      <c r="G474" s="78">
        <f t="shared" si="128"/>
        <v>5875056.833333334</v>
      </c>
      <c r="H474" s="78">
        <f t="shared" si="128"/>
        <v>5875056.833333334</v>
      </c>
      <c r="I474" s="78">
        <f t="shared" si="128"/>
        <v>5875056.833333334</v>
      </c>
      <c r="J474" s="78">
        <f t="shared" si="128"/>
        <v>5875056.833333334</v>
      </c>
      <c r="K474" s="78">
        <f t="shared" si="128"/>
        <v>5875056.833333334</v>
      </c>
      <c r="L474" s="78">
        <f t="shared" si="128"/>
        <v>5875056.833333334</v>
      </c>
      <c r="M474" s="78">
        <f t="shared" si="128"/>
        <v>5875056.833333334</v>
      </c>
      <c r="N474" s="78">
        <f t="shared" si="128"/>
        <v>5875056.833333334</v>
      </c>
      <c r="O474" s="134">
        <f t="shared" si="128"/>
        <v>70500682</v>
      </c>
      <c r="P474" s="132"/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29" ref="C477:N477">$O$429*C472</f>
        <v>2260468.816456792</v>
      </c>
      <c r="D477" s="76">
        <f t="shared" si="129"/>
        <v>2260468.816456792</v>
      </c>
      <c r="E477" s="76">
        <f t="shared" si="129"/>
        <v>2260468.816456792</v>
      </c>
      <c r="F477" s="76">
        <f t="shared" si="129"/>
        <v>2260468.816456792</v>
      </c>
      <c r="G477" s="76">
        <f t="shared" si="129"/>
        <v>2260468.816456792</v>
      </c>
      <c r="H477" s="76">
        <f t="shared" si="129"/>
        <v>2260468.816456792</v>
      </c>
      <c r="I477" s="76">
        <f t="shared" si="129"/>
        <v>2260468.816456792</v>
      </c>
      <c r="J477" s="76">
        <f t="shared" si="129"/>
        <v>2260468.816456792</v>
      </c>
      <c r="K477" s="76">
        <f t="shared" si="129"/>
        <v>2260468.816456792</v>
      </c>
      <c r="L477" s="76">
        <f t="shared" si="129"/>
        <v>2260468.816456792</v>
      </c>
      <c r="M477" s="76">
        <f t="shared" si="129"/>
        <v>2260468.816456792</v>
      </c>
      <c r="N477" s="76">
        <f t="shared" si="129"/>
        <v>2260468.816456792</v>
      </c>
      <c r="O477" s="126">
        <f>SUM(C477:N477)</f>
        <v>27125625.797481496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0" ref="C478:N478">$O$430*C473</f>
        <v>273543.4882594737</v>
      </c>
      <c r="D478" s="59">
        <f t="shared" si="130"/>
        <v>273543.4882594737</v>
      </c>
      <c r="E478" s="59">
        <f t="shared" si="130"/>
        <v>273543.4882594737</v>
      </c>
      <c r="F478" s="59">
        <f t="shared" si="130"/>
        <v>273543.4882594737</v>
      </c>
      <c r="G478" s="59">
        <f t="shared" si="130"/>
        <v>273543.4882594737</v>
      </c>
      <c r="H478" s="59">
        <f t="shared" si="130"/>
        <v>273543.4882594737</v>
      </c>
      <c r="I478" s="59">
        <f t="shared" si="130"/>
        <v>273543.4882594737</v>
      </c>
      <c r="J478" s="59">
        <f t="shared" si="130"/>
        <v>273543.4882594737</v>
      </c>
      <c r="K478" s="59">
        <f t="shared" si="130"/>
        <v>273543.4882594737</v>
      </c>
      <c r="L478" s="59">
        <f t="shared" si="130"/>
        <v>273543.4882594737</v>
      </c>
      <c r="M478" s="59">
        <f t="shared" si="130"/>
        <v>273543.4882594737</v>
      </c>
      <c r="N478" s="59">
        <f t="shared" si="130"/>
        <v>273543.4882594737</v>
      </c>
      <c r="O478" s="135">
        <f>SUM(C478:N478)</f>
        <v>3282521.8591136853</v>
      </c>
      <c r="P478" s="132"/>
    </row>
    <row r="479" spans="1:16" ht="11.25">
      <c r="A479" s="38" t="s">
        <v>259</v>
      </c>
      <c r="B479" s="34"/>
      <c r="C479" s="78">
        <f aca="true" t="shared" si="131" ref="C479:O479">SUM(C477:C478)</f>
        <v>2534012.3047162658</v>
      </c>
      <c r="D479" s="78">
        <f t="shared" si="131"/>
        <v>2534012.3047162658</v>
      </c>
      <c r="E479" s="78">
        <f t="shared" si="131"/>
        <v>2534012.3047162658</v>
      </c>
      <c r="F479" s="78">
        <f t="shared" si="131"/>
        <v>2534012.3047162658</v>
      </c>
      <c r="G479" s="78">
        <f t="shared" si="131"/>
        <v>2534012.3047162658</v>
      </c>
      <c r="H479" s="78">
        <f t="shared" si="131"/>
        <v>2534012.3047162658</v>
      </c>
      <c r="I479" s="78">
        <f t="shared" si="131"/>
        <v>2534012.3047162658</v>
      </c>
      <c r="J479" s="78">
        <f t="shared" si="131"/>
        <v>2534012.3047162658</v>
      </c>
      <c r="K479" s="78">
        <f t="shared" si="131"/>
        <v>2534012.3047162658</v>
      </c>
      <c r="L479" s="78">
        <f t="shared" si="131"/>
        <v>2534012.3047162658</v>
      </c>
      <c r="M479" s="78">
        <f t="shared" si="131"/>
        <v>2534012.3047162658</v>
      </c>
      <c r="N479" s="78">
        <f t="shared" si="131"/>
        <v>2534012.3047162658</v>
      </c>
      <c r="O479" s="134">
        <f t="shared" si="131"/>
        <v>30408147.65659518</v>
      </c>
      <c r="P479" s="132"/>
    </row>
    <row r="481" spans="1:17" ht="11.25">
      <c r="A481" s="3" t="s">
        <v>242</v>
      </c>
      <c r="C481" s="113">
        <f>C$393</f>
        <v>2487068.8526099944</v>
      </c>
      <c r="D481" s="114">
        <f aca="true" t="shared" si="132" ref="D481:O481">D$393</f>
        <v>2438509.7444056342</v>
      </c>
      <c r="E481" s="114">
        <f t="shared" si="132"/>
        <v>2080961.8373600258</v>
      </c>
      <c r="F481" s="114">
        <f t="shared" si="132"/>
        <v>2071429.3328379635</v>
      </c>
      <c r="G481" s="114">
        <f t="shared" si="132"/>
        <v>2071815.7681234297</v>
      </c>
      <c r="H481" s="115">
        <f t="shared" si="132"/>
        <v>2188690.6580353575</v>
      </c>
      <c r="I481" s="114">
        <f t="shared" si="132"/>
        <v>2214778.992962022</v>
      </c>
      <c r="J481" s="114">
        <f t="shared" si="132"/>
        <v>2061686.698582105</v>
      </c>
      <c r="K481" s="114">
        <f t="shared" si="132"/>
        <v>2151582.6614674903</v>
      </c>
      <c r="L481" s="114">
        <f t="shared" si="132"/>
        <v>2067721.3107937044</v>
      </c>
      <c r="M481" s="114">
        <f t="shared" si="132"/>
        <v>2144934.3661793056</v>
      </c>
      <c r="N481" s="114">
        <f t="shared" si="132"/>
        <v>2247828.3069755384</v>
      </c>
      <c r="O481" s="116">
        <f t="shared" si="132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1.0188750110625235</v>
      </c>
      <c r="D483" s="120">
        <f aca="true" t="shared" si="133" ref="D483:O483">D479/D481</f>
        <v>1.039164313585267</v>
      </c>
      <c r="E483" s="120">
        <f t="shared" si="133"/>
        <v>1.2177120498908303</v>
      </c>
      <c r="F483" s="120">
        <f t="shared" si="133"/>
        <v>1.2233158353727376</v>
      </c>
      <c r="G483" s="120">
        <f t="shared" si="133"/>
        <v>1.2230876623800753</v>
      </c>
      <c r="H483" s="120">
        <f t="shared" si="133"/>
        <v>1.1577754468924726</v>
      </c>
      <c r="I483" s="120">
        <f t="shared" si="133"/>
        <v>1.1441377730097144</v>
      </c>
      <c r="J483" s="120">
        <f t="shared" si="133"/>
        <v>1.2290966937212118</v>
      </c>
      <c r="K483" s="120">
        <f t="shared" si="133"/>
        <v>1.1777434119068142</v>
      </c>
      <c r="L483" s="120">
        <f t="shared" si="133"/>
        <v>1.2255095943000043</v>
      </c>
      <c r="M483" s="120">
        <f t="shared" si="133"/>
        <v>1.181393866717708</v>
      </c>
      <c r="N483" s="121">
        <f t="shared" si="133"/>
        <v>1.1273157726738432</v>
      </c>
      <c r="O483" s="159">
        <f t="shared" si="133"/>
        <v>1.1594211219867854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C486" s="146"/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4" ref="C488:O488">C466-C479</f>
        <v>58519304.28786266</v>
      </c>
      <c r="D488" s="78">
        <f t="shared" si="134"/>
        <v>63642194.84998332</v>
      </c>
      <c r="E488" s="78">
        <f t="shared" si="134"/>
        <v>50828823.37468067</v>
      </c>
      <c r="F488" s="78">
        <f t="shared" si="134"/>
        <v>44567102.29117906</v>
      </c>
      <c r="G488" s="78">
        <f t="shared" si="134"/>
        <v>43847478.773842245</v>
      </c>
      <c r="H488" s="78">
        <f t="shared" si="134"/>
        <v>47220443.57640264</v>
      </c>
      <c r="I488" s="78">
        <f t="shared" si="134"/>
        <v>49085814.29744687</v>
      </c>
      <c r="J488" s="78">
        <f t="shared" si="134"/>
        <v>45507321.2225456</v>
      </c>
      <c r="K488" s="78">
        <f t="shared" si="134"/>
        <v>47076939.71962851</v>
      </c>
      <c r="L488" s="78">
        <f t="shared" si="134"/>
        <v>47775146.46235769</v>
      </c>
      <c r="M488" s="78">
        <f t="shared" si="134"/>
        <v>50199090.157281406</v>
      </c>
      <c r="N488" s="78">
        <f t="shared" si="134"/>
        <v>50443235.35594023</v>
      </c>
      <c r="O488" s="134">
        <f t="shared" si="134"/>
        <v>598712894.3691508</v>
      </c>
      <c r="P488" s="132"/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5" ref="D490:O490">D$393</f>
        <v>2438509.7444056342</v>
      </c>
      <c r="E490" s="114">
        <f t="shared" si="135"/>
        <v>2080961.8373600258</v>
      </c>
      <c r="F490" s="114">
        <f t="shared" si="135"/>
        <v>2071429.3328379635</v>
      </c>
      <c r="G490" s="114">
        <f t="shared" si="135"/>
        <v>2071815.7681234297</v>
      </c>
      <c r="H490" s="115">
        <f t="shared" si="135"/>
        <v>2188690.6580353575</v>
      </c>
      <c r="I490" s="114">
        <f t="shared" si="135"/>
        <v>2214778.992962022</v>
      </c>
      <c r="J490" s="114">
        <f t="shared" si="135"/>
        <v>2061686.698582105</v>
      </c>
      <c r="K490" s="114">
        <f t="shared" si="135"/>
        <v>2151582.6614674903</v>
      </c>
      <c r="L490" s="114">
        <f t="shared" si="135"/>
        <v>2067721.3107937044</v>
      </c>
      <c r="M490" s="114">
        <f t="shared" si="135"/>
        <v>2144934.3661793056</v>
      </c>
      <c r="N490" s="114">
        <f t="shared" si="135"/>
        <v>2247828.3069755384</v>
      </c>
      <c r="O490" s="116">
        <f t="shared" si="135"/>
        <v>26227008.530332573</v>
      </c>
      <c r="P490" s="132"/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6" ref="C492:O492">C488/C490</f>
        <v>23.52942670905592</v>
      </c>
      <c r="D492" s="157">
        <f t="shared" si="136"/>
        <v>26.0988068618506</v>
      </c>
      <c r="E492" s="157">
        <f t="shared" si="136"/>
        <v>24.425639366440148</v>
      </c>
      <c r="F492" s="157">
        <f t="shared" si="136"/>
        <v>21.51514492175307</v>
      </c>
      <c r="G492" s="157">
        <f t="shared" si="136"/>
        <v>21.163792383700983</v>
      </c>
      <c r="H492" s="157">
        <f t="shared" si="136"/>
        <v>21.574745340572388</v>
      </c>
      <c r="I492" s="157">
        <f t="shared" si="136"/>
        <v>22.162849861511475</v>
      </c>
      <c r="J492" s="157">
        <f t="shared" si="136"/>
        <v>22.072859690001685</v>
      </c>
      <c r="K492" s="157">
        <f t="shared" si="136"/>
        <v>21.880144585065402</v>
      </c>
      <c r="L492" s="157">
        <f t="shared" si="136"/>
        <v>23.10521549154948</v>
      </c>
      <c r="M492" s="157">
        <f t="shared" si="136"/>
        <v>23.403555348268878</v>
      </c>
      <c r="N492" s="158">
        <f t="shared" si="136"/>
        <v>22.440875577286327</v>
      </c>
      <c r="O492" s="159">
        <f t="shared" si="136"/>
        <v>22.828104611195577</v>
      </c>
      <c r="P492" s="132"/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62"/>
  <sheetViews>
    <sheetView tabSelected="1" zoomScale="90" zoomScaleNormal="90" zoomScalePageLayoutView="0" workbookViewId="0" topLeftCell="A40">
      <selection activeCell="D54" sqref="D54"/>
    </sheetView>
  </sheetViews>
  <sheetFormatPr defaultColWidth="9.140625" defaultRowHeight="12.75"/>
  <cols>
    <col min="1" max="1" width="20.7109375" style="254" customWidth="1"/>
    <col min="2" max="2" width="9.7109375" style="254" customWidth="1"/>
    <col min="3" max="15" width="11.28125" style="254" customWidth="1"/>
    <col min="16" max="16" width="5.421875" style="0" customWidth="1"/>
    <col min="17" max="17" width="26.57421875" style="0" customWidth="1"/>
    <col min="19" max="19" width="10.7109375" style="0" customWidth="1"/>
  </cols>
  <sheetData>
    <row r="3" spans="1:19" ht="12.75">
      <c r="A3" s="5" t="s">
        <v>378</v>
      </c>
      <c r="S3" s="302" t="s">
        <v>390</v>
      </c>
    </row>
    <row r="4" spans="1:19" ht="12.75">
      <c r="A4" s="5" t="s">
        <v>377</v>
      </c>
      <c r="C4" s="255" t="s">
        <v>121</v>
      </c>
      <c r="D4" s="256" t="s">
        <v>122</v>
      </c>
      <c r="E4" s="256" t="s">
        <v>123</v>
      </c>
      <c r="F4" s="256" t="s">
        <v>124</v>
      </c>
      <c r="G4" s="256" t="s">
        <v>125</v>
      </c>
      <c r="H4" s="257" t="s">
        <v>126</v>
      </c>
      <c r="I4" s="256" t="s">
        <v>127</v>
      </c>
      <c r="J4" s="256" t="s">
        <v>128</v>
      </c>
      <c r="K4" s="256" t="s">
        <v>129</v>
      </c>
      <c r="L4" s="256" t="s">
        <v>130</v>
      </c>
      <c r="M4" s="256" t="s">
        <v>131</v>
      </c>
      <c r="N4" s="258" t="s">
        <v>132</v>
      </c>
      <c r="O4" s="259" t="s">
        <v>326</v>
      </c>
      <c r="Q4" s="298" t="s">
        <v>401</v>
      </c>
      <c r="S4" s="302" t="s">
        <v>402</v>
      </c>
    </row>
    <row r="6" spans="1:17" ht="12.75">
      <c r="A6" s="254" t="s">
        <v>353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Q6" s="298" t="s">
        <v>397</v>
      </c>
    </row>
    <row r="7" spans="1:19" ht="12.75">
      <c r="A7" s="254" t="s">
        <v>354</v>
      </c>
      <c r="C7" s="260">
        <f>'Actual Scenario'!C448</f>
        <v>23.51183136060065</v>
      </c>
      <c r="D7" s="260">
        <f>'Actual Scenario'!D448</f>
        <v>25.892653029870157</v>
      </c>
      <c r="E7" s="260">
        <f>'Actual Scenario'!E448</f>
        <v>25.238560838980277</v>
      </c>
      <c r="F7" s="260">
        <f>'Actual Scenario'!F448</f>
        <v>22.891562993025655</v>
      </c>
      <c r="G7" s="260">
        <f>'Actual Scenario'!G448</f>
        <v>22.845944867351598</v>
      </c>
      <c r="H7" s="260">
        <f>'Actual Scenario'!H448</f>
        <v>23.93810631035657</v>
      </c>
      <c r="I7" s="260">
        <f>'Actual Scenario'!I448</f>
        <v>24.251215766236832</v>
      </c>
      <c r="J7" s="260">
        <f>'Actual Scenario'!J448</f>
        <v>23.985314968813793</v>
      </c>
      <c r="K7" s="260">
        <f>'Actual Scenario'!K448</f>
        <v>23.544035617934362</v>
      </c>
      <c r="L7" s="260">
        <f>'Actual Scenario'!L448</f>
        <v>24.30623708742047</v>
      </c>
      <c r="M7" s="260">
        <f>'Actual Scenario'!M448</f>
        <v>24.507523567700037</v>
      </c>
      <c r="N7" s="260">
        <f>'Actual Scenario'!N448</f>
        <v>22.776559676170834</v>
      </c>
      <c r="O7" s="260"/>
      <c r="Q7" s="300" t="s">
        <v>391</v>
      </c>
      <c r="S7" s="299">
        <v>102207.29480661597</v>
      </c>
    </row>
    <row r="8" spans="1:19" ht="12.75">
      <c r="A8" s="261" t="s">
        <v>355</v>
      </c>
      <c r="C8" s="265">
        <f>-'Actual Scenario'!C483</f>
        <v>-1.0188750110625235</v>
      </c>
      <c r="D8" s="265">
        <f>-'Actual Scenario'!D483</f>
        <v>-1.039164313585267</v>
      </c>
      <c r="E8" s="265">
        <f>-'Actual Scenario'!E483</f>
        <v>-1.2177120498908303</v>
      </c>
      <c r="F8" s="265">
        <f>-'Actual Scenario'!F483</f>
        <v>-1.2233158353727376</v>
      </c>
      <c r="G8" s="265">
        <f>-'Actual Scenario'!G483</f>
        <v>-1.2230876623800753</v>
      </c>
      <c r="H8" s="265">
        <f>-'Actual Scenario'!H483</f>
        <v>-1.1577754468924726</v>
      </c>
      <c r="I8" s="265">
        <f>-'Actual Scenario'!I483</f>
        <v>-1.1441377730097144</v>
      </c>
      <c r="J8" s="265">
        <f>-'Actual Scenario'!J483</f>
        <v>-1.2290966937212118</v>
      </c>
      <c r="K8" s="265">
        <f>-'Actual Scenario'!K483</f>
        <v>-1.1777434119068142</v>
      </c>
      <c r="L8" s="265">
        <f>-'Actual Scenario'!L483</f>
        <v>-1.2255095943000043</v>
      </c>
      <c r="M8" s="265">
        <f>-'Actual Scenario'!M483</f>
        <v>-1.181393866717708</v>
      </c>
      <c r="N8" s="265">
        <f>-'Actual Scenario'!N483</f>
        <v>-1.1273157726738432</v>
      </c>
      <c r="O8" s="260"/>
      <c r="Q8" t="s">
        <v>392</v>
      </c>
      <c r="S8">
        <v>74882.89224726026</v>
      </c>
    </row>
    <row r="9" spans="1:19" ht="12.75">
      <c r="A9" s="254" t="s">
        <v>350</v>
      </c>
      <c r="C9" s="260">
        <f>C7+C8</f>
        <v>22.492956349538126</v>
      </c>
      <c r="D9" s="260">
        <f aca="true" t="shared" si="0" ref="D9:N9">D7+D8</f>
        <v>24.85348871628489</v>
      </c>
      <c r="E9" s="260">
        <f t="shared" si="0"/>
        <v>24.020848789089445</v>
      </c>
      <c r="F9" s="260">
        <f t="shared" si="0"/>
        <v>21.668247157652917</v>
      </c>
      <c r="G9" s="260">
        <f t="shared" si="0"/>
        <v>21.622857204971524</v>
      </c>
      <c r="H9" s="260">
        <f t="shared" si="0"/>
        <v>22.780330863464098</v>
      </c>
      <c r="I9" s="260">
        <f t="shared" si="0"/>
        <v>23.10707799322712</v>
      </c>
      <c r="J9" s="260">
        <f t="shared" si="0"/>
        <v>22.756218275092582</v>
      </c>
      <c r="K9" s="260">
        <f t="shared" si="0"/>
        <v>22.36629220602755</v>
      </c>
      <c r="L9" s="260">
        <f t="shared" si="0"/>
        <v>23.080727493120467</v>
      </c>
      <c r="M9" s="260">
        <f t="shared" si="0"/>
        <v>23.326129700982328</v>
      </c>
      <c r="N9" s="260">
        <f t="shared" si="0"/>
        <v>21.64924390349699</v>
      </c>
      <c r="O9" s="260"/>
      <c r="Q9" s="300" t="s">
        <v>393</v>
      </c>
      <c r="S9" s="299">
        <v>102207.29480651616</v>
      </c>
    </row>
    <row r="10" spans="3:19" ht="12.75"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Q10" s="300" t="s">
        <v>394</v>
      </c>
      <c r="S10" s="299">
        <v>73973.14535561952</v>
      </c>
    </row>
    <row r="11" spans="1:17" ht="12.75">
      <c r="A11" s="254" t="s">
        <v>382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Q11" s="297"/>
    </row>
    <row r="12" spans="1:17" ht="12.75">
      <c r="A12" s="254" t="s">
        <v>354</v>
      </c>
      <c r="C12" s="260">
        <f>'Base Forecast'!C448</f>
        <v>23.530545421565467</v>
      </c>
      <c r="D12" s="260">
        <f>'Base Forecast'!D448</f>
        <v>25.91064282443242</v>
      </c>
      <c r="E12" s="260">
        <f>'Base Forecast'!E448</f>
        <v>25.25200129831375</v>
      </c>
      <c r="F12" s="260">
        <f>'Base Forecast'!F448</f>
        <v>22.90189654082283</v>
      </c>
      <c r="G12" s="260">
        <f>'Base Forecast'!G448</f>
        <v>22.85541490075934</v>
      </c>
      <c r="H12" s="260">
        <f>'Base Forecast'!H448</f>
        <v>23.735140379803966</v>
      </c>
      <c r="I12" s="260">
        <f>'Base Forecast'!I448</f>
        <v>24.266109827508586</v>
      </c>
      <c r="J12" s="260">
        <f>'Base Forecast'!J448</f>
        <v>24.0018328729813</v>
      </c>
      <c r="K12" s="260">
        <f>'Base Forecast'!K448</f>
        <v>23.56156870077185</v>
      </c>
      <c r="L12" s="260">
        <f>'Base Forecast'!L448</f>
        <v>24.328250850961055</v>
      </c>
      <c r="M12" s="260">
        <f>'Base Forecast'!M448</f>
        <v>24.528854379182064</v>
      </c>
      <c r="N12" s="260">
        <f>'Base Forecast'!N448</f>
        <v>22.7944630837624</v>
      </c>
      <c r="O12" s="260"/>
      <c r="Q12" s="301" t="s">
        <v>398</v>
      </c>
    </row>
    <row r="13" spans="1:19" ht="12.75">
      <c r="A13" s="261" t="s">
        <v>355</v>
      </c>
      <c r="C13" s="265">
        <f>-'Base Forecast'!C483</f>
        <v>-1.020673129993617</v>
      </c>
      <c r="D13" s="265">
        <f>-'Base Forecast'!D483</f>
        <v>-1.0409982392429644</v>
      </c>
      <c r="E13" s="265">
        <f>-'Base Forecast'!E483</f>
        <v>-1.21986107805008</v>
      </c>
      <c r="F13" s="265">
        <f>-'Base Forecast'!F483</f>
        <v>-1.2254747531383192</v>
      </c>
      <c r="G13" s="265">
        <f>-'Base Forecast'!G483</f>
        <v>-1.2252461774640981</v>
      </c>
      <c r="H13" s="265">
        <f>-'Base Forecast'!H483</f>
        <v>-1.1598186984458123</v>
      </c>
      <c r="I13" s="265">
        <f>-'Base Forecast'!I483</f>
        <v>-1.1461569566849352</v>
      </c>
      <c r="J13" s="265">
        <f>-'Base Forecast'!J483</f>
        <v>-1.2312658135927648</v>
      </c>
      <c r="K13" s="265">
        <f>-'Base Forecast'!K483</f>
        <v>-1.1798219030877017</v>
      </c>
      <c r="L13" s="265">
        <f>-'Base Forecast'!L483</f>
        <v>-1.2276723836292367</v>
      </c>
      <c r="M13" s="265">
        <f>-'Base Forecast'!M483</f>
        <v>-1.1834788002510248</v>
      </c>
      <c r="N13" s="265">
        <f>-'Base Forecast'!N483</f>
        <v>-1.1293052687456442</v>
      </c>
      <c r="O13" s="260"/>
      <c r="Q13" s="300" t="s">
        <v>391</v>
      </c>
      <c r="S13" s="299">
        <v>102207.29480661597</v>
      </c>
    </row>
    <row r="14" spans="1:19" ht="12.75">
      <c r="A14" s="254" t="s">
        <v>356</v>
      </c>
      <c r="C14" s="260">
        <f>C12+C13</f>
        <v>22.50987229157185</v>
      </c>
      <c r="D14" s="260">
        <f aca="true" t="shared" si="1" ref="D14:N14">D12+D13</f>
        <v>24.869644585189455</v>
      </c>
      <c r="E14" s="260">
        <f t="shared" si="1"/>
        <v>24.03214022026367</v>
      </c>
      <c r="F14" s="260">
        <f t="shared" si="1"/>
        <v>21.67642178768451</v>
      </c>
      <c r="G14" s="260">
        <f t="shared" si="1"/>
        <v>21.63016872329524</v>
      </c>
      <c r="H14" s="260">
        <f t="shared" si="1"/>
        <v>22.575321681358155</v>
      </c>
      <c r="I14" s="260">
        <f t="shared" si="1"/>
        <v>23.119952870823653</v>
      </c>
      <c r="J14" s="260">
        <f t="shared" si="1"/>
        <v>22.770567059388537</v>
      </c>
      <c r="K14" s="260">
        <f t="shared" si="1"/>
        <v>22.381746797684148</v>
      </c>
      <c r="L14" s="260">
        <f t="shared" si="1"/>
        <v>23.100578467331818</v>
      </c>
      <c r="M14" s="260">
        <f t="shared" si="1"/>
        <v>23.34537557893104</v>
      </c>
      <c r="N14" s="260">
        <f t="shared" si="1"/>
        <v>21.665157815016755</v>
      </c>
      <c r="O14" s="260"/>
      <c r="Q14" s="297" t="s">
        <v>392</v>
      </c>
      <c r="S14">
        <v>74882.89224726026</v>
      </c>
    </row>
    <row r="15" spans="3:19" ht="12.75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Q15" s="300" t="s">
        <v>393</v>
      </c>
      <c r="S15" s="299">
        <v>251321.35891532013</v>
      </c>
    </row>
    <row r="16" spans="1:19" ht="12.75">
      <c r="A16" s="254" t="s">
        <v>352</v>
      </c>
      <c r="C16" s="278">
        <f aca="true" t="shared" si="2" ref="C16:N16">C9-C14</f>
        <v>-0.01691594203372304</v>
      </c>
      <c r="D16" s="278">
        <f t="shared" si="2"/>
        <v>-0.01615586890456555</v>
      </c>
      <c r="E16" s="278">
        <f t="shared" si="2"/>
        <v>-0.011291431174225153</v>
      </c>
      <c r="F16" s="278">
        <f t="shared" si="2"/>
        <v>-0.008174630031593466</v>
      </c>
      <c r="G16" s="278">
        <f t="shared" si="2"/>
        <v>-0.007311518323717792</v>
      </c>
      <c r="H16" s="278">
        <f t="shared" si="2"/>
        <v>0.2050091821059432</v>
      </c>
      <c r="I16" s="278">
        <f t="shared" si="2"/>
        <v>-0.012874877596534162</v>
      </c>
      <c r="J16" s="278">
        <f t="shared" si="2"/>
        <v>-0.014348784295954431</v>
      </c>
      <c r="K16" s="278">
        <f t="shared" si="2"/>
        <v>-0.015454591656599348</v>
      </c>
      <c r="L16" s="278">
        <f t="shared" si="2"/>
        <v>-0.019850974211351513</v>
      </c>
      <c r="M16" s="278">
        <f t="shared" si="2"/>
        <v>-0.019245877948712575</v>
      </c>
      <c r="N16" s="278">
        <f t="shared" si="2"/>
        <v>-0.015913911519763957</v>
      </c>
      <c r="O16" s="260"/>
      <c r="Q16" s="300" t="s">
        <v>394</v>
      </c>
      <c r="S16" s="299">
        <v>181631.37764220673</v>
      </c>
    </row>
    <row r="17" spans="1:19" ht="12.75">
      <c r="A17" s="254" t="s">
        <v>349</v>
      </c>
      <c r="C17" s="254">
        <f>'Actual Scenario'!C393</f>
        <v>2487068.8526099944</v>
      </c>
      <c r="D17" s="254">
        <f>'Actual Scenario'!D393</f>
        <v>2438509.7444056342</v>
      </c>
      <c r="E17" s="254">
        <f>'Actual Scenario'!E393</f>
        <v>2080961.8373600258</v>
      </c>
      <c r="F17" s="254">
        <f>'Actual Scenario'!F393</f>
        <v>2071429.3328379635</v>
      </c>
      <c r="G17" s="254">
        <f>'Actual Scenario'!G393</f>
        <v>2071815.7681234297</v>
      </c>
      <c r="H17" s="254">
        <f>'Actual Scenario'!H393</f>
        <v>2188690.6580353575</v>
      </c>
      <c r="I17" s="254">
        <f>'Actual Scenario'!I393</f>
        <v>2214778.992962022</v>
      </c>
      <c r="J17" s="254">
        <f>'Actual Scenario'!J393</f>
        <v>2061686.698582105</v>
      </c>
      <c r="K17" s="254">
        <f>'Actual Scenario'!K393</f>
        <v>2151582.6614674903</v>
      </c>
      <c r="L17" s="254">
        <f>'Actual Scenario'!L393</f>
        <v>2067721.3107937044</v>
      </c>
      <c r="M17" s="254">
        <f>'Actual Scenario'!M393</f>
        <v>2144934.3661793056</v>
      </c>
      <c r="N17" s="254">
        <f>'Actual Scenario'!N393</f>
        <v>2247828.3069755384</v>
      </c>
      <c r="Q17" s="300"/>
      <c r="S17" s="299"/>
    </row>
    <row r="18" spans="1:17" ht="12.75">
      <c r="A18" s="282" t="s">
        <v>360</v>
      </c>
      <c r="B18" s="262"/>
      <c r="C18" s="269">
        <f aca="true" t="shared" si="3" ref="C18:N18">C16*C17</f>
        <v>-42071.11254462874</v>
      </c>
      <c r="D18" s="269">
        <f t="shared" si="3"/>
        <v>-39396.243753123075</v>
      </c>
      <c r="E18" s="269">
        <f t="shared" si="3"/>
        <v>-23497.037362739848</v>
      </c>
      <c r="F18" s="269">
        <f t="shared" si="3"/>
        <v>-16933.168432540835</v>
      </c>
      <c r="G18" s="269">
        <f t="shared" si="3"/>
        <v>-15148.118952001907</v>
      </c>
      <c r="H18" s="269">
        <f t="shared" si="3"/>
        <v>448701.6816867473</v>
      </c>
      <c r="I18" s="269">
        <f t="shared" si="3"/>
        <v>-28515.00843776123</v>
      </c>
      <c r="J18" s="269">
        <f t="shared" si="3"/>
        <v>-29582.697723793048</v>
      </c>
      <c r="K18" s="269">
        <f t="shared" si="3"/>
        <v>-33251.831448399294</v>
      </c>
      <c r="L18" s="269">
        <f t="shared" si="3"/>
        <v>-41046.28241682777</v>
      </c>
      <c r="M18" s="269">
        <f t="shared" si="3"/>
        <v>-41281.14501948608</v>
      </c>
      <c r="N18" s="269">
        <f t="shared" si="3"/>
        <v>-35771.740788829535</v>
      </c>
      <c r="O18" s="270">
        <f>SUM(C18:N18)</f>
        <v>102207.29480661597</v>
      </c>
      <c r="Q18" s="301" t="s">
        <v>399</v>
      </c>
    </row>
    <row r="19" spans="17:19" ht="12.75">
      <c r="Q19" s="300" t="s">
        <v>391</v>
      </c>
      <c r="S19" s="299">
        <v>478642.54205356224</v>
      </c>
    </row>
    <row r="20" spans="17:19" ht="12.75">
      <c r="Q20" s="297" t="s">
        <v>392</v>
      </c>
      <c r="S20">
        <v>346077.3061907806</v>
      </c>
    </row>
    <row r="21" spans="1:19" ht="12.75">
      <c r="A21" s="5" t="s">
        <v>378</v>
      </c>
      <c r="Q21" s="300" t="s">
        <v>393</v>
      </c>
      <c r="S21" s="299">
        <v>478642.5420533894</v>
      </c>
    </row>
    <row r="22" spans="1:19" ht="12.75">
      <c r="A22" s="5" t="s">
        <v>379</v>
      </c>
      <c r="C22" s="255" t="s">
        <v>121</v>
      </c>
      <c r="D22" s="256" t="s">
        <v>122</v>
      </c>
      <c r="E22" s="256" t="s">
        <v>123</v>
      </c>
      <c r="F22" s="256" t="s">
        <v>124</v>
      </c>
      <c r="G22" s="256" t="s">
        <v>125</v>
      </c>
      <c r="H22" s="257" t="s">
        <v>126</v>
      </c>
      <c r="I22" s="256" t="s">
        <v>127</v>
      </c>
      <c r="J22" s="256" t="s">
        <v>128</v>
      </c>
      <c r="K22" s="256" t="s">
        <v>129</v>
      </c>
      <c r="L22" s="256" t="s">
        <v>130</v>
      </c>
      <c r="M22" s="256" t="s">
        <v>131</v>
      </c>
      <c r="N22" s="258" t="s">
        <v>132</v>
      </c>
      <c r="O22" s="259" t="s">
        <v>326</v>
      </c>
      <c r="Q22" s="300" t="s">
        <v>394</v>
      </c>
      <c r="S22" s="299">
        <v>345786.89901914826</v>
      </c>
    </row>
    <row r="23" spans="17:19" ht="12.75">
      <c r="Q23" s="300"/>
      <c r="S23" s="299"/>
    </row>
    <row r="24" spans="1:17" ht="12.75">
      <c r="A24" s="254" t="s">
        <v>353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Q24" s="301" t="s">
        <v>400</v>
      </c>
    </row>
    <row r="25" spans="1:19" ht="12.75">
      <c r="A25" s="254" t="s">
        <v>354</v>
      </c>
      <c r="C25" s="260">
        <f>'Actual Scenario'!C462</f>
        <v>24.54830172011844</v>
      </c>
      <c r="D25" s="260">
        <f>'Actual Scenario'!D462</f>
        <v>27.13797117543587</v>
      </c>
      <c r="E25" s="260">
        <f>'Actual Scenario'!E462</f>
        <v>25.64335141633098</v>
      </c>
      <c r="F25" s="260">
        <f>'Actual Scenario'!F462</f>
        <v>22.738460757125807</v>
      </c>
      <c r="G25" s="260">
        <f>'Actual Scenario'!G462</f>
        <v>22.38688004608106</v>
      </c>
      <c r="H25" s="260">
        <f>'Actual Scenario'!H462</f>
        <v>22.73252078746486</v>
      </c>
      <c r="I25" s="260">
        <f>'Actual Scenario'!I462</f>
        <v>23.30698763452119</v>
      </c>
      <c r="J25" s="260">
        <f>'Actual Scenario'!J462</f>
        <v>23.301956383722896</v>
      </c>
      <c r="K25" s="260">
        <f>'Actual Scenario'!K462</f>
        <v>23.057887996972216</v>
      </c>
      <c r="L25" s="260">
        <f>'Actual Scenario'!L462</f>
        <v>24.330725085849483</v>
      </c>
      <c r="M25" s="260">
        <f>'Actual Scenario'!M462</f>
        <v>24.584949214986587</v>
      </c>
      <c r="N25" s="260">
        <f>'Actual Scenario'!N462</f>
        <v>23.56819134996017</v>
      </c>
      <c r="O25" s="260"/>
      <c r="Q25" s="300" t="s">
        <v>391</v>
      </c>
      <c r="S25" s="299">
        <v>478642.54205356224</v>
      </c>
    </row>
    <row r="26" spans="1:19" ht="12.75">
      <c r="A26" s="261" t="s">
        <v>355</v>
      </c>
      <c r="C26" s="265">
        <f>-'Actual Scenario'!C483</f>
        <v>-1.0188750110625235</v>
      </c>
      <c r="D26" s="265">
        <f>-'Actual Scenario'!D483</f>
        <v>-1.039164313585267</v>
      </c>
      <c r="E26" s="265">
        <f>-'Actual Scenario'!E483</f>
        <v>-1.2177120498908303</v>
      </c>
      <c r="F26" s="265">
        <f>-'Actual Scenario'!F483</f>
        <v>-1.2233158353727376</v>
      </c>
      <c r="G26" s="265">
        <f>-'Actual Scenario'!G483</f>
        <v>-1.2230876623800753</v>
      </c>
      <c r="H26" s="265">
        <f>-'Actual Scenario'!H483</f>
        <v>-1.1577754468924726</v>
      </c>
      <c r="I26" s="265">
        <f>-'Actual Scenario'!I483</f>
        <v>-1.1441377730097144</v>
      </c>
      <c r="J26" s="265">
        <f>-'Actual Scenario'!J483</f>
        <v>-1.2290966937212118</v>
      </c>
      <c r="K26" s="265">
        <f>-'Actual Scenario'!K483</f>
        <v>-1.1777434119068142</v>
      </c>
      <c r="L26" s="265">
        <f>-'Actual Scenario'!L483</f>
        <v>-1.2255095943000043</v>
      </c>
      <c r="M26" s="265">
        <f>-'Actual Scenario'!M483</f>
        <v>-1.181393866717708</v>
      </c>
      <c r="N26" s="265">
        <f>-'Actual Scenario'!N483</f>
        <v>-1.1273157726738432</v>
      </c>
      <c r="O26" s="260"/>
      <c r="Q26" s="297" t="s">
        <v>392</v>
      </c>
      <c r="S26">
        <v>346077.3061907806</v>
      </c>
    </row>
    <row r="27" spans="1:19" ht="12.75">
      <c r="A27" s="254" t="s">
        <v>350</v>
      </c>
      <c r="C27" s="260">
        <f>C25+C26</f>
        <v>23.52942670905592</v>
      </c>
      <c r="D27" s="260">
        <f aca="true" t="shared" si="4" ref="D27:N27">D25+D26</f>
        <v>26.0988068618506</v>
      </c>
      <c r="E27" s="260">
        <f t="shared" si="4"/>
        <v>24.425639366440148</v>
      </c>
      <c r="F27" s="260">
        <f t="shared" si="4"/>
        <v>21.51514492175307</v>
      </c>
      <c r="G27" s="260">
        <f t="shared" si="4"/>
        <v>21.163792383700986</v>
      </c>
      <c r="H27" s="260">
        <f t="shared" si="4"/>
        <v>21.574745340572388</v>
      </c>
      <c r="I27" s="260">
        <f t="shared" si="4"/>
        <v>22.162849861511475</v>
      </c>
      <c r="J27" s="260">
        <f t="shared" si="4"/>
        <v>22.072859690001685</v>
      </c>
      <c r="K27" s="260">
        <f t="shared" si="4"/>
        <v>21.880144585065402</v>
      </c>
      <c r="L27" s="260">
        <f t="shared" si="4"/>
        <v>23.10521549154948</v>
      </c>
      <c r="M27" s="260">
        <f t="shared" si="4"/>
        <v>23.403555348268878</v>
      </c>
      <c r="N27" s="260">
        <f t="shared" si="4"/>
        <v>22.440875577286327</v>
      </c>
      <c r="O27" s="260"/>
      <c r="Q27" s="300" t="s">
        <v>393</v>
      </c>
      <c r="S27" s="299">
        <v>197656.81187359992</v>
      </c>
    </row>
    <row r="28" spans="3:19" ht="12.75"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Q28" s="300" t="s">
        <v>394</v>
      </c>
      <c r="S28" s="299">
        <v>142919.2004576005</v>
      </c>
    </row>
    <row r="29" spans="1:15" ht="12.75">
      <c r="A29" s="254" t="s">
        <v>383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12.75">
      <c r="A30" s="254" t="s">
        <v>354</v>
      </c>
      <c r="C30" s="260">
        <f>'Base Forecast'!C462</f>
        <v>24.55412015056491</v>
      </c>
      <c r="D30" s="260">
        <f>'Base Forecast'!D462</f>
        <v>27.144403408509184</v>
      </c>
      <c r="E30" s="260">
        <f>'Base Forecast'!E462</f>
        <v>25.649429395116663</v>
      </c>
      <c r="F30" s="260">
        <f>'Base Forecast'!F462</f>
        <v>22.743850219675263</v>
      </c>
      <c r="G30" s="260">
        <f>'Base Forecast'!G462</f>
        <v>22.392186177085105</v>
      </c>
      <c r="H30" s="260">
        <f>'Base Forecast'!H462</f>
        <v>22.647600597282292</v>
      </c>
      <c r="I30" s="260">
        <f>'Base Forecast'!I462</f>
        <v>23.312511849125627</v>
      </c>
      <c r="J30" s="260">
        <f>'Base Forecast'!J462</f>
        <v>23.30747940582191</v>
      </c>
      <c r="K30" s="260">
        <f>'Base Forecast'!K462</f>
        <v>23.063353170061838</v>
      </c>
      <c r="L30" s="260">
        <f>'Base Forecast'!L462</f>
        <v>24.336491946370604</v>
      </c>
      <c r="M30" s="260">
        <f>'Base Forecast'!M462</f>
        <v>24.590776331627847</v>
      </c>
      <c r="N30" s="260">
        <f>'Base Forecast'!N462</f>
        <v>23.573777474984013</v>
      </c>
      <c r="O30" s="260"/>
    </row>
    <row r="31" spans="1:15" ht="12.75">
      <c r="A31" s="261" t="s">
        <v>355</v>
      </c>
      <c r="C31" s="265">
        <f>-'Base Forecast'!C483</f>
        <v>-1.020673129993617</v>
      </c>
      <c r="D31" s="265">
        <f>-'Base Forecast'!D483</f>
        <v>-1.0409982392429644</v>
      </c>
      <c r="E31" s="265">
        <f>-'Base Forecast'!E483</f>
        <v>-1.21986107805008</v>
      </c>
      <c r="F31" s="265">
        <f>-'Base Forecast'!F483</f>
        <v>-1.2254747531383192</v>
      </c>
      <c r="G31" s="265">
        <f>-'Base Forecast'!G483</f>
        <v>-1.2252461774640981</v>
      </c>
      <c r="H31" s="265">
        <f>-'Base Forecast'!H483</f>
        <v>-1.1598186984458123</v>
      </c>
      <c r="I31" s="265">
        <f>-'Base Forecast'!I483</f>
        <v>-1.1461569566849352</v>
      </c>
      <c r="J31" s="265">
        <f>-'Base Forecast'!J483</f>
        <v>-1.2312658135927648</v>
      </c>
      <c r="K31" s="265">
        <f>-'Base Forecast'!K483</f>
        <v>-1.1798219030877017</v>
      </c>
      <c r="L31" s="265">
        <f>-'Base Forecast'!L483</f>
        <v>-1.2276723836292367</v>
      </c>
      <c r="M31" s="265">
        <f>-'Base Forecast'!M483</f>
        <v>-1.1834788002510248</v>
      </c>
      <c r="N31" s="265">
        <f>-'Base Forecast'!N483</f>
        <v>-1.1293052687456442</v>
      </c>
      <c r="O31" s="260"/>
    </row>
    <row r="32" spans="1:15" ht="12.75">
      <c r="A32" s="254" t="s">
        <v>351</v>
      </c>
      <c r="C32" s="260">
        <f>C30+C31</f>
        <v>23.53344702057129</v>
      </c>
      <c r="D32" s="260">
        <f aca="true" t="shared" si="5" ref="D32:N32">D30+D31</f>
        <v>26.10340516926622</v>
      </c>
      <c r="E32" s="260">
        <f t="shared" si="5"/>
        <v>24.429568317066582</v>
      </c>
      <c r="F32" s="260">
        <f t="shared" si="5"/>
        <v>21.518375466536945</v>
      </c>
      <c r="G32" s="260">
        <f t="shared" si="5"/>
        <v>21.166939999621007</v>
      </c>
      <c r="H32" s="260">
        <f t="shared" si="5"/>
        <v>21.48778189883648</v>
      </c>
      <c r="I32" s="260">
        <f t="shared" si="5"/>
        <v>22.166354892440694</v>
      </c>
      <c r="J32" s="260">
        <f t="shared" si="5"/>
        <v>22.076213592229145</v>
      </c>
      <c r="K32" s="260">
        <f t="shared" si="5"/>
        <v>21.883531266974135</v>
      </c>
      <c r="L32" s="260">
        <f t="shared" si="5"/>
        <v>23.108819562741367</v>
      </c>
      <c r="M32" s="260">
        <f t="shared" si="5"/>
        <v>23.407297531376823</v>
      </c>
      <c r="N32" s="260">
        <f t="shared" si="5"/>
        <v>22.44447220623837</v>
      </c>
      <c r="O32" s="260"/>
    </row>
    <row r="33" spans="3:15" ht="12.75"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</row>
    <row r="34" spans="1:15" ht="12.75">
      <c r="A34" s="254" t="s">
        <v>352</v>
      </c>
      <c r="C34" s="278">
        <f>C27-C32</f>
        <v>-0.004020311515372299</v>
      </c>
      <c r="D34" s="278">
        <f aca="true" t="shared" si="6" ref="D34:N34">D27-D32</f>
        <v>-0.004598307415619729</v>
      </c>
      <c r="E34" s="278">
        <f t="shared" si="6"/>
        <v>-0.003928950626434613</v>
      </c>
      <c r="F34" s="278">
        <f t="shared" si="6"/>
        <v>-0.003230544783875189</v>
      </c>
      <c r="G34" s="278">
        <f t="shared" si="6"/>
        <v>-0.0031476159200209963</v>
      </c>
      <c r="H34" s="278">
        <f t="shared" si="6"/>
        <v>0.08696344173590731</v>
      </c>
      <c r="I34" s="278">
        <f t="shared" si="6"/>
        <v>-0.003505030929218833</v>
      </c>
      <c r="J34" s="278">
        <f t="shared" si="6"/>
        <v>-0.003353902227459571</v>
      </c>
      <c r="K34" s="278">
        <f t="shared" si="6"/>
        <v>-0.0033866819087329247</v>
      </c>
      <c r="L34" s="278">
        <f t="shared" si="6"/>
        <v>-0.003604071191887215</v>
      </c>
      <c r="M34" s="278">
        <f t="shared" si="6"/>
        <v>-0.003742183107945607</v>
      </c>
      <c r="N34" s="278">
        <f t="shared" si="6"/>
        <v>-0.00359662895204238</v>
      </c>
      <c r="O34" s="260"/>
    </row>
    <row r="35" spans="1:14" ht="12.75">
      <c r="A35" s="254" t="s">
        <v>349</v>
      </c>
      <c r="C35" s="254">
        <f>'Actual Scenario'!C393</f>
        <v>2487068.8526099944</v>
      </c>
      <c r="D35" s="254">
        <f>'Actual Scenario'!D393</f>
        <v>2438509.7444056342</v>
      </c>
      <c r="E35" s="254">
        <f>'Actual Scenario'!E393</f>
        <v>2080961.8373600258</v>
      </c>
      <c r="F35" s="254">
        <f>'Actual Scenario'!F393</f>
        <v>2071429.3328379635</v>
      </c>
      <c r="G35" s="254">
        <f>'Actual Scenario'!G393</f>
        <v>2071815.7681234297</v>
      </c>
      <c r="H35" s="254">
        <f>'Actual Scenario'!H393</f>
        <v>2188690.6580353575</v>
      </c>
      <c r="I35" s="254">
        <f>'Actual Scenario'!I393</f>
        <v>2214778.992962022</v>
      </c>
      <c r="J35" s="254">
        <f>'Actual Scenario'!J393</f>
        <v>2061686.698582105</v>
      </c>
      <c r="K35" s="254">
        <f>'Actual Scenario'!K393</f>
        <v>2151582.6614674903</v>
      </c>
      <c r="L35" s="254">
        <f>'Actual Scenario'!L393</f>
        <v>2067721.3107937044</v>
      </c>
      <c r="M35" s="254">
        <f>'Actual Scenario'!M393</f>
        <v>2144934.3661793056</v>
      </c>
      <c r="N35" s="254">
        <f>'Actual Scenario'!N393</f>
        <v>2247828.3069755384</v>
      </c>
    </row>
    <row r="36" spans="1:15" ht="12.75">
      <c r="A36" s="282" t="s">
        <v>361</v>
      </c>
      <c r="B36" s="262"/>
      <c r="C36" s="269">
        <f aca="true" t="shared" si="7" ref="C36:N36">C34*C35</f>
        <v>-9998.791547671732</v>
      </c>
      <c r="D36" s="269">
        <f t="shared" si="7"/>
        <v>-11213.017440761398</v>
      </c>
      <c r="E36" s="269">
        <f t="shared" si="7"/>
        <v>-8175.996314482197</v>
      </c>
      <c r="F36" s="269">
        <f t="shared" si="7"/>
        <v>-6691.8452263657455</v>
      </c>
      <c r="G36" s="269">
        <f t="shared" si="7"/>
        <v>-6521.280295095837</v>
      </c>
      <c r="H36" s="269">
        <f t="shared" si="7"/>
        <v>190336.07251798245</v>
      </c>
      <c r="I36" s="269">
        <f t="shared" si="7"/>
        <v>-7762.868871716027</v>
      </c>
      <c r="J36" s="269">
        <f t="shared" si="7"/>
        <v>-6914.695610698292</v>
      </c>
      <c r="K36" s="269">
        <f t="shared" si="7"/>
        <v>-7286.726074735386</v>
      </c>
      <c r="L36" s="269">
        <f t="shared" si="7"/>
        <v>-7452.2148090828605</v>
      </c>
      <c r="M36" s="269">
        <f t="shared" si="7"/>
        <v>-8026.737152768214</v>
      </c>
      <c r="N36" s="269">
        <f t="shared" si="7"/>
        <v>-8084.604368088628</v>
      </c>
      <c r="O36" s="270">
        <f>SUM(C36:N36)</f>
        <v>102207.29480651616</v>
      </c>
    </row>
    <row r="37" spans="3:15" ht="12.75"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9" ht="12.75">
      <c r="A39" s="5" t="s">
        <v>376</v>
      </c>
    </row>
    <row r="40" spans="1:3" ht="12.75">
      <c r="A40" s="254" t="s">
        <v>380</v>
      </c>
      <c r="C40" s="272">
        <v>0</v>
      </c>
    </row>
    <row r="41" spans="1:3" ht="12.75">
      <c r="A41" s="254" t="s">
        <v>375</v>
      </c>
      <c r="C41" s="254">
        <f>SUM('Base Forecast'!C393:N393)</f>
        <v>26227008.530332573</v>
      </c>
    </row>
    <row r="42" spans="1:14" ht="12.75">
      <c r="A42" s="254" t="s">
        <v>372</v>
      </c>
      <c r="C42" s="260">
        <f>C40/C41</f>
        <v>0</v>
      </c>
      <c r="D42" s="260">
        <f>$C42</f>
        <v>0</v>
      </c>
      <c r="E42" s="260">
        <f aca="true" t="shared" si="8" ref="E42:N42">$C42</f>
        <v>0</v>
      </c>
      <c r="F42" s="260">
        <f t="shared" si="8"/>
        <v>0</v>
      </c>
      <c r="G42" s="260">
        <f t="shared" si="8"/>
        <v>0</v>
      </c>
      <c r="H42" s="260">
        <f t="shared" si="8"/>
        <v>0</v>
      </c>
      <c r="I42" s="260">
        <f t="shared" si="8"/>
        <v>0</v>
      </c>
      <c r="J42" s="260">
        <f t="shared" si="8"/>
        <v>0</v>
      </c>
      <c r="K42" s="260">
        <f t="shared" si="8"/>
        <v>0</v>
      </c>
      <c r="L42" s="260">
        <f t="shared" si="8"/>
        <v>0</v>
      </c>
      <c r="M42" s="260">
        <f t="shared" si="8"/>
        <v>0</v>
      </c>
      <c r="N42" s="260">
        <f t="shared" si="8"/>
        <v>0</v>
      </c>
    </row>
    <row r="43" spans="1:14" ht="12.75">
      <c r="A43" s="254" t="s">
        <v>373</v>
      </c>
      <c r="C43" s="254">
        <f>'Actual Scenario'!C393</f>
        <v>2487068.8526099944</v>
      </c>
      <c r="D43" s="254">
        <f>'Actual Scenario'!D393</f>
        <v>2438509.7444056342</v>
      </c>
      <c r="E43" s="254">
        <f>'Actual Scenario'!E393</f>
        <v>2080961.8373600258</v>
      </c>
      <c r="F43" s="254">
        <f>'Actual Scenario'!F393</f>
        <v>2071429.3328379635</v>
      </c>
      <c r="G43" s="254">
        <f>'Actual Scenario'!G393</f>
        <v>2071815.7681234297</v>
      </c>
      <c r="H43" s="254">
        <f>'Actual Scenario'!H393</f>
        <v>2188690.6580353575</v>
      </c>
      <c r="I43" s="254">
        <f>'Actual Scenario'!I393</f>
        <v>2214778.992962022</v>
      </c>
      <c r="J43" s="254">
        <f>'Actual Scenario'!J393</f>
        <v>2061686.698582105</v>
      </c>
      <c r="K43" s="254">
        <f>'Actual Scenario'!K393</f>
        <v>2151582.6614674903</v>
      </c>
      <c r="L43" s="254">
        <f>'Actual Scenario'!L393</f>
        <v>2067721.3107937044</v>
      </c>
      <c r="M43" s="254">
        <f>'Actual Scenario'!M393</f>
        <v>2144934.3661793056</v>
      </c>
      <c r="N43" s="254">
        <f>'Actual Scenario'!N393</f>
        <v>2247828.3069755384</v>
      </c>
    </row>
    <row r="44" spans="1:14" ht="12.75">
      <c r="A44" s="254" t="s">
        <v>374</v>
      </c>
      <c r="C44" s="272">
        <f>C42*C43</f>
        <v>0</v>
      </c>
      <c r="D44" s="272">
        <f aca="true" t="shared" si="9" ref="D44:N44">D42*D43</f>
        <v>0</v>
      </c>
      <c r="E44" s="272">
        <f t="shared" si="9"/>
        <v>0</v>
      </c>
      <c r="F44" s="272">
        <f t="shared" si="9"/>
        <v>0</v>
      </c>
      <c r="G44" s="272">
        <f t="shared" si="9"/>
        <v>0</v>
      </c>
      <c r="H44" s="272">
        <f t="shared" si="9"/>
        <v>0</v>
      </c>
      <c r="I44" s="272">
        <f t="shared" si="9"/>
        <v>0</v>
      </c>
      <c r="J44" s="272">
        <f t="shared" si="9"/>
        <v>0</v>
      </c>
      <c r="K44" s="272">
        <f t="shared" si="9"/>
        <v>0</v>
      </c>
      <c r="L44" s="272">
        <f t="shared" si="9"/>
        <v>0</v>
      </c>
      <c r="M44" s="272">
        <f t="shared" si="9"/>
        <v>0</v>
      </c>
      <c r="N44" s="272">
        <f t="shared" si="9"/>
        <v>0</v>
      </c>
    </row>
    <row r="46" ht="12.75">
      <c r="A46" s="5" t="s">
        <v>404</v>
      </c>
    </row>
    <row r="47" spans="1:14" ht="12.75">
      <c r="A47" s="254" t="s">
        <v>367</v>
      </c>
      <c r="C47" s="271">
        <v>0</v>
      </c>
      <c r="D47" s="271">
        <f>C51</f>
        <v>-29523.403228193216</v>
      </c>
      <c r="E47" s="271">
        <f aca="true" t="shared" si="10" ref="E47:N47">D51</f>
        <v>-57317.3342980883</v>
      </c>
      <c r="F47" s="271">
        <f t="shared" si="10"/>
        <v>-74092.96693888142</v>
      </c>
      <c r="G47" s="271">
        <f t="shared" si="10"/>
        <v>-86346.28272111136</v>
      </c>
      <c r="H47" s="271">
        <f t="shared" si="10"/>
        <v>-97408.20660928426</v>
      </c>
      <c r="I47" s="271">
        <f t="shared" si="10"/>
        <v>216981.1574813442</v>
      </c>
      <c r="J47" s="271">
        <f t="shared" si="10"/>
        <v>198055.65609755198</v>
      </c>
      <c r="K47" s="271">
        <f t="shared" si="10"/>
        <v>178286.27625036796</v>
      </c>
      <c r="L47" s="271">
        <f t="shared" si="10"/>
        <v>155843.23491270558</v>
      </c>
      <c r="M47" s="271">
        <f t="shared" si="10"/>
        <v>127818.22240126022</v>
      </c>
      <c r="N47" s="271">
        <f t="shared" si="10"/>
        <v>99488.26999584217</v>
      </c>
    </row>
    <row r="48" spans="1:15" ht="12.75">
      <c r="A48" s="40" t="s">
        <v>368</v>
      </c>
      <c r="B48" s="274">
        <v>0.7</v>
      </c>
      <c r="C48" s="275">
        <f>$B48*C18</f>
        <v>-29449.778781240115</v>
      </c>
      <c r="D48" s="275">
        <f aca="true" t="shared" si="11" ref="D48:N48">$B48*D18</f>
        <v>-27577.370627186152</v>
      </c>
      <c r="E48" s="275">
        <f t="shared" si="11"/>
        <v>-16447.92615391789</v>
      </c>
      <c r="F48" s="275">
        <f t="shared" si="11"/>
        <v>-11853.217902778584</v>
      </c>
      <c r="G48" s="275">
        <f t="shared" si="11"/>
        <v>-10603.683266401335</v>
      </c>
      <c r="H48" s="275">
        <f t="shared" si="11"/>
        <v>314091.1771807231</v>
      </c>
      <c r="I48" s="275">
        <f t="shared" si="11"/>
        <v>-19960.50590643286</v>
      </c>
      <c r="J48" s="275">
        <f t="shared" si="11"/>
        <v>-20707.888406655133</v>
      </c>
      <c r="K48" s="275">
        <f t="shared" si="11"/>
        <v>-23276.282013879503</v>
      </c>
      <c r="L48" s="275">
        <f>$B48*L18</f>
        <v>-28732.39769177944</v>
      </c>
      <c r="M48" s="275">
        <f t="shared" si="11"/>
        <v>-28896.801513640254</v>
      </c>
      <c r="N48" s="275">
        <f t="shared" si="11"/>
        <v>-25040.21855218067</v>
      </c>
      <c r="O48" s="275">
        <f>SUM(C48:N48)</f>
        <v>71545.10636463114</v>
      </c>
    </row>
    <row r="49" spans="1:14" ht="12.75">
      <c r="A49" s="254" t="s">
        <v>381</v>
      </c>
      <c r="C49" s="271">
        <f>-C44</f>
        <v>0</v>
      </c>
      <c r="D49" s="271">
        <f aca="true" t="shared" si="12" ref="D49:N49">-D44</f>
        <v>0</v>
      </c>
      <c r="E49" s="271">
        <f t="shared" si="12"/>
        <v>0</v>
      </c>
      <c r="F49" s="271">
        <f t="shared" si="12"/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71">
        <f t="shared" si="12"/>
        <v>0</v>
      </c>
      <c r="M49" s="271">
        <f t="shared" si="12"/>
        <v>0</v>
      </c>
      <c r="N49" s="271">
        <f t="shared" si="12"/>
        <v>0</v>
      </c>
    </row>
    <row r="50" spans="1:14" ht="12.75">
      <c r="A50" s="254" t="s">
        <v>369</v>
      </c>
      <c r="C50" s="271">
        <f aca="true" t="shared" si="13" ref="C50:N50">(C47+0.5*(C48+C49))*INT/12</f>
        <v>-73.62444695310027</v>
      </c>
      <c r="D50" s="271">
        <f t="shared" si="13"/>
        <v>-216.56044270893142</v>
      </c>
      <c r="E50" s="271">
        <f t="shared" si="13"/>
        <v>-327.7064868752362</v>
      </c>
      <c r="F50" s="271">
        <f t="shared" si="13"/>
        <v>-400.09787945135355</v>
      </c>
      <c r="G50" s="271">
        <f t="shared" si="13"/>
        <v>-458.24062177156014</v>
      </c>
      <c r="H50" s="271">
        <f t="shared" si="13"/>
        <v>298.18690990538647</v>
      </c>
      <c r="I50" s="271">
        <f t="shared" si="13"/>
        <v>1035.004522640639</v>
      </c>
      <c r="J50" s="271">
        <f t="shared" si="13"/>
        <v>938.5085594711221</v>
      </c>
      <c r="K50" s="271">
        <f t="shared" si="13"/>
        <v>833.240676217141</v>
      </c>
      <c r="L50" s="271">
        <f t="shared" si="13"/>
        <v>707.3851803340793</v>
      </c>
      <c r="M50" s="271">
        <f t="shared" si="13"/>
        <v>566.8491082222005</v>
      </c>
      <c r="N50" s="271">
        <f t="shared" si="13"/>
        <v>434.8408035987591</v>
      </c>
    </row>
    <row r="51" spans="1:14" ht="12.75">
      <c r="A51" s="281" t="s">
        <v>370</v>
      </c>
      <c r="C51" s="276">
        <f>SUM(C47:C50)</f>
        <v>-29523.403228193216</v>
      </c>
      <c r="D51" s="276">
        <f aca="true" t="shared" si="14" ref="D51:N51">SUM(D47:D50)</f>
        <v>-57317.3342980883</v>
      </c>
      <c r="E51" s="276">
        <f t="shared" si="14"/>
        <v>-74092.96693888142</v>
      </c>
      <c r="F51" s="276">
        <f t="shared" si="14"/>
        <v>-86346.28272111136</v>
      </c>
      <c r="G51" s="276">
        <f t="shared" si="14"/>
        <v>-97408.20660928426</v>
      </c>
      <c r="H51" s="276">
        <f t="shared" si="14"/>
        <v>216981.1574813442</v>
      </c>
      <c r="I51" s="276">
        <f t="shared" si="14"/>
        <v>198055.65609755198</v>
      </c>
      <c r="J51" s="276">
        <f t="shared" si="14"/>
        <v>178286.27625036796</v>
      </c>
      <c r="K51" s="276">
        <f t="shared" si="14"/>
        <v>155843.23491270558</v>
      </c>
      <c r="L51" s="276">
        <f t="shared" si="14"/>
        <v>127818.22240126022</v>
      </c>
      <c r="M51" s="276">
        <f t="shared" si="14"/>
        <v>99488.26999584217</v>
      </c>
      <c r="N51" s="277">
        <f t="shared" si="14"/>
        <v>74882.89224726026</v>
      </c>
    </row>
    <row r="53" spans="1:3" ht="12.75">
      <c r="A53" s="254" t="s">
        <v>371</v>
      </c>
      <c r="C53" s="273">
        <v>0.06</v>
      </c>
    </row>
    <row r="55" ht="12.75">
      <c r="A55" s="5" t="s">
        <v>403</v>
      </c>
    </row>
    <row r="56" spans="1:14" ht="12.75">
      <c r="A56" s="254" t="s">
        <v>367</v>
      </c>
      <c r="C56" s="271">
        <v>0</v>
      </c>
      <c r="D56" s="271">
        <f aca="true" t="shared" si="15" ref="D56:N56">C60</f>
        <v>-7016.712118578638</v>
      </c>
      <c r="E56" s="271">
        <f t="shared" si="15"/>
        <v>-14920.530668225842</v>
      </c>
      <c r="F56" s="271">
        <f t="shared" si="15"/>
        <v>-20732.63873525485</v>
      </c>
      <c r="G56" s="271">
        <f t="shared" si="15"/>
        <v>-25532.30431653329</v>
      </c>
      <c r="H56" s="271">
        <f t="shared" si="15"/>
        <v>-30236.27428519946</v>
      </c>
      <c r="I56" s="271">
        <f t="shared" si="15"/>
        <v>103180.88323286873</v>
      </c>
      <c r="J56" s="271">
        <f t="shared" si="15"/>
        <v>98249.19441830635</v>
      </c>
      <c r="K56" s="271">
        <f t="shared" si="15"/>
        <v>93888.05274559035</v>
      </c>
      <c r="L56" s="271">
        <f t="shared" si="15"/>
        <v>89244.03298637275</v>
      </c>
      <c r="M56" s="271">
        <f t="shared" si="15"/>
        <v>84460.66140903073</v>
      </c>
      <c r="N56" s="271">
        <f t="shared" si="15"/>
        <v>79250.20191912078</v>
      </c>
    </row>
    <row r="57" spans="1:15" ht="12.75">
      <c r="A57" s="40" t="s">
        <v>368</v>
      </c>
      <c r="B57" s="274">
        <v>0.7</v>
      </c>
      <c r="C57" s="275">
        <f>$B57*C36</f>
        <v>-6999.154083370212</v>
      </c>
      <c r="D57" s="275">
        <f aca="true" t="shared" si="16" ref="D57:N57">$B57*D36</f>
        <v>-7849.112208532978</v>
      </c>
      <c r="E57" s="275">
        <f t="shared" si="16"/>
        <v>-5723.197420137538</v>
      </c>
      <c r="F57" s="275">
        <f t="shared" si="16"/>
        <v>-4684.291658456022</v>
      </c>
      <c r="G57" s="275">
        <f t="shared" si="16"/>
        <v>-4564.896206567086</v>
      </c>
      <c r="H57" s="275">
        <f t="shared" si="16"/>
        <v>133235.2507625877</v>
      </c>
      <c r="I57" s="275">
        <f t="shared" si="16"/>
        <v>-5434.008210201218</v>
      </c>
      <c r="J57" s="275">
        <f t="shared" si="16"/>
        <v>-4840.2869274888035</v>
      </c>
      <c r="K57" s="275">
        <f>$B57*K36</f>
        <v>-5100.70825231477</v>
      </c>
      <c r="L57" s="275">
        <f t="shared" si="16"/>
        <v>-5216.550366358002</v>
      </c>
      <c r="M57" s="275">
        <f t="shared" si="16"/>
        <v>-5618.71600693775</v>
      </c>
      <c r="N57" s="275">
        <f t="shared" si="16"/>
        <v>-5659.2230576620395</v>
      </c>
      <c r="O57" s="275">
        <f>SUM(C57:N57)</f>
        <v>71545.10636456129</v>
      </c>
    </row>
    <row r="58" spans="1:14" ht="12.75">
      <c r="A58" s="254" t="s">
        <v>381</v>
      </c>
      <c r="C58" s="271">
        <f>-C53</f>
        <v>-0.06</v>
      </c>
      <c r="D58" s="271">
        <f aca="true" t="shared" si="17" ref="D58:N58">-D53</f>
        <v>0</v>
      </c>
      <c r="E58" s="271">
        <f t="shared" si="17"/>
        <v>0</v>
      </c>
      <c r="F58" s="271">
        <f t="shared" si="17"/>
        <v>0</v>
      </c>
      <c r="G58" s="271">
        <f t="shared" si="17"/>
        <v>0</v>
      </c>
      <c r="H58" s="271">
        <f t="shared" si="17"/>
        <v>0</v>
      </c>
      <c r="I58" s="271">
        <f t="shared" si="17"/>
        <v>0</v>
      </c>
      <c r="J58" s="271">
        <f t="shared" si="17"/>
        <v>0</v>
      </c>
      <c r="K58" s="271">
        <f t="shared" si="17"/>
        <v>0</v>
      </c>
      <c r="L58" s="271">
        <f t="shared" si="17"/>
        <v>0</v>
      </c>
      <c r="M58" s="271">
        <f t="shared" si="17"/>
        <v>0</v>
      </c>
      <c r="N58" s="271">
        <f t="shared" si="17"/>
        <v>0</v>
      </c>
    </row>
    <row r="59" spans="1:14" ht="12.75">
      <c r="A59" s="254" t="s">
        <v>369</v>
      </c>
      <c r="C59" s="271">
        <f aca="true" t="shared" si="18" ref="C59:N59">(C56+0.5*(C57+C58))*INT/12</f>
        <v>-17.49803520842553</v>
      </c>
      <c r="D59" s="271">
        <f t="shared" si="18"/>
        <v>-54.70634111422563</v>
      </c>
      <c r="E59" s="271">
        <f t="shared" si="18"/>
        <v>-88.91064689147304</v>
      </c>
      <c r="F59" s="271">
        <f t="shared" si="18"/>
        <v>-115.37392282241431</v>
      </c>
      <c r="G59" s="271">
        <f t="shared" si="18"/>
        <v>-139.07376209908415</v>
      </c>
      <c r="H59" s="271">
        <f t="shared" si="18"/>
        <v>181.90675548047196</v>
      </c>
      <c r="I59" s="271">
        <f t="shared" si="18"/>
        <v>502.3193956388406</v>
      </c>
      <c r="J59" s="271">
        <f t="shared" si="18"/>
        <v>479.1452547728097</v>
      </c>
      <c r="K59" s="271">
        <f t="shared" si="18"/>
        <v>456.68849309716484</v>
      </c>
      <c r="L59" s="271">
        <f t="shared" si="18"/>
        <v>433.1787890159688</v>
      </c>
      <c r="M59" s="271">
        <f t="shared" si="18"/>
        <v>408.2565170278092</v>
      </c>
      <c r="N59" s="271">
        <f t="shared" si="18"/>
        <v>382.1029519514488</v>
      </c>
    </row>
    <row r="60" spans="1:14" ht="12.75">
      <c r="A60" s="281" t="s">
        <v>370</v>
      </c>
      <c r="C60" s="276">
        <f>SUM(C56:C59)</f>
        <v>-7016.712118578638</v>
      </c>
      <c r="D60" s="276">
        <f aca="true" t="shared" si="19" ref="D60:N60">SUM(D56:D59)</f>
        <v>-14920.530668225842</v>
      </c>
      <c r="E60" s="276">
        <f t="shared" si="19"/>
        <v>-20732.63873525485</v>
      </c>
      <c r="F60" s="276">
        <f t="shared" si="19"/>
        <v>-25532.30431653329</v>
      </c>
      <c r="G60" s="276">
        <f t="shared" si="19"/>
        <v>-30236.27428519946</v>
      </c>
      <c r="H60" s="276">
        <f t="shared" si="19"/>
        <v>103180.88323286873</v>
      </c>
      <c r="I60" s="276">
        <f t="shared" si="19"/>
        <v>98249.19441830635</v>
      </c>
      <c r="J60" s="276">
        <f t="shared" si="19"/>
        <v>93888.05274559035</v>
      </c>
      <c r="K60" s="276">
        <f t="shared" si="19"/>
        <v>89244.03298637275</v>
      </c>
      <c r="L60" s="276">
        <f t="shared" si="19"/>
        <v>84460.66140903073</v>
      </c>
      <c r="M60" s="276">
        <f t="shared" si="19"/>
        <v>79250.20191912078</v>
      </c>
      <c r="N60" s="277">
        <f t="shared" si="19"/>
        <v>73973.0818134102</v>
      </c>
    </row>
    <row r="62" spans="1:3" ht="12.75">
      <c r="A62" s="254" t="s">
        <v>371</v>
      </c>
      <c r="C62" s="273">
        <v>0.06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 </cp:lastModifiedBy>
  <cp:lastPrinted>2008-02-25T21:50:38Z</cp:lastPrinted>
  <dcterms:created xsi:type="dcterms:W3CDTF">2004-11-24T17:27:03Z</dcterms:created>
  <dcterms:modified xsi:type="dcterms:W3CDTF">2011-10-31T20:56:06Z</dcterms:modified>
  <cp:category/>
  <cp:version/>
  <cp:contentType/>
  <cp:contentStatus/>
</cp:coreProperties>
</file>