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5" yWindow="0" windowWidth="11115" windowHeight="9255" activeTab="0"/>
  </bookViews>
  <sheets>
    <sheet name="7.7.0S Hydro Summary" sheetId="1" r:id="rId1"/>
    <sheet name="7.7.1S Cline&amp;St.Anthony" sheetId="2" r:id="rId2"/>
    <sheet name="7.7.2S Keno EPIS" sheetId="3" r:id="rId3"/>
    <sheet name="7.7.3-4S Keno Dep_AD_Ret" sheetId="4" r:id="rId4"/>
    <sheet name="Sheet1" sheetId="5" r:id="rId5"/>
  </sheets>
  <definedNames>
    <definedName name="_DAT1">#REF!</definedName>
    <definedName name="_DAT2">#REF!</definedName>
    <definedName name="_DAT3">#REF!</definedName>
    <definedName name="_DAT4">#REF!</definedName>
    <definedName name="_DAT5">#REF!</definedName>
    <definedName name="_DAT6">#REF!</definedName>
    <definedName name="_DAT7">#REF!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Print_Area" localSheetId="0">'7.7.0S Hydro Summary'!$A$1:$F$51</definedName>
    <definedName name="_xlnm.Print_Area" localSheetId="1">'7.7.1S Cline&amp;St.Anthony'!$A$1:$AM$79</definedName>
    <definedName name="TEST1">#REF!</definedName>
    <definedName name="TEST10">#REF!</definedName>
    <definedName name="TEST1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s>
  <calcPr fullCalcOnLoad="1" iterate="1" iterateCount="100" iterateDelta="0.001"/>
</workbook>
</file>

<file path=xl/sharedStrings.xml><?xml version="1.0" encoding="utf-8"?>
<sst xmlns="http://schemas.openxmlformats.org/spreadsheetml/2006/main" count="243" uniqueCount="130">
  <si>
    <t>ST. ANTHONY HE PLANT AND SUBSTATION - PR</t>
  </si>
  <si>
    <t>KENO REGULATING DAM</t>
  </si>
  <si>
    <t>CLINE FALLS HYDRO PLANT</t>
  </si>
  <si>
    <t>SG-U</t>
  </si>
  <si>
    <t>SG-P</t>
  </si>
  <si>
    <t>Allocation %</t>
  </si>
  <si>
    <t>UT Allocated</t>
  </si>
  <si>
    <t>SG</t>
  </si>
  <si>
    <t>OR</t>
  </si>
  <si>
    <t>Description</t>
  </si>
  <si>
    <t>Location</t>
  </si>
  <si>
    <t>IDU</t>
  </si>
  <si>
    <t>FERC</t>
  </si>
  <si>
    <t>Allocation Factor</t>
  </si>
  <si>
    <t>462 Total</t>
  </si>
  <si>
    <t>24000 Total</t>
  </si>
  <si>
    <t>Secondary</t>
  </si>
  <si>
    <t>Station Equipment</t>
  </si>
  <si>
    <t>Communication Equipment</t>
  </si>
  <si>
    <t>Structures And Improve-Production</t>
  </si>
  <si>
    <t>"Reservoirs, Dams, &amp; Wtrwys-Production"</t>
  </si>
  <si>
    <t>"Water Wheels, Turb &amp; Generators"</t>
  </si>
  <si>
    <t>Accessory Electric Equipment</t>
  </si>
  <si>
    <t>Accessory Elect Equip - Supv &amp; Alarm</t>
  </si>
  <si>
    <t>"Roads, Railroads &amp; Bridges"</t>
  </si>
  <si>
    <t/>
  </si>
  <si>
    <t>Structures &amp; Improvements</t>
  </si>
  <si>
    <t>Station Equipment, Step-Up Transformers</t>
  </si>
  <si>
    <t>"Tls, Shop, Gar Equipment"</t>
  </si>
  <si>
    <t>Land And Land Rights</t>
  </si>
  <si>
    <t>Structures And Improve</t>
  </si>
  <si>
    <t>"Reservoirs, Dams &amp; Waterways"</t>
  </si>
  <si>
    <t>"Reservoirs, Dams, &amp; Wtrwys-Fish/Wildlif</t>
  </si>
  <si>
    <t>Misc Power Plant Equip</t>
  </si>
  <si>
    <t>Depreciation Reserve as of 12/2008</t>
  </si>
  <si>
    <t>Annual Depreciation Rate</t>
  </si>
  <si>
    <t>Book Value Test Year as of 6/2010</t>
  </si>
  <si>
    <t>Book Value Base Year as of 12/2008</t>
  </si>
  <si>
    <t>13 Mo Average Reserve</t>
  </si>
  <si>
    <t>EPIS as of 12/2008</t>
  </si>
  <si>
    <t>Capital Additions 12/2009</t>
  </si>
  <si>
    <t xml:space="preserve">This addition is for both </t>
  </si>
  <si>
    <t>Attachment DPU 45.1</t>
  </si>
  <si>
    <t>EPIS</t>
  </si>
  <si>
    <t>AD</t>
  </si>
  <si>
    <t>Total Company</t>
  </si>
  <si>
    <t>Utah</t>
  </si>
  <si>
    <t>Depreciaiton Expense</t>
  </si>
  <si>
    <t>UT Depreciation Expense</t>
  </si>
  <si>
    <t>O&amp;M Expense Item</t>
  </si>
  <si>
    <t>Cline Falls</t>
  </si>
  <si>
    <t>403HP</t>
  </si>
  <si>
    <t>SG/SG-P</t>
  </si>
  <si>
    <t>St. Anthony</t>
  </si>
  <si>
    <t>SG/SG-U</t>
  </si>
  <si>
    <t>Keno Development</t>
  </si>
  <si>
    <t>Attachment DPU 25.2a - Docket No. 09-035-23 / UT GRC 2009</t>
  </si>
  <si>
    <t>Keno Plant Balances</t>
  </si>
  <si>
    <t>At 12/31/2008</t>
  </si>
  <si>
    <t>Utah Allocated Amount</t>
  </si>
  <si>
    <t>Account Description</t>
  </si>
  <si>
    <t>Acquis.value</t>
  </si>
  <si>
    <t>Accum.dep.</t>
  </si>
  <si>
    <t>Book value</t>
  </si>
  <si>
    <t>LAND OWNED IN FEE</t>
  </si>
  <si>
    <t>LAND RIGHTS</t>
  </si>
  <si>
    <t>STRUCTURES AND IMPROVE</t>
  </si>
  <si>
    <t>STRUCTURES AND IMPROVE-FISH/WILDLIFE</t>
  </si>
  <si>
    <t>STRUCTURES AND IMPROVE-RECREATION</t>
  </si>
  <si>
    <t>RESERVOIRS, DAMS, &amp; WTRWYS-PRODUCTION</t>
  </si>
  <si>
    <t>RESERVOIRS, DAMS, &amp; WTRWYS-FISH/WILDLIFE</t>
  </si>
  <si>
    <t>ACCESSORY ELECT EQUIP - SUPV &amp; ALARM</t>
  </si>
  <si>
    <t>ROADS, RAILROADS &amp; BRIDGES</t>
  </si>
  <si>
    <t>Depreciation Expense</t>
  </si>
  <si>
    <t>DPU 25.2</t>
  </si>
  <si>
    <t>DR Source</t>
  </si>
  <si>
    <t>Keno Devlopment</t>
  </si>
  <si>
    <t>Depreciation Rate Per Year</t>
  </si>
  <si>
    <t>Depreciation Rate Per Month</t>
  </si>
  <si>
    <t xml:space="preserve"> Dep Exp First Month = Depreciation Rate Per Month x [(Dec EPIS + Jan EPIS)/2]  </t>
  </si>
  <si>
    <t>Dep Exp First Month</t>
  </si>
  <si>
    <t>Subsequent Months Dep Exp</t>
  </si>
  <si>
    <t>Total</t>
  </si>
  <si>
    <t>13 Month Avg</t>
  </si>
  <si>
    <t>Accumulated Depreciation</t>
  </si>
  <si>
    <t>Dep Exp</t>
  </si>
  <si>
    <t>Test Year</t>
  </si>
  <si>
    <t>December 2008 EPIS</t>
  </si>
  <si>
    <t>Keno EPIS</t>
  </si>
  <si>
    <t>Keno AD</t>
  </si>
  <si>
    <t>Total Keno Rate Base - As Filed by RMP</t>
  </si>
  <si>
    <t>Balance</t>
  </si>
  <si>
    <t>Depreciation Expense Item</t>
  </si>
  <si>
    <t>Hydro O&amp;M Adjustment</t>
  </si>
  <si>
    <t>(1) Source: RMP Response to DPU 45.1. The December 2008 amount is assumed the same as the June 2010 amount</t>
  </si>
  <si>
    <t>Hydro Depreciation Adjustment</t>
  </si>
  <si>
    <t>Hydro Rate Base</t>
  </si>
  <si>
    <t>Cline Falls - EPIS</t>
  </si>
  <si>
    <t>Cline Falls - AD</t>
  </si>
  <si>
    <t>St Anthony</t>
  </si>
  <si>
    <t>Allocation</t>
  </si>
  <si>
    <t>Factor</t>
  </si>
  <si>
    <t>UT</t>
  </si>
  <si>
    <t>Allocated</t>
  </si>
  <si>
    <t>St. Anthony - EPIS</t>
  </si>
  <si>
    <t>Keno Development - EPIS</t>
  </si>
  <si>
    <t xml:space="preserve">12 Mo End </t>
  </si>
  <si>
    <t>Hydro Rate Base Item</t>
  </si>
  <si>
    <t>108HP</t>
  </si>
  <si>
    <t>St. Anthony - AD</t>
  </si>
  <si>
    <t>Keno Development - AD</t>
  </si>
  <si>
    <t>Dec-2008 (1)</t>
  </si>
  <si>
    <t>DPU Calculations</t>
  </si>
  <si>
    <t>Docket No. 09-035-23</t>
  </si>
  <si>
    <t>Croft</t>
  </si>
  <si>
    <t>Remove Keno, Cline Falls and St. Anthony Hydro Facilities</t>
  </si>
  <si>
    <t>Keno Depreciation and Accumulated Depreciaiton</t>
  </si>
  <si>
    <t>Adjustment Description</t>
  </si>
  <si>
    <t>June 2010 EPIS</t>
  </si>
  <si>
    <t>This adjustment removes the Keno, Cline Falls and St. Anthony facilities from the test year because they do not provide power, do not provide benefit to downstream generating facilities and do not provide benefit to Utah rate payers.</t>
  </si>
  <si>
    <t>Cline Falls (Non OR or ID)</t>
  </si>
  <si>
    <t>St. Anthony (Non OR or ID)</t>
  </si>
  <si>
    <t>EPIS/AD</t>
  </si>
  <si>
    <t>Utah %</t>
  </si>
  <si>
    <t>13 Mo Avg</t>
  </si>
  <si>
    <t>DPU Exhibit 7.7.0SD</t>
  </si>
  <si>
    <t>DPU Exhibit 7.7.1SD</t>
  </si>
  <si>
    <t>DPU Exhibit 7.7.2SD</t>
  </si>
  <si>
    <t>DPU Exhibit 7.7.3SD</t>
  </si>
  <si>
    <t>DPU Exhibit 7.7.4SD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</si>
</sst>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00"/>
    <numFmt numFmtId="168" formatCode="[$-409]mmmm\-yy;@"/>
  </numFmts>
  <fonts count="39">
    <font>
      <sz val="10"/>
      <name val="Arial"/>
      <family val="0"/>
    </font>
    <font>
      <sz val="11"/>
      <color indexed="8"/>
      <name val="Calibri"/>
      <family val="2"/>
    </font>
    <font>
      <sz val="8"/>
      <name val="Arial"/>
      <family val="2"/>
    </font>
    <font>
      <b/>
      <sz val="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0"/>
      <color indexed="10"/>
      <name val="Arial"/>
      <family val="2"/>
    </font>
    <font>
      <b/>
      <sz val="8"/>
      <color indexed="8"/>
      <name val="Arial"/>
      <family val="2"/>
    </font>
    <font>
      <sz val="8"/>
      <color indexed="18"/>
      <name val="Arial"/>
      <family val="2"/>
    </font>
    <font>
      <b/>
      <sz val="14"/>
      <name val="Arial"/>
      <family val="2"/>
    </font>
    <font>
      <sz val="9"/>
      <name val="Arial"/>
      <family val="2"/>
    </font>
    <font>
      <b/>
      <sz val="9"/>
      <name val="Arial"/>
      <family val="2"/>
    </font>
    <font>
      <b/>
      <sz val="12"/>
      <name val="Arial"/>
      <family val="2"/>
    </font>
    <font>
      <b/>
      <sz val="11"/>
      <color indexed="8"/>
      <name val="Calibri"/>
      <family val="2"/>
    </font>
    <font>
      <b/>
      <sz val="10"/>
      <name val="Arial"/>
      <family val="2"/>
    </font>
    <font>
      <sz val="11"/>
      <name val="Arial"/>
      <family val="2"/>
    </font>
    <font>
      <b/>
      <sz val="11"/>
      <name val="Arial"/>
      <family val="2"/>
    </font>
    <font>
      <b/>
      <u val="single"/>
      <sz val="11"/>
      <name val="Arial"/>
      <family val="2"/>
    </font>
    <font>
      <b/>
      <u val="single"/>
      <sz val="10"/>
      <name val="Arial"/>
      <family val="2"/>
    </font>
    <font>
      <b/>
      <u val="single"/>
      <sz val="11"/>
      <color indexed="8"/>
      <name val="Calibri"/>
      <family val="2"/>
    </font>
    <font>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style="thin"/>
      <right style="thin"/>
      <top/>
      <bottom style="thin"/>
    </border>
    <border>
      <left style="thin">
        <color indexed="8"/>
      </left>
      <right/>
      <top style="thin">
        <color indexed="8"/>
      </top>
      <bottom/>
    </border>
    <border>
      <left style="thin">
        <color indexed="8"/>
      </left>
      <right/>
      <top style="thin"/>
      <bottom/>
    </border>
    <border>
      <left style="thin"/>
      <right/>
      <top style="thin"/>
      <bottom style="thin"/>
    </border>
    <border>
      <left style="thin">
        <color indexed="8"/>
      </left>
      <right/>
      <top/>
      <bottom/>
    </border>
    <border>
      <left/>
      <right/>
      <top style="thin"/>
      <bottom/>
    </border>
    <border>
      <left/>
      <right style="thin"/>
      <top/>
      <bottom style="thin"/>
    </border>
    <border>
      <left/>
      <right style="thin"/>
      <top style="thin"/>
      <bottom style="thin"/>
    </border>
    <border>
      <left/>
      <right style="thin"/>
      <top style="thin"/>
      <bottom/>
    </border>
    <border>
      <left style="thin">
        <color indexed="8"/>
      </left>
      <right/>
      <top style="thin"/>
      <bottom style="thin"/>
    </border>
    <border>
      <left style="thin">
        <color indexed="8"/>
      </left>
      <right style="thin"/>
      <top style="thin"/>
      <bottom style="thin"/>
    </border>
    <border>
      <left style="thin"/>
      <right/>
      <top/>
      <bottom style="thin"/>
    </border>
    <border>
      <left style="thin"/>
      <right/>
      <top style="thin"/>
      <bottom/>
    </border>
    <border>
      <left/>
      <right/>
      <top/>
      <bottom style="medium"/>
    </border>
    <border>
      <left/>
      <right/>
      <top/>
      <bottom style="thin"/>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4" fontId="4" fillId="22" borderId="9" applyNumberFormat="0" applyProtection="0">
      <alignment vertical="center"/>
    </xf>
    <xf numFmtId="4" fontId="5" fillId="22" borderId="9" applyNumberFormat="0" applyProtection="0">
      <alignment vertical="center"/>
    </xf>
    <xf numFmtId="4" fontId="4" fillId="22" borderId="9" applyNumberFormat="0" applyProtection="0">
      <alignment horizontal="left" vertical="center" indent="1"/>
    </xf>
    <xf numFmtId="0" fontId="4" fillId="22" borderId="9" applyNumberFormat="0" applyProtection="0">
      <alignment horizontal="left" vertical="top" indent="1"/>
    </xf>
    <xf numFmtId="4" fontId="4" fillId="24" borderId="9" applyNumberFormat="0" applyProtection="0">
      <alignment/>
    </xf>
    <xf numFmtId="4" fontId="6" fillId="3" borderId="9" applyNumberFormat="0" applyProtection="0">
      <alignment horizontal="right" vertical="center"/>
    </xf>
    <xf numFmtId="4" fontId="6" fillId="9" borderId="9" applyNumberFormat="0" applyProtection="0">
      <alignment horizontal="right" vertical="center"/>
    </xf>
    <xf numFmtId="4" fontId="6" fillId="17" borderId="9" applyNumberFormat="0" applyProtection="0">
      <alignment horizontal="right" vertical="center"/>
    </xf>
    <xf numFmtId="4" fontId="6" fillId="11" borderId="9" applyNumberFormat="0" applyProtection="0">
      <alignment horizontal="right" vertical="center"/>
    </xf>
    <xf numFmtId="4" fontId="6" fillId="15" borderId="9" applyNumberFormat="0" applyProtection="0">
      <alignment horizontal="right" vertical="center"/>
    </xf>
    <xf numFmtId="4" fontId="6" fillId="19" borderId="9" applyNumberFormat="0" applyProtection="0">
      <alignment horizontal="right" vertical="center"/>
    </xf>
    <xf numFmtId="4" fontId="6" fillId="18" borderId="9" applyNumberFormat="0" applyProtection="0">
      <alignment horizontal="right" vertical="center"/>
    </xf>
    <xf numFmtId="4" fontId="6" fillId="25" borderId="9" applyNumberFormat="0" applyProtection="0">
      <alignment horizontal="right" vertical="center"/>
    </xf>
    <xf numFmtId="4" fontId="6" fillId="10" borderId="9" applyNumberFormat="0" applyProtection="0">
      <alignment horizontal="right" vertical="center"/>
    </xf>
    <xf numFmtId="4" fontId="4" fillId="26" borderId="10" applyNumberFormat="0" applyProtection="0">
      <alignment horizontal="left" vertical="center" indent="1"/>
    </xf>
    <xf numFmtId="4" fontId="6" fillId="27" borderId="0" applyNumberFormat="0" applyProtection="0">
      <alignment horizontal="left" indent="1"/>
    </xf>
    <xf numFmtId="4" fontId="7" fillId="28" borderId="0" applyNumberFormat="0" applyProtection="0">
      <alignment horizontal="left" vertical="center" indent="1"/>
    </xf>
    <xf numFmtId="4" fontId="6" fillId="24" borderId="9" applyNumberFormat="0" applyProtection="0">
      <alignment horizontal="right" vertical="center"/>
    </xf>
    <xf numFmtId="4" fontId="11" fillId="29" borderId="0" applyNumberFormat="0" applyProtection="0">
      <alignment horizontal="left" indent="1"/>
    </xf>
    <xf numFmtId="4" fontId="10" fillId="30" borderId="0" applyNumberFormat="0" applyProtection="0">
      <alignment/>
    </xf>
    <xf numFmtId="0" fontId="0" fillId="28" borderId="9" applyNumberFormat="0" applyProtection="0">
      <alignment horizontal="left" vertical="center" indent="1"/>
    </xf>
    <xf numFmtId="0" fontId="0" fillId="28" borderId="9" applyNumberFormat="0" applyProtection="0">
      <alignment horizontal="left" vertical="top" indent="1"/>
    </xf>
    <xf numFmtId="0" fontId="0" fillId="24" borderId="9" applyNumberFormat="0" applyProtection="0">
      <alignment horizontal="left" vertical="center" indent="1"/>
    </xf>
    <xf numFmtId="0" fontId="0" fillId="24"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7" borderId="9" applyNumberFormat="0" applyProtection="0">
      <alignment horizontal="left" vertical="center" indent="1"/>
    </xf>
    <xf numFmtId="0" fontId="0" fillId="27" borderId="9" applyNumberFormat="0" applyProtection="0">
      <alignment horizontal="left" vertical="top" indent="1"/>
    </xf>
    <xf numFmtId="4" fontId="6" fillId="23" borderId="9" applyNumberFormat="0" applyProtection="0">
      <alignment vertical="center"/>
    </xf>
    <xf numFmtId="4" fontId="8" fillId="23" borderId="9" applyNumberFormat="0" applyProtection="0">
      <alignment vertical="center"/>
    </xf>
    <xf numFmtId="4" fontId="6" fillId="23" borderId="9" applyNumberFormat="0" applyProtection="0">
      <alignment horizontal="left" vertical="center" indent="1"/>
    </xf>
    <xf numFmtId="0" fontId="6" fillId="23" borderId="9" applyNumberFormat="0" applyProtection="0">
      <alignment horizontal="left" vertical="top" indent="1"/>
    </xf>
    <xf numFmtId="4" fontId="6" fillId="0" borderId="9" applyNumberFormat="0" applyProtection="0">
      <alignment horizontal="right" vertical="center"/>
    </xf>
    <xf numFmtId="4" fontId="8" fillId="27" borderId="9" applyNumberFormat="0" applyProtection="0">
      <alignment horizontal="right" vertical="center"/>
    </xf>
    <xf numFmtId="4" fontId="6" fillId="0" borderId="9" applyNumberFormat="0" applyProtection="0">
      <alignment horizontal="left" vertical="center" indent="1"/>
    </xf>
    <xf numFmtId="0" fontId="6" fillId="24" borderId="9" applyNumberFormat="0" applyProtection="0">
      <alignment horizontal="left" vertical="top"/>
    </xf>
    <xf numFmtId="4" fontId="12" fillId="31" borderId="0" applyNumberFormat="0" applyProtection="0">
      <alignment horizontal="left"/>
    </xf>
    <xf numFmtId="4" fontId="9" fillId="27" borderId="9" applyNumberFormat="0" applyProtection="0">
      <alignment horizontal="right" vertical="center"/>
    </xf>
    <xf numFmtId="0" fontId="24" fillId="0" borderId="0" applyNumberFormat="0" applyFill="0" applyBorder="0" applyAlignment="0" applyProtection="0"/>
    <xf numFmtId="0" fontId="16" fillId="0" borderId="11" applyNumberFormat="0" applyFill="0" applyAlignment="0" applyProtection="0"/>
    <xf numFmtId="0" fontId="36" fillId="0" borderId="0" applyNumberFormat="0" applyFill="0" applyBorder="0" applyAlignment="0" applyProtection="0"/>
  </cellStyleXfs>
  <cellXfs count="278">
    <xf numFmtId="0" fontId="0" fillId="0" borderId="0" xfId="0" applyAlignment="1">
      <alignment/>
    </xf>
    <xf numFmtId="0" fontId="2" fillId="0" borderId="0" xfId="0" applyFont="1" applyFill="1" applyBorder="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Fill="1" applyAlignment="1">
      <alignment/>
    </xf>
    <xf numFmtId="0" fontId="14" fillId="0" borderId="0" xfId="0" applyFont="1" applyAlignment="1">
      <alignment/>
    </xf>
    <xf numFmtId="0" fontId="14" fillId="0" borderId="0" xfId="0" applyFont="1" applyAlignment="1">
      <alignment wrapText="1"/>
    </xf>
    <xf numFmtId="164" fontId="13" fillId="0" borderId="0" xfId="42" applyNumberFormat="1" applyFont="1" applyFill="1" applyBorder="1" applyAlignment="1">
      <alignment/>
    </xf>
    <xf numFmtId="0" fontId="15" fillId="0" borderId="0" xfId="0" applyFont="1" applyFill="1" applyBorder="1" applyAlignment="1">
      <alignment/>
    </xf>
    <xf numFmtId="0" fontId="14" fillId="0" borderId="0" xfId="0" applyFont="1" applyAlignment="1">
      <alignment horizontal="right" wrapText="1"/>
    </xf>
    <xf numFmtId="0" fontId="14" fillId="0" borderId="0" xfId="0" applyFont="1" applyFill="1" applyBorder="1" applyAlignment="1">
      <alignment horizontal="right"/>
    </xf>
    <xf numFmtId="0" fontId="14" fillId="0" borderId="0" xfId="0" applyFont="1" applyFill="1" applyBorder="1" applyAlignment="1">
      <alignment/>
    </xf>
    <xf numFmtId="0" fontId="13" fillId="32" borderId="0" xfId="0" applyFont="1" applyFill="1" applyAlignment="1">
      <alignment/>
    </xf>
    <xf numFmtId="0" fontId="14" fillId="0" borderId="0" xfId="0" applyFont="1" applyBorder="1" applyAlignment="1">
      <alignment horizontal="right" wrapText="1"/>
    </xf>
    <xf numFmtId="165" fontId="13" fillId="0" borderId="12" xfId="69" applyNumberFormat="1" applyFont="1" applyBorder="1" applyAlignment="1">
      <alignment/>
    </xf>
    <xf numFmtId="165" fontId="13" fillId="32" borderId="12" xfId="69" applyNumberFormat="1" applyFont="1" applyFill="1" applyBorder="1" applyAlignment="1">
      <alignment/>
    </xf>
    <xf numFmtId="165" fontId="13" fillId="0" borderId="13" xfId="69" applyNumberFormat="1" applyFont="1" applyBorder="1" applyAlignment="1">
      <alignment/>
    </xf>
    <xf numFmtId="0" fontId="14" fillId="0" borderId="14" xfId="0" applyFont="1" applyBorder="1" applyAlignment="1">
      <alignment/>
    </xf>
    <xf numFmtId="165" fontId="13" fillId="0" borderId="15" xfId="69" applyNumberFormat="1" applyFont="1" applyBorder="1" applyAlignment="1">
      <alignment/>
    </xf>
    <xf numFmtId="165" fontId="14" fillId="0" borderId="14" xfId="69" applyNumberFormat="1" applyFont="1" applyBorder="1" applyAlignment="1">
      <alignment/>
    </xf>
    <xf numFmtId="0" fontId="14" fillId="0" borderId="0" xfId="0" applyFont="1" applyFill="1" applyBorder="1" applyAlignment="1">
      <alignment/>
    </xf>
    <xf numFmtId="0" fontId="13" fillId="0" borderId="16" xfId="63" applyNumberFormat="1" applyFont="1" applyBorder="1">
      <alignment/>
      <protection/>
    </xf>
    <xf numFmtId="0" fontId="13" fillId="0" borderId="16" xfId="63" applyFont="1" applyBorder="1">
      <alignment/>
      <protection/>
    </xf>
    <xf numFmtId="0" fontId="13" fillId="0" borderId="12" xfId="63" applyNumberFormat="1" applyFont="1" applyBorder="1">
      <alignment/>
      <protection/>
    </xf>
    <xf numFmtId="0" fontId="13" fillId="0" borderId="12" xfId="63" applyFont="1" applyBorder="1">
      <alignment/>
      <protection/>
    </xf>
    <xf numFmtId="164" fontId="13" fillId="0" borderId="12" xfId="42" applyNumberFormat="1" applyFont="1" applyBorder="1" applyAlignment="1">
      <alignment/>
    </xf>
    <xf numFmtId="0" fontId="13" fillId="0" borderId="12" xfId="64" applyNumberFormat="1" applyFont="1" applyBorder="1">
      <alignment/>
      <protection/>
    </xf>
    <xf numFmtId="0" fontId="13" fillId="0" borderId="17" xfId="63" applyFont="1" applyBorder="1">
      <alignment/>
      <protection/>
    </xf>
    <xf numFmtId="0" fontId="13" fillId="0" borderId="12" xfId="64" applyFont="1" applyBorder="1">
      <alignment/>
      <protection/>
    </xf>
    <xf numFmtId="0" fontId="13" fillId="0" borderId="13" xfId="63" applyNumberFormat="1" applyFont="1" applyBorder="1">
      <alignment/>
      <protection/>
    </xf>
    <xf numFmtId="0" fontId="13" fillId="0" borderId="13" xfId="63" applyFont="1" applyBorder="1">
      <alignment/>
      <protection/>
    </xf>
    <xf numFmtId="164" fontId="13" fillId="0" borderId="13" xfId="42" applyNumberFormat="1" applyFont="1" applyBorder="1" applyAlignment="1">
      <alignment/>
    </xf>
    <xf numFmtId="0" fontId="13" fillId="0" borderId="13" xfId="64" applyFont="1" applyBorder="1">
      <alignment/>
      <protection/>
    </xf>
    <xf numFmtId="0" fontId="14" fillId="0" borderId="18" xfId="63" applyFont="1" applyBorder="1">
      <alignment/>
      <protection/>
    </xf>
    <xf numFmtId="0" fontId="14" fillId="0" borderId="14" xfId="63" applyFont="1" applyBorder="1">
      <alignment/>
      <protection/>
    </xf>
    <xf numFmtId="164" fontId="14" fillId="0" borderId="14" xfId="42" applyNumberFormat="1" applyFont="1" applyBorder="1" applyAlignment="1">
      <alignment/>
    </xf>
    <xf numFmtId="0" fontId="14" fillId="0" borderId="14" xfId="64" applyFont="1" applyBorder="1">
      <alignment/>
      <protection/>
    </xf>
    <xf numFmtId="0" fontId="13" fillId="0" borderId="19" xfId="62" applyNumberFormat="1" applyFont="1" applyBorder="1">
      <alignment/>
      <protection/>
    </xf>
    <xf numFmtId="0" fontId="13" fillId="0" borderId="19" xfId="62" applyFont="1" applyBorder="1">
      <alignment/>
      <protection/>
    </xf>
    <xf numFmtId="0" fontId="13" fillId="0" borderId="15" xfId="62" applyNumberFormat="1" applyFont="1" applyBorder="1">
      <alignment/>
      <protection/>
    </xf>
    <xf numFmtId="0" fontId="13" fillId="0" borderId="15" xfId="62" applyFont="1" applyBorder="1">
      <alignment/>
      <protection/>
    </xf>
    <xf numFmtId="164" fontId="13" fillId="0" borderId="15" xfId="42" applyNumberFormat="1" applyFont="1" applyBorder="1" applyAlignment="1">
      <alignment/>
    </xf>
    <xf numFmtId="0" fontId="13" fillId="0" borderId="15" xfId="65" applyNumberFormat="1" applyFont="1" applyBorder="1">
      <alignment/>
      <protection/>
    </xf>
    <xf numFmtId="0" fontId="13" fillId="0" borderId="17" xfId="62" applyFont="1" applyBorder="1">
      <alignment/>
      <protection/>
    </xf>
    <xf numFmtId="0" fontId="13" fillId="0" borderId="16" xfId="62" applyFont="1" applyBorder="1">
      <alignment/>
      <protection/>
    </xf>
    <xf numFmtId="0" fontId="13" fillId="0" borderId="12" xfId="62" applyNumberFormat="1" applyFont="1" applyBorder="1">
      <alignment/>
      <protection/>
    </xf>
    <xf numFmtId="0" fontId="13" fillId="0" borderId="12" xfId="62" applyFont="1" applyBorder="1">
      <alignment/>
      <protection/>
    </xf>
    <xf numFmtId="0" fontId="13" fillId="0" borderId="12" xfId="65" applyFont="1" applyBorder="1">
      <alignment/>
      <protection/>
    </xf>
    <xf numFmtId="0" fontId="13" fillId="32" borderId="17" xfId="62" applyFont="1" applyFill="1" applyBorder="1">
      <alignment/>
      <protection/>
    </xf>
    <xf numFmtId="0" fontId="13" fillId="32" borderId="12" xfId="62" applyNumberFormat="1" applyFont="1" applyFill="1" applyBorder="1">
      <alignment/>
      <protection/>
    </xf>
    <xf numFmtId="0" fontId="13" fillId="32" borderId="12" xfId="62" applyFont="1" applyFill="1" applyBorder="1">
      <alignment/>
      <protection/>
    </xf>
    <xf numFmtId="164" fontId="13" fillId="32" borderId="12" xfId="42" applyNumberFormat="1" applyFont="1" applyFill="1" applyBorder="1" applyAlignment="1">
      <alignment/>
    </xf>
    <xf numFmtId="0" fontId="13" fillId="32" borderId="12" xfId="65" applyFont="1" applyFill="1" applyBorder="1">
      <alignment/>
      <protection/>
    </xf>
    <xf numFmtId="0" fontId="13" fillId="0" borderId="12" xfId="65" applyFont="1" applyFill="1" applyBorder="1">
      <alignment/>
      <protection/>
    </xf>
    <xf numFmtId="164" fontId="13" fillId="0" borderId="12" xfId="42" applyNumberFormat="1" applyFont="1" applyFill="1" applyBorder="1" applyAlignment="1">
      <alignment/>
    </xf>
    <xf numFmtId="0" fontId="13" fillId="0" borderId="13" xfId="62" applyNumberFormat="1" applyFont="1" applyBorder="1">
      <alignment/>
      <protection/>
    </xf>
    <xf numFmtId="0" fontId="13" fillId="0" borderId="13" xfId="62" applyFont="1" applyBorder="1">
      <alignment/>
      <protection/>
    </xf>
    <xf numFmtId="0" fontId="13" fillId="0" borderId="13" xfId="65" applyFont="1" applyBorder="1">
      <alignment/>
      <protection/>
    </xf>
    <xf numFmtId="0" fontId="14" fillId="0" borderId="18" xfId="62" applyFont="1" applyBorder="1">
      <alignment/>
      <protection/>
    </xf>
    <xf numFmtId="0" fontId="13" fillId="0" borderId="14" xfId="65" applyFont="1" applyBorder="1">
      <alignment/>
      <protection/>
    </xf>
    <xf numFmtId="164" fontId="14" fillId="0" borderId="12" xfId="42" applyNumberFormat="1" applyFont="1" applyBorder="1" applyAlignment="1">
      <alignment/>
    </xf>
    <xf numFmtId="164" fontId="13" fillId="0" borderId="0" xfId="42" applyNumberFormat="1" applyFont="1" applyAlignment="1">
      <alignment/>
    </xf>
    <xf numFmtId="0" fontId="13" fillId="0" borderId="12" xfId="0" applyFont="1" applyBorder="1" applyAlignment="1">
      <alignment/>
    </xf>
    <xf numFmtId="166" fontId="13" fillId="0" borderId="12" xfId="69" applyNumberFormat="1" applyFont="1" applyBorder="1" applyAlignment="1">
      <alignment/>
    </xf>
    <xf numFmtId="166" fontId="13" fillId="32" borderId="12" xfId="69" applyNumberFormat="1" applyFont="1" applyFill="1" applyBorder="1" applyAlignment="1">
      <alignment/>
    </xf>
    <xf numFmtId="0" fontId="13" fillId="0" borderId="13" xfId="0" applyFont="1" applyBorder="1" applyAlignment="1">
      <alignment/>
    </xf>
    <xf numFmtId="0" fontId="13" fillId="0" borderId="15" xfId="0" applyFont="1" applyBorder="1" applyAlignment="1">
      <alignment/>
    </xf>
    <xf numFmtId="0" fontId="14" fillId="0" borderId="14" xfId="62" applyFont="1" applyBorder="1">
      <alignment/>
      <protection/>
    </xf>
    <xf numFmtId="17" fontId="14" fillId="0" borderId="0" xfId="0" applyNumberFormat="1" applyFont="1" applyAlignment="1">
      <alignment horizontal="right" wrapText="1"/>
    </xf>
    <xf numFmtId="17" fontId="14" fillId="0" borderId="0" xfId="0" applyNumberFormat="1" applyFont="1" applyAlignment="1" quotePrefix="1">
      <alignment horizontal="right" wrapText="1"/>
    </xf>
    <xf numFmtId="0" fontId="13" fillId="0" borderId="19" xfId="63" applyFont="1" applyBorder="1">
      <alignment/>
      <protection/>
    </xf>
    <xf numFmtId="0" fontId="13" fillId="0" borderId="19" xfId="63" applyNumberFormat="1" applyFont="1" applyBorder="1">
      <alignment/>
      <protection/>
    </xf>
    <xf numFmtId="0" fontId="13" fillId="0" borderId="0" xfId="63" applyFont="1" applyBorder="1">
      <alignment/>
      <protection/>
    </xf>
    <xf numFmtId="165" fontId="13" fillId="0" borderId="20" xfId="69" applyNumberFormat="1" applyFont="1" applyBorder="1" applyAlignment="1">
      <alignment/>
    </xf>
    <xf numFmtId="0" fontId="13" fillId="0" borderId="20" xfId="63" applyNumberFormat="1" applyFont="1" applyBorder="1">
      <alignment/>
      <protection/>
    </xf>
    <xf numFmtId="0" fontId="13" fillId="0" borderId="20" xfId="63" applyFont="1" applyBorder="1">
      <alignment/>
      <protection/>
    </xf>
    <xf numFmtId="164" fontId="13" fillId="0" borderId="20" xfId="42" applyNumberFormat="1" applyFont="1" applyBorder="1" applyAlignment="1">
      <alignment/>
    </xf>
    <xf numFmtId="0" fontId="13" fillId="0" borderId="20" xfId="64" applyFont="1" applyBorder="1">
      <alignment/>
      <protection/>
    </xf>
    <xf numFmtId="0" fontId="13" fillId="0" borderId="20" xfId="0" applyFont="1" applyBorder="1" applyAlignment="1">
      <alignment/>
    </xf>
    <xf numFmtId="164" fontId="13" fillId="0" borderId="14" xfId="42" applyNumberFormat="1" applyFont="1" applyBorder="1" applyAlignment="1">
      <alignment/>
    </xf>
    <xf numFmtId="164" fontId="13" fillId="21" borderId="12" xfId="42" applyNumberFormat="1" applyFont="1" applyFill="1" applyBorder="1" applyAlignment="1">
      <alignment/>
    </xf>
    <xf numFmtId="0" fontId="13" fillId="0" borderId="0" xfId="62" applyFont="1" applyBorder="1">
      <alignment/>
      <protection/>
    </xf>
    <xf numFmtId="0" fontId="13" fillId="0" borderId="20" xfId="62" applyNumberFormat="1" applyFont="1" applyBorder="1">
      <alignment/>
      <protection/>
    </xf>
    <xf numFmtId="0" fontId="13" fillId="0" borderId="20" xfId="62" applyFont="1" applyBorder="1">
      <alignment/>
      <protection/>
    </xf>
    <xf numFmtId="0" fontId="13" fillId="0" borderId="20" xfId="65" applyFont="1" applyBorder="1">
      <alignment/>
      <protection/>
    </xf>
    <xf numFmtId="0" fontId="13" fillId="0" borderId="17" xfId="62" applyFont="1" applyFill="1" applyBorder="1">
      <alignment/>
      <protection/>
    </xf>
    <xf numFmtId="0" fontId="13" fillId="0" borderId="19" xfId="62" applyFont="1" applyFill="1" applyBorder="1">
      <alignment/>
      <protection/>
    </xf>
    <xf numFmtId="165" fontId="13" fillId="0" borderId="12" xfId="69" applyNumberFormat="1" applyFont="1" applyFill="1" applyBorder="1" applyAlignment="1">
      <alignment/>
    </xf>
    <xf numFmtId="0" fontId="13" fillId="0" borderId="12" xfId="62" applyNumberFormat="1" applyFont="1" applyFill="1" applyBorder="1">
      <alignment/>
      <protection/>
    </xf>
    <xf numFmtId="0" fontId="13" fillId="0" borderId="12" xfId="62" applyFont="1" applyFill="1" applyBorder="1">
      <alignment/>
      <protection/>
    </xf>
    <xf numFmtId="0" fontId="13" fillId="0" borderId="12" xfId="0" applyFont="1" applyFill="1" applyBorder="1" applyAlignment="1">
      <alignment/>
    </xf>
    <xf numFmtId="166" fontId="13" fillId="0" borderId="12" xfId="69" applyNumberFormat="1" applyFont="1" applyFill="1" applyBorder="1" applyAlignment="1">
      <alignment/>
    </xf>
    <xf numFmtId="164" fontId="13" fillId="0" borderId="21" xfId="42" applyNumberFormat="1" applyFont="1" applyBorder="1" applyAlignment="1">
      <alignment/>
    </xf>
    <xf numFmtId="164" fontId="13" fillId="0" borderId="22" xfId="42" applyNumberFormat="1" applyFont="1" applyBorder="1" applyAlignment="1">
      <alignment/>
    </xf>
    <xf numFmtId="164" fontId="13" fillId="0" borderId="22" xfId="42" applyNumberFormat="1" applyFont="1" applyFill="1" applyBorder="1" applyAlignment="1">
      <alignment/>
    </xf>
    <xf numFmtId="164" fontId="13" fillId="0" borderId="23" xfId="42" applyNumberFormat="1" applyFont="1" applyBorder="1" applyAlignment="1">
      <alignment/>
    </xf>
    <xf numFmtId="164" fontId="14" fillId="0" borderId="0" xfId="42" applyNumberFormat="1" applyFont="1" applyFill="1" applyBorder="1" applyAlignment="1">
      <alignment/>
    </xf>
    <xf numFmtId="164" fontId="14" fillId="0" borderId="0" xfId="42" applyNumberFormat="1" applyFont="1" applyAlignment="1">
      <alignment horizontal="right" wrapText="1"/>
    </xf>
    <xf numFmtId="164" fontId="14" fillId="32" borderId="12" xfId="42" applyNumberFormat="1" applyFont="1" applyFill="1" applyBorder="1" applyAlignment="1">
      <alignment/>
    </xf>
    <xf numFmtId="0" fontId="3" fillId="0" borderId="0" xfId="0" applyFont="1" applyFill="1" applyBorder="1" applyAlignment="1">
      <alignment/>
    </xf>
    <xf numFmtId="0" fontId="2" fillId="0" borderId="0" xfId="0" applyFont="1" applyAlignment="1">
      <alignment/>
    </xf>
    <xf numFmtId="166" fontId="13" fillId="0" borderId="13" xfId="69" applyNumberFormat="1" applyFont="1" applyFill="1" applyBorder="1" applyAlignment="1">
      <alignment/>
    </xf>
    <xf numFmtId="166" fontId="13" fillId="0" borderId="20" xfId="69" applyNumberFormat="1" applyFont="1" applyFill="1" applyBorder="1" applyAlignment="1">
      <alignment/>
    </xf>
    <xf numFmtId="166" fontId="13" fillId="0" borderId="15" xfId="69" applyNumberFormat="1" applyFont="1" applyFill="1" applyBorder="1" applyAlignment="1">
      <alignment/>
    </xf>
    <xf numFmtId="0" fontId="14" fillId="0" borderId="0" xfId="0" applyFont="1" applyAlignment="1">
      <alignment horizontal="center" wrapText="1"/>
    </xf>
    <xf numFmtId="0" fontId="14" fillId="0" borderId="0" xfId="0" applyFont="1" applyFill="1" applyAlignment="1">
      <alignment wrapText="1"/>
    </xf>
    <xf numFmtId="0" fontId="14" fillId="0" borderId="0" xfId="0" applyFont="1" applyFill="1" applyAlignment="1">
      <alignment/>
    </xf>
    <xf numFmtId="0" fontId="13" fillId="0" borderId="16" xfId="62" applyFont="1" applyFill="1" applyBorder="1">
      <alignment/>
      <protection/>
    </xf>
    <xf numFmtId="165" fontId="13" fillId="0" borderId="22" xfId="69" applyNumberFormat="1" applyFont="1" applyBorder="1" applyAlignment="1">
      <alignment/>
    </xf>
    <xf numFmtId="0" fontId="13" fillId="0" borderId="15" xfId="63" applyFont="1" applyBorder="1">
      <alignment/>
      <protection/>
    </xf>
    <xf numFmtId="0" fontId="13" fillId="0" borderId="24" xfId="63" applyFont="1" applyBorder="1">
      <alignment/>
      <protection/>
    </xf>
    <xf numFmtId="0" fontId="13" fillId="0" borderId="25" xfId="63" applyFont="1" applyBorder="1">
      <alignment/>
      <protection/>
    </xf>
    <xf numFmtId="0" fontId="13" fillId="0" borderId="24" xfId="62" applyFont="1" applyBorder="1">
      <alignment/>
      <protection/>
    </xf>
    <xf numFmtId="0" fontId="13" fillId="0" borderId="25" xfId="62" applyFont="1" applyBorder="1">
      <alignment/>
      <protection/>
    </xf>
    <xf numFmtId="166" fontId="13" fillId="0" borderId="26" xfId="69" applyNumberFormat="1" applyFont="1" applyFill="1" applyBorder="1" applyAlignment="1">
      <alignment/>
    </xf>
    <xf numFmtId="166" fontId="13" fillId="0" borderId="18" xfId="69" applyNumberFormat="1" applyFont="1" applyFill="1" applyBorder="1" applyAlignment="1">
      <alignment/>
    </xf>
    <xf numFmtId="166" fontId="13" fillId="0" borderId="27" xfId="69" applyNumberFormat="1" applyFont="1" applyFill="1" applyBorder="1" applyAlignment="1">
      <alignment/>
    </xf>
    <xf numFmtId="164" fontId="13" fillId="32" borderId="0" xfId="42" applyNumberFormat="1" applyFont="1" applyFill="1" applyBorder="1" applyAlignment="1">
      <alignment/>
    </xf>
    <xf numFmtId="164" fontId="13" fillId="0" borderId="0" xfId="0" applyNumberFormat="1" applyFont="1" applyAlignment="1">
      <alignment/>
    </xf>
    <xf numFmtId="164" fontId="13" fillId="0" borderId="28" xfId="0" applyNumberFormat="1" applyFont="1" applyBorder="1" applyAlignment="1">
      <alignment/>
    </xf>
    <xf numFmtId="10" fontId="13" fillId="0" borderId="0" xfId="69" applyNumberFormat="1" applyFont="1" applyAlignment="1">
      <alignment/>
    </xf>
    <xf numFmtId="10" fontId="13" fillId="0" borderId="28" xfId="69" applyNumberFormat="1" applyFont="1" applyBorder="1" applyAlignment="1">
      <alignment/>
    </xf>
    <xf numFmtId="164" fontId="13" fillId="0" borderId="28" xfId="42" applyNumberFormat="1" applyFont="1" applyBorder="1" applyAlignment="1">
      <alignment/>
    </xf>
    <xf numFmtId="0" fontId="14" fillId="0" borderId="28" xfId="0" applyFont="1" applyBorder="1" applyAlignment="1">
      <alignment horizontal="center"/>
    </xf>
    <xf numFmtId="164" fontId="13" fillId="0" borderId="0" xfId="0" applyNumberFormat="1" applyFont="1" applyFill="1" applyAlignment="1">
      <alignment/>
    </xf>
    <xf numFmtId="164" fontId="13" fillId="0" borderId="0" xfId="42" applyNumberFormat="1" applyFont="1" applyBorder="1" applyAlignment="1">
      <alignment/>
    </xf>
    <xf numFmtId="164" fontId="14" fillId="0" borderId="0" xfId="42" applyNumberFormat="1" applyFont="1" applyBorder="1" applyAlignment="1">
      <alignment/>
    </xf>
    <xf numFmtId="0" fontId="14" fillId="0" borderId="0" xfId="0" applyFont="1" applyBorder="1" applyAlignment="1">
      <alignment horizontal="center"/>
    </xf>
    <xf numFmtId="10" fontId="13" fillId="0" borderId="0" xfId="69" applyNumberFormat="1" applyFont="1" applyBorder="1" applyAlignment="1">
      <alignment/>
    </xf>
    <xf numFmtId="164" fontId="13" fillId="0" borderId="0" xfId="42" applyNumberFormat="1" applyFont="1" applyFill="1" applyAlignment="1">
      <alignment/>
    </xf>
    <xf numFmtId="0" fontId="0" fillId="0" borderId="0" xfId="0" applyFont="1" applyAlignment="1">
      <alignment horizontal="center"/>
    </xf>
    <xf numFmtId="167" fontId="0" fillId="0" borderId="0" xfId="0" applyNumberFormat="1" applyFont="1" applyAlignment="1">
      <alignment/>
    </xf>
    <xf numFmtId="0" fontId="0" fillId="0" borderId="0" xfId="0" applyFont="1" applyFill="1" applyBorder="1" applyAlignment="1">
      <alignment/>
    </xf>
    <xf numFmtId="0" fontId="17" fillId="0" borderId="0" xfId="0" applyFont="1" applyFill="1" applyBorder="1" applyAlignment="1">
      <alignment/>
    </xf>
    <xf numFmtId="0" fontId="0" fillId="0" borderId="0" xfId="58" applyFont="1">
      <alignment/>
      <protection/>
    </xf>
    <xf numFmtId="0" fontId="0" fillId="0" borderId="0" xfId="58" applyNumberFormat="1" applyFont="1" applyAlignment="1">
      <alignment horizontal="center"/>
      <protection/>
    </xf>
    <xf numFmtId="164" fontId="0" fillId="0" borderId="0" xfId="42" applyNumberFormat="1" applyFont="1" applyAlignment="1">
      <alignment horizontal="right"/>
    </xf>
    <xf numFmtId="165" fontId="0" fillId="0" borderId="0" xfId="69" applyNumberFormat="1" applyFont="1" applyFill="1" applyBorder="1" applyAlignment="1">
      <alignment horizontal="right"/>
    </xf>
    <xf numFmtId="164"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0" fillId="0" borderId="0" xfId="59" applyFont="1">
      <alignment/>
      <protection/>
    </xf>
    <xf numFmtId="0" fontId="0" fillId="0" borderId="0" xfId="59" applyNumberFormat="1" applyFont="1" applyAlignment="1">
      <alignment horizontal="center"/>
      <protection/>
    </xf>
    <xf numFmtId="0" fontId="0" fillId="0" borderId="0" xfId="60" applyFont="1">
      <alignment/>
      <protection/>
    </xf>
    <xf numFmtId="0" fontId="0" fillId="0" borderId="0" xfId="60" applyNumberFormat="1" applyFont="1" applyAlignment="1">
      <alignment horizontal="center"/>
      <protection/>
    </xf>
    <xf numFmtId="164" fontId="0" fillId="0" borderId="28" xfId="42" applyNumberFormat="1" applyFont="1" applyBorder="1" applyAlignment="1">
      <alignment horizontal="right"/>
    </xf>
    <xf numFmtId="164" fontId="0" fillId="0" borderId="28" xfId="42" applyNumberFormat="1" applyFont="1" applyFill="1" applyBorder="1" applyAlignment="1">
      <alignment horizontal="right"/>
    </xf>
    <xf numFmtId="165" fontId="0" fillId="0" borderId="28" xfId="69" applyNumberFormat="1" applyFont="1" applyFill="1" applyBorder="1" applyAlignment="1">
      <alignment horizontal="right"/>
    </xf>
    <xf numFmtId="164" fontId="14" fillId="0" borderId="14" xfId="42" applyNumberFormat="1" applyFont="1" applyFill="1" applyBorder="1" applyAlignment="1">
      <alignment/>
    </xf>
    <xf numFmtId="164" fontId="14" fillId="0" borderId="14" xfId="0" applyNumberFormat="1" applyFont="1" applyFill="1" applyBorder="1" applyAlignment="1">
      <alignment/>
    </xf>
    <xf numFmtId="164" fontId="13" fillId="33" borderId="0" xfId="0" applyNumberFormat="1" applyFont="1" applyFill="1" applyAlignment="1">
      <alignment/>
    </xf>
    <xf numFmtId="164" fontId="13" fillId="33" borderId="0" xfId="42" applyNumberFormat="1" applyFont="1" applyFill="1" applyAlignment="1">
      <alignment/>
    </xf>
    <xf numFmtId="0" fontId="0" fillId="0" borderId="0" xfId="0" applyNumberFormat="1" applyFont="1" applyFill="1" applyBorder="1" applyAlignment="1">
      <alignment horizontal="center"/>
    </xf>
    <xf numFmtId="49" fontId="19" fillId="0" borderId="0" xfId="61" applyNumberFormat="1" applyFont="1" applyBorder="1">
      <alignment/>
      <protection/>
    </xf>
    <xf numFmtId="49" fontId="18" fillId="0" borderId="0" xfId="66" applyNumberFormat="1" applyFont="1">
      <alignment/>
      <protection/>
    </xf>
    <xf numFmtId="0" fontId="18" fillId="0" borderId="0" xfId="66" applyFont="1">
      <alignment/>
      <protection/>
    </xf>
    <xf numFmtId="43" fontId="18" fillId="0" borderId="0" xfId="44" applyFont="1" applyAlignment="1">
      <alignment/>
    </xf>
    <xf numFmtId="49" fontId="19" fillId="0" borderId="0" xfId="66" applyNumberFormat="1" applyFont="1">
      <alignment/>
      <protection/>
    </xf>
    <xf numFmtId="0" fontId="18" fillId="0" borderId="0" xfId="66" applyFont="1" applyAlignment="1">
      <alignment horizontal="center"/>
      <protection/>
    </xf>
    <xf numFmtId="165" fontId="18" fillId="0" borderId="0" xfId="66" applyNumberFormat="1" applyFont="1">
      <alignment/>
      <protection/>
    </xf>
    <xf numFmtId="43" fontId="18" fillId="0" borderId="0" xfId="66" applyNumberFormat="1" applyFont="1">
      <alignment/>
      <protection/>
    </xf>
    <xf numFmtId="10" fontId="18" fillId="0" borderId="0" xfId="69" applyNumberFormat="1" applyFont="1" applyAlignment="1">
      <alignment/>
    </xf>
    <xf numFmtId="49" fontId="20" fillId="0" borderId="0" xfId="66" applyNumberFormat="1" applyFont="1">
      <alignment/>
      <protection/>
    </xf>
    <xf numFmtId="49" fontId="18" fillId="0" borderId="29" xfId="66" applyNumberFormat="1" applyFont="1" applyBorder="1">
      <alignment/>
      <protection/>
    </xf>
    <xf numFmtId="0" fontId="18" fillId="0" borderId="29" xfId="66" applyFont="1" applyBorder="1">
      <alignment/>
      <protection/>
    </xf>
    <xf numFmtId="43" fontId="18" fillId="0" borderId="29" xfId="44" applyFont="1" applyBorder="1" applyAlignment="1">
      <alignment horizontal="center"/>
    </xf>
    <xf numFmtId="0" fontId="18" fillId="0" borderId="29" xfId="66" applyFont="1" applyBorder="1" applyAlignment="1">
      <alignment horizontal="center"/>
      <protection/>
    </xf>
    <xf numFmtId="165" fontId="18" fillId="0" borderId="29" xfId="66" applyNumberFormat="1" applyFont="1" applyBorder="1">
      <alignment/>
      <protection/>
    </xf>
    <xf numFmtId="164" fontId="18" fillId="0" borderId="0" xfId="42" applyNumberFormat="1" applyFont="1" applyAlignment="1">
      <alignment/>
    </xf>
    <xf numFmtId="164" fontId="18" fillId="0" borderId="29" xfId="42" applyNumberFormat="1" applyFont="1" applyBorder="1" applyAlignment="1">
      <alignment/>
    </xf>
    <xf numFmtId="49" fontId="20" fillId="0" borderId="0" xfId="66" applyNumberFormat="1" applyFont="1" applyBorder="1">
      <alignment/>
      <protection/>
    </xf>
    <xf numFmtId="0" fontId="1" fillId="0" borderId="0" xfId="57">
      <alignment/>
      <protection/>
    </xf>
    <xf numFmtId="43" fontId="1" fillId="0" borderId="0" xfId="57" applyNumberFormat="1">
      <alignment/>
      <protection/>
    </xf>
    <xf numFmtId="17" fontId="1" fillId="0" borderId="0" xfId="57" applyNumberFormat="1">
      <alignment/>
      <protection/>
    </xf>
    <xf numFmtId="43" fontId="1" fillId="0" borderId="0" xfId="57" applyNumberFormat="1" applyBorder="1">
      <alignment/>
      <protection/>
    </xf>
    <xf numFmtId="2" fontId="1" fillId="0" borderId="0" xfId="57" applyNumberFormat="1" applyAlignment="1">
      <alignment horizontal="left"/>
      <protection/>
    </xf>
    <xf numFmtId="164" fontId="1" fillId="0" borderId="0" xfId="57" applyNumberFormat="1">
      <alignment/>
      <protection/>
    </xf>
    <xf numFmtId="164" fontId="0" fillId="0" borderId="0" xfId="45" applyNumberFormat="1" applyFont="1" applyAlignment="1">
      <alignment/>
    </xf>
    <xf numFmtId="10" fontId="0" fillId="0" borderId="0" xfId="70" applyNumberFormat="1" applyFont="1" applyAlignment="1">
      <alignment/>
    </xf>
    <xf numFmtId="166" fontId="0" fillId="0" borderId="0" xfId="70" applyNumberFormat="1" applyFont="1" applyAlignment="1">
      <alignment/>
    </xf>
    <xf numFmtId="17" fontId="1" fillId="0" borderId="29" xfId="57" applyNumberFormat="1" applyBorder="1">
      <alignment/>
      <protection/>
    </xf>
    <xf numFmtId="0" fontId="1" fillId="0" borderId="29" xfId="57" applyBorder="1">
      <alignment/>
      <protection/>
    </xf>
    <xf numFmtId="164" fontId="0" fillId="0" borderId="0" xfId="45" applyNumberFormat="1" applyFont="1" applyAlignment="1">
      <alignment/>
    </xf>
    <xf numFmtId="0" fontId="1" fillId="0" borderId="0" xfId="57" applyBorder="1">
      <alignment/>
      <protection/>
    </xf>
    <xf numFmtId="164" fontId="1" fillId="0" borderId="0" xfId="57" applyNumberFormat="1" applyBorder="1">
      <alignment/>
      <protection/>
    </xf>
    <xf numFmtId="164" fontId="0" fillId="0" borderId="0" xfId="45" applyNumberFormat="1" applyFont="1" applyBorder="1" applyAlignment="1">
      <alignment/>
    </xf>
    <xf numFmtId="0" fontId="16" fillId="0" borderId="0" xfId="57" applyFont="1" applyAlignment="1">
      <alignment horizontal="center"/>
      <protection/>
    </xf>
    <xf numFmtId="164" fontId="0" fillId="0" borderId="0" xfId="45" applyNumberFormat="1" applyFont="1" applyBorder="1" applyAlignment="1">
      <alignment horizontal="right"/>
    </xf>
    <xf numFmtId="10" fontId="0" fillId="0" borderId="0" xfId="70" applyNumberFormat="1" applyFont="1" applyBorder="1" applyAlignment="1">
      <alignment/>
    </xf>
    <xf numFmtId="0" fontId="1" fillId="0" borderId="0" xfId="57" applyBorder="1" applyAlignment="1">
      <alignment horizontal="right"/>
      <protection/>
    </xf>
    <xf numFmtId="0" fontId="16" fillId="0" borderId="29" xfId="57" applyFont="1" applyBorder="1" applyAlignment="1">
      <alignment horizontal="center"/>
      <protection/>
    </xf>
    <xf numFmtId="164" fontId="17" fillId="0" borderId="29" xfId="45" applyNumberFormat="1" applyFont="1" applyBorder="1" applyAlignment="1">
      <alignment horizontal="center"/>
    </xf>
    <xf numFmtId="0" fontId="18" fillId="0" borderId="0" xfId="66" applyFont="1" applyBorder="1">
      <alignment/>
      <protection/>
    </xf>
    <xf numFmtId="49" fontId="18" fillId="0" borderId="0" xfId="66" applyNumberFormat="1" applyFont="1" applyBorder="1">
      <alignment/>
      <protection/>
    </xf>
    <xf numFmtId="43" fontId="18" fillId="0" borderId="0" xfId="44" applyFont="1" applyBorder="1" applyAlignment="1">
      <alignment/>
    </xf>
    <xf numFmtId="164" fontId="18" fillId="0" borderId="0" xfId="44" applyNumberFormat="1" applyFont="1" applyBorder="1" applyAlignment="1">
      <alignment/>
    </xf>
    <xf numFmtId="168" fontId="18" fillId="0" borderId="0" xfId="44" applyNumberFormat="1" applyFont="1" applyAlignment="1">
      <alignment horizontal="center"/>
    </xf>
    <xf numFmtId="17" fontId="16" fillId="0" borderId="29" xfId="57" applyNumberFormat="1" applyFont="1" applyBorder="1">
      <alignment/>
      <protection/>
    </xf>
    <xf numFmtId="164" fontId="1" fillId="0" borderId="0" xfId="42" applyNumberFormat="1" applyFont="1" applyAlignment="1">
      <alignment/>
    </xf>
    <xf numFmtId="164" fontId="1" fillId="0" borderId="0" xfId="42" applyNumberFormat="1" applyFont="1" applyBorder="1" applyAlignment="1">
      <alignment/>
    </xf>
    <xf numFmtId="164" fontId="1" fillId="0" borderId="0" xfId="42" applyNumberFormat="1" applyFont="1" applyBorder="1" applyAlignment="1">
      <alignment horizontal="right"/>
    </xf>
    <xf numFmtId="164" fontId="0" fillId="0" borderId="0" xfId="42" applyNumberFormat="1" applyFont="1" applyBorder="1" applyAlignment="1">
      <alignment/>
    </xf>
    <xf numFmtId="10" fontId="18" fillId="0" borderId="29" xfId="69" applyNumberFormat="1" applyFont="1" applyBorder="1" applyAlignment="1">
      <alignment/>
    </xf>
    <xf numFmtId="164" fontId="18" fillId="0" borderId="0" xfId="66" applyNumberFormat="1" applyFont="1">
      <alignment/>
      <protection/>
    </xf>
    <xf numFmtId="17" fontId="18" fillId="0" borderId="0" xfId="66" applyNumberFormat="1" applyFont="1" applyAlignment="1">
      <alignment horizontal="center"/>
      <protection/>
    </xf>
    <xf numFmtId="0" fontId="0" fillId="0" borderId="0" xfId="0" applyFont="1" applyFill="1" applyBorder="1" applyAlignment="1">
      <alignment horizontal="center"/>
    </xf>
    <xf numFmtId="0" fontId="0" fillId="0" borderId="28" xfId="0" applyFont="1" applyBorder="1" applyAlignment="1">
      <alignment/>
    </xf>
    <xf numFmtId="164" fontId="0" fillId="0" borderId="28" xfId="42" applyNumberFormat="1" applyFont="1" applyBorder="1" applyAlignment="1">
      <alignment horizontal="center"/>
    </xf>
    <xf numFmtId="0" fontId="0" fillId="0" borderId="28" xfId="0" applyFont="1" applyFill="1" applyBorder="1" applyAlignment="1">
      <alignment horizontal="center"/>
    </xf>
    <xf numFmtId="164" fontId="0" fillId="0" borderId="28" xfId="42" applyNumberFormat="1" applyFont="1" applyFill="1" applyBorder="1" applyAlignment="1">
      <alignment/>
    </xf>
    <xf numFmtId="164" fontId="17" fillId="0" borderId="28" xfId="42" applyNumberFormat="1" applyFont="1" applyFill="1" applyBorder="1" applyAlignment="1">
      <alignment horizontal="center" wrapText="1"/>
    </xf>
    <xf numFmtId="164" fontId="0" fillId="0" borderId="0" xfId="0" applyNumberFormat="1" applyFont="1" applyAlignment="1">
      <alignment horizontal="center"/>
    </xf>
    <xf numFmtId="164" fontId="0" fillId="0" borderId="0" xfId="0" applyNumberFormat="1" applyFont="1" applyFill="1" applyBorder="1" applyAlignment="1">
      <alignment/>
    </xf>
    <xf numFmtId="0" fontId="21" fillId="0" borderId="0" xfId="0" applyFont="1" applyFill="1" applyBorder="1" applyAlignment="1">
      <alignment/>
    </xf>
    <xf numFmtId="0" fontId="0" fillId="0" borderId="28" xfId="60" applyFont="1" applyBorder="1">
      <alignment/>
      <protection/>
    </xf>
    <xf numFmtId="0" fontId="0" fillId="0" borderId="0" xfId="58" applyFont="1" applyBorder="1">
      <alignment/>
      <protection/>
    </xf>
    <xf numFmtId="0" fontId="0" fillId="0" borderId="28" xfId="60" applyNumberFormat="1" applyFont="1" applyBorder="1" applyAlignment="1">
      <alignment horizontal="center"/>
      <protection/>
    </xf>
    <xf numFmtId="0" fontId="0" fillId="0" borderId="0" xfId="58" applyNumberFormat="1" applyFont="1" applyBorder="1" applyAlignment="1">
      <alignment horizontal="center"/>
      <protection/>
    </xf>
    <xf numFmtId="164" fontId="13" fillId="0" borderId="29" xfId="0" applyNumberFormat="1" applyFont="1" applyBorder="1" applyAlignment="1">
      <alignment/>
    </xf>
    <xf numFmtId="10" fontId="13" fillId="0" borderId="29" xfId="69" applyNumberFormat="1" applyFont="1" applyBorder="1" applyAlignment="1">
      <alignment/>
    </xf>
    <xf numFmtId="164" fontId="13" fillId="0" borderId="29" xfId="42" applyNumberFormat="1" applyFont="1" applyBorder="1" applyAlignment="1">
      <alignment/>
    </xf>
    <xf numFmtId="164" fontId="13" fillId="0" borderId="0" xfId="0" applyNumberFormat="1" applyFont="1" applyBorder="1" applyAlignment="1">
      <alignment/>
    </xf>
    <xf numFmtId="0" fontId="17" fillId="0" borderId="0" xfId="0" applyFont="1" applyFill="1" applyBorder="1" applyAlignment="1">
      <alignment horizontal="center"/>
    </xf>
    <xf numFmtId="165" fontId="17" fillId="0" borderId="0" xfId="69" applyNumberFormat="1" applyFont="1" applyFill="1" applyBorder="1" applyAlignment="1">
      <alignment horizontal="center"/>
    </xf>
    <xf numFmtId="165" fontId="0" fillId="0" borderId="0" xfId="69" applyNumberFormat="1" applyFont="1" applyFill="1" applyBorder="1" applyAlignment="1">
      <alignment/>
    </xf>
    <xf numFmtId="43" fontId="0" fillId="0" borderId="0" xfId="0" applyNumberFormat="1" applyFont="1" applyFill="1" applyBorder="1" applyAlignment="1">
      <alignment/>
    </xf>
    <xf numFmtId="164" fontId="17" fillId="0" borderId="0" xfId="42" applyNumberFormat="1" applyFont="1" applyFill="1" applyBorder="1" applyAlignment="1">
      <alignment horizontal="center"/>
    </xf>
    <xf numFmtId="0" fontId="0" fillId="0" borderId="0" xfId="0" applyAlignment="1">
      <alignment horizontal="center"/>
    </xf>
    <xf numFmtId="0" fontId="0" fillId="0" borderId="0" xfId="66" applyFont="1" applyAlignment="1">
      <alignment horizontal="center"/>
      <protection/>
    </xf>
    <xf numFmtId="17" fontId="1" fillId="0" borderId="0" xfId="57" applyNumberFormat="1" applyBorder="1">
      <alignment/>
      <protection/>
    </xf>
    <xf numFmtId="164" fontId="17" fillId="0" borderId="0" xfId="45" applyNumberFormat="1" applyFont="1" applyBorder="1" applyAlignment="1">
      <alignment horizontal="center"/>
    </xf>
    <xf numFmtId="0" fontId="0" fillId="0" borderId="28" xfId="0" applyFont="1" applyFill="1" applyBorder="1" applyAlignment="1">
      <alignment/>
    </xf>
    <xf numFmtId="0" fontId="0" fillId="0" borderId="28" xfId="0" applyBorder="1" applyAlignment="1">
      <alignment horizontal="center"/>
    </xf>
    <xf numFmtId="0" fontId="0" fillId="0" borderId="28" xfId="66" applyFont="1" applyBorder="1" applyAlignment="1">
      <alignment horizontal="center"/>
      <protection/>
    </xf>
    <xf numFmtId="165" fontId="0" fillId="0" borderId="28" xfId="69" applyNumberFormat="1" applyFont="1" applyFill="1" applyBorder="1" applyAlignment="1">
      <alignment/>
    </xf>
    <xf numFmtId="0" fontId="17" fillId="0" borderId="28" xfId="0" applyFont="1" applyFill="1" applyBorder="1" applyAlignment="1">
      <alignment/>
    </xf>
    <xf numFmtId="17" fontId="17" fillId="0" borderId="28" xfId="0" applyNumberFormat="1" applyFont="1" applyFill="1" applyBorder="1" applyAlignment="1">
      <alignment horizontal="center"/>
    </xf>
    <xf numFmtId="0" fontId="17" fillId="0" borderId="28" xfId="0" applyFont="1" applyFill="1" applyBorder="1" applyAlignment="1">
      <alignment horizontal="center"/>
    </xf>
    <xf numFmtId="165" fontId="17" fillId="0" borderId="28" xfId="69" applyNumberFormat="1" applyFont="1" applyFill="1" applyBorder="1" applyAlignment="1">
      <alignment horizontal="center"/>
    </xf>
    <xf numFmtId="0" fontId="17" fillId="0" borderId="28" xfId="0" applyNumberFormat="1" applyFont="1" applyFill="1" applyBorder="1" applyAlignment="1">
      <alignment horizontal="left" vertical="center" wrapText="1"/>
    </xf>
    <xf numFmtId="0" fontId="17" fillId="0" borderId="28" xfId="42" applyNumberFormat="1" applyFont="1" applyFill="1" applyBorder="1" applyAlignment="1">
      <alignment horizontal="center" vertical="center" wrapText="1"/>
    </xf>
    <xf numFmtId="0" fontId="17" fillId="0" borderId="0" xfId="42" applyNumberFormat="1" applyFont="1" applyFill="1" applyBorder="1" applyAlignment="1">
      <alignment vertical="center" wrapText="1"/>
    </xf>
    <xf numFmtId="0" fontId="17" fillId="0" borderId="0" xfId="0" applyNumberFormat="1" applyFont="1" applyFill="1" applyBorder="1" applyAlignment="1">
      <alignment vertical="center" wrapText="1"/>
    </xf>
    <xf numFmtId="10" fontId="0" fillId="0" borderId="0" xfId="0" applyNumberFormat="1" applyFont="1" applyFill="1" applyBorder="1" applyAlignment="1">
      <alignment/>
    </xf>
    <xf numFmtId="0" fontId="0" fillId="0" borderId="0" xfId="58" applyFont="1" applyAlignment="1">
      <alignment horizontal="center"/>
      <protection/>
    </xf>
    <xf numFmtId="0" fontId="0" fillId="0" borderId="0" xfId="58" applyFont="1" applyBorder="1" applyAlignment="1">
      <alignment horizontal="center"/>
      <protection/>
    </xf>
    <xf numFmtId="0" fontId="0" fillId="0" borderId="0" xfId="59" applyFont="1" applyAlignment="1">
      <alignment horizontal="center"/>
      <protection/>
    </xf>
    <xf numFmtId="0" fontId="0" fillId="0" borderId="0" xfId="60" applyFont="1" applyAlignment="1">
      <alignment horizontal="center"/>
      <protection/>
    </xf>
    <xf numFmtId="0" fontId="0" fillId="0" borderId="28" xfId="60" applyFont="1" applyBorder="1" applyAlignment="1">
      <alignment horizontal="center"/>
      <protection/>
    </xf>
    <xf numFmtId="164" fontId="14" fillId="0" borderId="0" xfId="42" applyNumberFormat="1" applyFont="1" applyFill="1" applyAlignment="1">
      <alignment horizontal="center" wrapText="1"/>
    </xf>
    <xf numFmtId="49" fontId="18" fillId="0" borderId="0" xfId="66" applyNumberFormat="1" applyFont="1" applyAlignment="1">
      <alignment horizontal="right"/>
      <protection/>
    </xf>
    <xf numFmtId="0" fontId="18" fillId="0" borderId="0" xfId="66" applyFont="1" applyAlignment="1">
      <alignment horizontal="right"/>
      <protection/>
    </xf>
    <xf numFmtId="0" fontId="22" fillId="0" borderId="0" xfId="57" applyFont="1">
      <alignment/>
      <protection/>
    </xf>
    <xf numFmtId="0" fontId="13" fillId="0" borderId="0" xfId="0" applyFont="1" applyBorder="1" applyAlignment="1">
      <alignment/>
    </xf>
    <xf numFmtId="0" fontId="13" fillId="0" borderId="0" xfId="0" applyFont="1" applyBorder="1" applyAlignment="1">
      <alignment horizontal="right"/>
    </xf>
    <xf numFmtId="10" fontId="13" fillId="0" borderId="0" xfId="0" applyNumberFormat="1" applyFont="1" applyBorder="1" applyAlignment="1">
      <alignment/>
    </xf>
    <xf numFmtId="49" fontId="23" fillId="0" borderId="0" xfId="66" applyNumberFormat="1" applyFont="1" applyAlignment="1">
      <alignment horizontal="right"/>
      <protection/>
    </xf>
    <xf numFmtId="0" fontId="23" fillId="0" borderId="0" xfId="66" applyFont="1" applyAlignment="1">
      <alignment horizontal="right"/>
      <protection/>
    </xf>
    <xf numFmtId="2" fontId="1" fillId="0" borderId="0" xfId="57" applyNumberFormat="1" applyFont="1" applyAlignment="1">
      <alignment horizontal="left"/>
      <protection/>
    </xf>
    <xf numFmtId="0" fontId="13" fillId="0" borderId="0" xfId="0" applyFont="1" applyBorder="1" applyAlignment="1">
      <alignment horizontal="center"/>
    </xf>
    <xf numFmtId="0" fontId="14" fillId="0" borderId="0" xfId="0" applyFont="1" applyAlignment="1">
      <alignment horizontal="center"/>
    </xf>
    <xf numFmtId="0" fontId="14" fillId="0" borderId="0" xfId="0" applyFont="1" applyFill="1" applyAlignment="1">
      <alignment horizontal="center"/>
    </xf>
    <xf numFmtId="0" fontId="0" fillId="0" borderId="2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1" xfId="0" applyFont="1" applyFill="1" applyBorder="1" applyAlignment="1">
      <alignment horizontal="left" vertical="top" wrapText="1"/>
    </xf>
    <xf numFmtId="0" fontId="14" fillId="0" borderId="32"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32" xfId="0" applyFont="1" applyFill="1" applyBorder="1" applyAlignment="1">
      <alignment horizontal="center"/>
    </xf>
    <xf numFmtId="0" fontId="14" fillId="0" borderId="34" xfId="0" applyFont="1" applyFill="1" applyBorder="1" applyAlignment="1">
      <alignment horizontal="center"/>
    </xf>
    <xf numFmtId="0" fontId="18" fillId="0" borderId="32" xfId="66" applyFont="1" applyBorder="1" applyAlignment="1">
      <alignment horizontal="center"/>
      <protection/>
    </xf>
    <xf numFmtId="0" fontId="18" fillId="0" borderId="33" xfId="66" applyFont="1" applyBorder="1" applyAlignment="1">
      <alignment horizontal="center"/>
      <protection/>
    </xf>
    <xf numFmtId="0" fontId="18" fillId="0" borderId="34" xfId="66" applyFont="1" applyBorder="1" applyAlignment="1">
      <alignment horizontal="center"/>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2" xfId="58"/>
    <cellStyle name="Normal 3" xfId="59"/>
    <cellStyle name="Normal 4" xfId="60"/>
    <cellStyle name="Normal 5" xfId="61"/>
    <cellStyle name="Normal 6" xfId="62"/>
    <cellStyle name="Normal 7" xfId="63"/>
    <cellStyle name="Normal 8" xfId="64"/>
    <cellStyle name="Normal 9" xfId="65"/>
    <cellStyle name="Normal_Attach DPU 25.2a V3" xfId="66"/>
    <cellStyle name="Note" xfId="67"/>
    <cellStyle name="Output" xfId="68"/>
    <cellStyle name="Percent" xfId="69"/>
    <cellStyle name="Percent 2" xfId="70"/>
    <cellStyle name="SAPBEXaggData" xfId="71"/>
    <cellStyle name="SAPBEXaggDataEmph" xfId="72"/>
    <cellStyle name="SAPBEXaggItem" xfId="73"/>
    <cellStyle name="SAPBEXaggItemX" xfId="74"/>
    <cellStyle name="SAPBEXchaText" xfId="75"/>
    <cellStyle name="SAPBEXexcBad7" xfId="76"/>
    <cellStyle name="SAPBEXexcBad8" xfId="77"/>
    <cellStyle name="SAPBEXexcBad9" xfId="78"/>
    <cellStyle name="SAPBEXexcCritical4" xfId="79"/>
    <cellStyle name="SAPBEXexcCritical5" xfId="80"/>
    <cellStyle name="SAPBEXexcCritical6" xfId="81"/>
    <cellStyle name="SAPBEXexcGood1" xfId="82"/>
    <cellStyle name="SAPBEXexcGood2" xfId="83"/>
    <cellStyle name="SAPBEXexcGood3" xfId="84"/>
    <cellStyle name="SAPBEXfilterDrill" xfId="85"/>
    <cellStyle name="SAPBEXfilterItem" xfId="86"/>
    <cellStyle name="SAPBEXfilterText" xfId="87"/>
    <cellStyle name="SAPBEXformats" xfId="88"/>
    <cellStyle name="SAPBEXheaderItem" xfId="89"/>
    <cellStyle name="SAPBEXheaderText" xfId="90"/>
    <cellStyle name="SAPBEXHLevel0" xfId="91"/>
    <cellStyle name="SAPBEXHLevel0X" xfId="92"/>
    <cellStyle name="SAPBEXHLevel1" xfId="93"/>
    <cellStyle name="SAPBEXHLevel1X" xfId="94"/>
    <cellStyle name="SAPBEXHLevel2" xfId="95"/>
    <cellStyle name="SAPBEXHLevel2X" xfId="96"/>
    <cellStyle name="SAPBEXHLevel3" xfId="97"/>
    <cellStyle name="SAPBEXHLevel3X" xfId="98"/>
    <cellStyle name="SAPBEXresData" xfId="99"/>
    <cellStyle name="SAPBEXresDataEmph" xfId="100"/>
    <cellStyle name="SAPBEXresItem" xfId="101"/>
    <cellStyle name="SAPBEXresItemX" xfId="102"/>
    <cellStyle name="SAPBEXstdData" xfId="103"/>
    <cellStyle name="SAPBEXstdDataEmph" xfId="104"/>
    <cellStyle name="SAPBEXstdItem" xfId="105"/>
    <cellStyle name="SAPBEXstdItemX" xfId="106"/>
    <cellStyle name="SAPBEXtitle" xfId="107"/>
    <cellStyle name="SAPBEXundefined" xfId="108"/>
    <cellStyle name="Title" xfId="109"/>
    <cellStyle name="Total" xfId="110"/>
    <cellStyle name="Warning Tex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tabSelected="1" zoomScale="93" zoomScaleNormal="93" zoomScaleSheetLayoutView="130" zoomScalePageLayoutView="0" workbookViewId="0" topLeftCell="A1">
      <selection activeCell="F3" sqref="F3"/>
    </sheetView>
  </sheetViews>
  <sheetFormatPr defaultColWidth="8.140625" defaultRowHeight="12.75"/>
  <cols>
    <col min="1" max="1" width="44.8515625" style="132" bestFit="1" customWidth="1"/>
    <col min="2" max="2" width="6.8515625" style="132" bestFit="1" customWidth="1"/>
    <col min="3" max="3" width="14.8515625" style="132" bestFit="1" customWidth="1"/>
    <col min="4" max="4" width="11.28125" style="132" bestFit="1" customWidth="1"/>
    <col min="5" max="5" width="12.7109375" style="132" bestFit="1" customWidth="1"/>
    <col min="6" max="7" width="13.28125" style="132" bestFit="1" customWidth="1"/>
    <col min="8" max="8" width="11.28125" style="132" bestFit="1" customWidth="1"/>
    <col min="9" max="16384" width="8.140625" style="132" customWidth="1"/>
  </cols>
  <sheetData>
    <row r="1" ht="14.25">
      <c r="F1" s="249" t="s">
        <v>113</v>
      </c>
    </row>
    <row r="2" spans="6:8" ht="14.25">
      <c r="F2" s="250" t="s">
        <v>125</v>
      </c>
      <c r="H2" s="133"/>
    </row>
    <row r="3" spans="6:8" ht="14.25">
      <c r="F3" s="250" t="s">
        <v>114</v>
      </c>
      <c r="H3" s="133"/>
    </row>
    <row r="4" spans="1:8" ht="12.75">
      <c r="A4" s="212" t="s">
        <v>115</v>
      </c>
      <c r="H4" s="133"/>
    </row>
    <row r="5" spans="6:8" ht="14.25">
      <c r="F5" s="250"/>
      <c r="H5" s="133"/>
    </row>
    <row r="6" ht="12.75">
      <c r="A6" s="212" t="s">
        <v>93</v>
      </c>
    </row>
    <row r="7" spans="1:4" ht="12.75">
      <c r="A7" s="212"/>
      <c r="C7" s="221" t="s">
        <v>45</v>
      </c>
      <c r="D7" s="221" t="s">
        <v>100</v>
      </c>
    </row>
    <row r="8" spans="1:25" s="240" customFormat="1" ht="12.75" customHeight="1" thickBot="1">
      <c r="A8" s="238" t="s">
        <v>49</v>
      </c>
      <c r="B8" s="239" t="s">
        <v>12</v>
      </c>
      <c r="C8" s="239" t="s">
        <v>111</v>
      </c>
      <c r="D8" s="239" t="s">
        <v>101</v>
      </c>
      <c r="E8" s="239" t="s">
        <v>5</v>
      </c>
      <c r="F8" s="239" t="s">
        <v>6</v>
      </c>
      <c r="N8" s="241"/>
      <c r="O8" s="241"/>
      <c r="P8" s="241"/>
      <c r="Q8" s="241"/>
      <c r="R8" s="241"/>
      <c r="S8" s="241"/>
      <c r="T8" s="241"/>
      <c r="U8" s="241"/>
      <c r="V8" s="241"/>
      <c r="W8" s="241"/>
      <c r="X8" s="241"/>
      <c r="Y8" s="241"/>
    </row>
    <row r="9" spans="1:23" s="139" customFormat="1" ht="12.75">
      <c r="A9" s="134" t="s">
        <v>2</v>
      </c>
      <c r="B9" s="135">
        <v>539</v>
      </c>
      <c r="C9" s="136">
        <v>-1073.04</v>
      </c>
      <c r="D9" s="243" t="s">
        <v>4</v>
      </c>
      <c r="E9" s="137">
        <v>0.4113042590825348</v>
      </c>
      <c r="F9" s="138">
        <f aca="true" t="shared" si="0" ref="F9:F16">E9*C9</f>
        <v>-441.3459221659231</v>
      </c>
      <c r="L9" s="132"/>
      <c r="M9" s="132"/>
      <c r="N9" s="132"/>
      <c r="O9" s="132"/>
      <c r="P9" s="132"/>
      <c r="Q9" s="132"/>
      <c r="R9" s="132"/>
      <c r="S9" s="132"/>
      <c r="T9" s="132"/>
      <c r="U9" s="132"/>
      <c r="V9" s="132"/>
      <c r="W9" s="132"/>
    </row>
    <row r="10" spans="1:23" s="139" customFormat="1" ht="13.5" customHeight="1">
      <c r="A10" s="214" t="s">
        <v>2</v>
      </c>
      <c r="B10" s="216">
        <v>545</v>
      </c>
      <c r="C10" s="136">
        <v>-763.64</v>
      </c>
      <c r="D10" s="244" t="s">
        <v>4</v>
      </c>
      <c r="E10" s="137">
        <v>0.4113042590825348</v>
      </c>
      <c r="F10" s="138">
        <f t="shared" si="0"/>
        <v>-314.0883844057869</v>
      </c>
      <c r="L10" s="132"/>
      <c r="M10" s="132"/>
      <c r="N10" s="132"/>
      <c r="O10" s="132"/>
      <c r="P10" s="132"/>
      <c r="Q10" s="132"/>
      <c r="R10" s="132"/>
      <c r="S10" s="132"/>
      <c r="T10" s="132"/>
      <c r="U10" s="132"/>
      <c r="V10" s="132"/>
      <c r="W10" s="132"/>
    </row>
    <row r="11" spans="1:24" s="139" customFormat="1" ht="12.75" customHeight="1">
      <c r="A11" s="140" t="s">
        <v>1</v>
      </c>
      <c r="B11" s="141">
        <v>539</v>
      </c>
      <c r="C11" s="136">
        <v>-4584.27</v>
      </c>
      <c r="D11" s="245" t="s">
        <v>4</v>
      </c>
      <c r="E11" s="137">
        <v>0.4113042590825348</v>
      </c>
      <c r="F11" s="138">
        <f t="shared" si="0"/>
        <v>-1885.529775784292</v>
      </c>
      <c r="M11" s="132"/>
      <c r="N11" s="132"/>
      <c r="O11" s="132"/>
      <c r="P11" s="132"/>
      <c r="Q11" s="132"/>
      <c r="R11" s="132"/>
      <c r="S11" s="132"/>
      <c r="T11" s="132"/>
      <c r="U11" s="132"/>
      <c r="V11" s="132"/>
      <c r="W11" s="132"/>
      <c r="X11" s="132"/>
    </row>
    <row r="12" spans="1:24" s="139" customFormat="1" ht="13.5" customHeight="1">
      <c r="A12" s="140" t="s">
        <v>1</v>
      </c>
      <c r="B12" s="141">
        <v>543</v>
      </c>
      <c r="C12" s="136">
        <v>-11942.04</v>
      </c>
      <c r="D12" s="245" t="s">
        <v>4</v>
      </c>
      <c r="E12" s="137">
        <v>0.4113042590825348</v>
      </c>
      <c r="F12" s="138">
        <f t="shared" si="0"/>
        <v>-4911.811914133995</v>
      </c>
      <c r="M12" s="132"/>
      <c r="N12" s="132"/>
      <c r="O12" s="132"/>
      <c r="P12" s="132"/>
      <c r="Q12" s="132"/>
      <c r="R12" s="132"/>
      <c r="S12" s="132"/>
      <c r="T12" s="132"/>
      <c r="U12" s="132"/>
      <c r="V12" s="132"/>
      <c r="W12" s="132"/>
      <c r="X12" s="132"/>
    </row>
    <row r="13" spans="1:24" s="139" customFormat="1" ht="12.75">
      <c r="A13" s="140" t="s">
        <v>1</v>
      </c>
      <c r="B13" s="141">
        <v>544</v>
      </c>
      <c r="C13" s="136">
        <v>-4815.1</v>
      </c>
      <c r="D13" s="245" t="s">
        <v>4</v>
      </c>
      <c r="E13" s="137">
        <v>0.4113042590825348</v>
      </c>
      <c r="F13" s="138">
        <f t="shared" si="0"/>
        <v>-1980.4711379083135</v>
      </c>
      <c r="M13" s="132"/>
      <c r="N13" s="132"/>
      <c r="O13" s="132"/>
      <c r="P13" s="132"/>
      <c r="Q13" s="132"/>
      <c r="R13" s="132"/>
      <c r="S13" s="132"/>
      <c r="T13" s="132"/>
      <c r="U13" s="132"/>
      <c r="V13" s="132"/>
      <c r="W13" s="132"/>
      <c r="X13" s="132"/>
    </row>
    <row r="14" spans="1:24" s="139" customFormat="1" ht="12" customHeight="1">
      <c r="A14" s="140" t="s">
        <v>1</v>
      </c>
      <c r="B14" s="141">
        <v>545</v>
      </c>
      <c r="C14" s="136">
        <v>-516.64</v>
      </c>
      <c r="D14" s="245" t="s">
        <v>4</v>
      </c>
      <c r="E14" s="137">
        <v>0.4113042590825348</v>
      </c>
      <c r="F14" s="138">
        <f t="shared" si="0"/>
        <v>-212.4962324124008</v>
      </c>
      <c r="M14" s="132"/>
      <c r="N14" s="132"/>
      <c r="O14" s="132"/>
      <c r="P14" s="132"/>
      <c r="Q14" s="132"/>
      <c r="R14" s="132"/>
      <c r="S14" s="132"/>
      <c r="T14" s="132"/>
      <c r="U14" s="132"/>
      <c r="V14" s="132"/>
      <c r="W14" s="132"/>
      <c r="X14" s="132"/>
    </row>
    <row r="15" spans="1:12" ht="12.75">
      <c r="A15" s="142" t="s">
        <v>0</v>
      </c>
      <c r="B15" s="143">
        <v>539</v>
      </c>
      <c r="C15" s="136">
        <v>-52439.91</v>
      </c>
      <c r="D15" s="246" t="s">
        <v>3</v>
      </c>
      <c r="E15" s="137">
        <v>0.4113042590825348</v>
      </c>
      <c r="F15" s="138">
        <f t="shared" si="0"/>
        <v>-21568.75832890481</v>
      </c>
      <c r="H15" s="139"/>
      <c r="I15" s="139"/>
      <c r="J15" s="139"/>
      <c r="K15" s="139"/>
      <c r="L15" s="139"/>
    </row>
    <row r="16" spans="1:12" ht="13.5" thickBot="1">
      <c r="A16" s="213" t="s">
        <v>0</v>
      </c>
      <c r="B16" s="215">
        <v>543</v>
      </c>
      <c r="C16" s="144">
        <v>-3562.12</v>
      </c>
      <c r="D16" s="247" t="s">
        <v>3</v>
      </c>
      <c r="E16" s="146">
        <v>0.4113042590825348</v>
      </c>
      <c r="F16" s="145">
        <f t="shared" si="0"/>
        <v>-1465.115127363079</v>
      </c>
      <c r="H16" s="139"/>
      <c r="I16" s="139"/>
      <c r="J16" s="139"/>
      <c r="K16" s="139"/>
      <c r="L16" s="139"/>
    </row>
    <row r="17" spans="2:12" ht="12.75">
      <c r="B17" s="139"/>
      <c r="C17" s="139">
        <f>SUM(C9:C16)</f>
        <v>-79696.76000000001</v>
      </c>
      <c r="D17" s="139"/>
      <c r="E17" s="139"/>
      <c r="F17" s="139">
        <f>SUM(F9:F16)</f>
        <v>-32779.6168230786</v>
      </c>
      <c r="H17" s="139"/>
      <c r="I17" s="139"/>
      <c r="J17" s="139"/>
      <c r="K17" s="139"/>
      <c r="L17" s="139"/>
    </row>
    <row r="18" spans="2:12" ht="12.75">
      <c r="B18" s="139"/>
      <c r="C18" s="139"/>
      <c r="D18" s="139"/>
      <c r="E18" s="139"/>
      <c r="F18" s="139"/>
      <c r="H18" s="139"/>
      <c r="I18" s="139"/>
      <c r="J18" s="139"/>
      <c r="K18" s="139"/>
      <c r="L18" s="139"/>
    </row>
    <row r="19" spans="1:12" ht="12.75">
      <c r="A19" s="139" t="s">
        <v>94</v>
      </c>
      <c r="B19" s="139"/>
      <c r="C19" s="139"/>
      <c r="D19" s="139"/>
      <c r="E19" s="139"/>
      <c r="F19" s="139"/>
      <c r="G19" s="139"/>
      <c r="H19" s="139"/>
      <c r="I19" s="139"/>
      <c r="J19" s="139"/>
      <c r="K19" s="139"/>
      <c r="L19" s="139"/>
    </row>
    <row r="20" spans="2:12" ht="12.75">
      <c r="B20" s="139"/>
      <c r="C20" s="139"/>
      <c r="D20" s="139"/>
      <c r="E20" s="139"/>
      <c r="F20" s="139"/>
      <c r="G20" s="139"/>
      <c r="H20" s="139"/>
      <c r="I20" s="139"/>
      <c r="J20" s="139"/>
      <c r="K20" s="139"/>
      <c r="L20" s="139"/>
    </row>
    <row r="21" spans="1:12" ht="12.75">
      <c r="A21" s="212" t="s">
        <v>95</v>
      </c>
      <c r="B21" s="139"/>
      <c r="C21" s="139"/>
      <c r="D21" s="139"/>
      <c r="E21" s="139"/>
      <c r="F21" s="139"/>
      <c r="G21" s="139"/>
      <c r="H21" s="139"/>
      <c r="I21" s="139"/>
      <c r="J21" s="139"/>
      <c r="K21" s="139"/>
      <c r="L21" s="139"/>
    </row>
    <row r="22" spans="1:12" ht="12.75">
      <c r="A22" s="212"/>
      <c r="B22" s="139"/>
      <c r="C22" s="221" t="s">
        <v>45</v>
      </c>
      <c r="D22" s="139"/>
      <c r="E22" s="139"/>
      <c r="F22" s="139"/>
      <c r="G22" s="139"/>
      <c r="H22" s="139"/>
      <c r="I22" s="139"/>
      <c r="J22" s="139"/>
      <c r="K22" s="139"/>
      <c r="L22" s="139"/>
    </row>
    <row r="23" spans="2:12" ht="12.75">
      <c r="B23" s="139"/>
      <c r="C23" s="225" t="s">
        <v>106</v>
      </c>
      <c r="D23" s="225" t="s">
        <v>100</v>
      </c>
      <c r="E23" s="225"/>
      <c r="F23" s="225"/>
      <c r="H23" s="139"/>
      <c r="I23" s="139"/>
      <c r="J23" s="139"/>
      <c r="K23" s="139"/>
      <c r="L23" s="139"/>
    </row>
    <row r="24" spans="1:12" ht="16.5" customHeight="1" thickBot="1">
      <c r="A24" s="234" t="s">
        <v>92</v>
      </c>
      <c r="B24" s="209" t="s">
        <v>12</v>
      </c>
      <c r="C24" s="235">
        <v>40330</v>
      </c>
      <c r="D24" s="209" t="s">
        <v>101</v>
      </c>
      <c r="E24" s="209" t="s">
        <v>5</v>
      </c>
      <c r="F24" s="209" t="s">
        <v>6</v>
      </c>
      <c r="H24" s="139"/>
      <c r="I24" s="139"/>
      <c r="J24" s="139"/>
      <c r="K24" s="139"/>
      <c r="L24" s="139"/>
    </row>
    <row r="25" spans="1:6" ht="12.75">
      <c r="A25" s="132" t="s">
        <v>50</v>
      </c>
      <c r="B25" s="204" t="s">
        <v>51</v>
      </c>
      <c r="C25" s="139">
        <f>'7.7.1S Cline&amp;St.Anthony'!AL26</f>
        <v>-5403.091583471047</v>
      </c>
      <c r="D25" s="151" t="s">
        <v>52</v>
      </c>
      <c r="E25" s="137">
        <v>0.4113042590825348</v>
      </c>
      <c r="F25" s="139">
        <f>E25*C25</f>
        <v>-2222.314580494639</v>
      </c>
    </row>
    <row r="26" spans="1:6" ht="12.75">
      <c r="A26" s="132" t="s">
        <v>53</v>
      </c>
      <c r="B26" s="204" t="s">
        <v>51</v>
      </c>
      <c r="C26" s="139">
        <f>'7.7.1S Cline&amp;St.Anthony'!AL51</f>
        <v>-39989.026436598266</v>
      </c>
      <c r="D26" s="151" t="s">
        <v>54</v>
      </c>
      <c r="E26" s="137">
        <v>0.4113042590825348</v>
      </c>
      <c r="F26" s="139">
        <f>E26*C26</f>
        <v>-16447.65688993695</v>
      </c>
    </row>
    <row r="27" spans="1:6" ht="13.5" thickBot="1">
      <c r="A27" s="205" t="s">
        <v>55</v>
      </c>
      <c r="B27" s="207" t="s">
        <v>51</v>
      </c>
      <c r="C27" s="206">
        <f>-'7.7.3-4S Keno Dep_AD_Ret'!W16</f>
        <v>-163334.7036962069</v>
      </c>
      <c r="D27" s="207" t="s">
        <v>52</v>
      </c>
      <c r="E27" s="146">
        <v>0.4113042590825348</v>
      </c>
      <c r="F27" s="208">
        <f>E27*C27</f>
        <v>-67180.25928623375</v>
      </c>
    </row>
    <row r="28" spans="1:6" ht="12.75">
      <c r="A28" s="131"/>
      <c r="C28" s="210">
        <f>SUM(C25:C27)</f>
        <v>-208726.82171627623</v>
      </c>
      <c r="E28" s="137"/>
      <c r="F28" s="211">
        <f>SUM(F25:F27)</f>
        <v>-85850.23075666533</v>
      </c>
    </row>
    <row r="29" spans="1:5" ht="12.75">
      <c r="A29" s="131"/>
      <c r="C29" s="130"/>
      <c r="E29" s="137"/>
    </row>
    <row r="30" spans="1:5" ht="12.75">
      <c r="A30" s="212" t="s">
        <v>96</v>
      </c>
      <c r="C30" s="130"/>
      <c r="E30" s="137"/>
    </row>
    <row r="31" ht="12.75">
      <c r="C31" s="221" t="s">
        <v>45</v>
      </c>
    </row>
    <row r="32" spans="1:6" ht="12.75">
      <c r="A32" s="212"/>
      <c r="C32" s="221" t="s">
        <v>83</v>
      </c>
      <c r="D32" s="221" t="s">
        <v>100</v>
      </c>
      <c r="E32" s="222"/>
      <c r="F32" s="221" t="s">
        <v>102</v>
      </c>
    </row>
    <row r="33" spans="1:6" ht="13.5" thickBot="1">
      <c r="A33" s="234" t="s">
        <v>107</v>
      </c>
      <c r="B33" s="209" t="s">
        <v>12</v>
      </c>
      <c r="C33" s="235">
        <v>40330</v>
      </c>
      <c r="D33" s="236" t="s">
        <v>101</v>
      </c>
      <c r="E33" s="237" t="s">
        <v>5</v>
      </c>
      <c r="F33" s="236" t="s">
        <v>103</v>
      </c>
    </row>
    <row r="34" spans="1:8" ht="12.75">
      <c r="A34" s="132" t="s">
        <v>97</v>
      </c>
      <c r="B34" s="204">
        <v>332</v>
      </c>
      <c r="C34" s="139">
        <f>-'7.7.1S Cline&amp;St.Anthony'!AH61</f>
        <v>-234348.88999999998</v>
      </c>
      <c r="D34" s="151" t="s">
        <v>52</v>
      </c>
      <c r="E34" s="223">
        <v>0.4113042590825348</v>
      </c>
      <c r="F34" s="139">
        <f aca="true" t="shared" si="1" ref="F34:F39">C34*E34</f>
        <v>-96388.69656826445</v>
      </c>
      <c r="H34" s="211"/>
    </row>
    <row r="35" spans="1:6" ht="12.75">
      <c r="A35" s="132" t="s">
        <v>104</v>
      </c>
      <c r="B35" s="204">
        <v>332</v>
      </c>
      <c r="C35" s="139">
        <f>-'7.7.1S Cline&amp;St.Anthony'!AH72</f>
        <v>-1477467.9484615384</v>
      </c>
      <c r="D35" s="151" t="s">
        <v>54</v>
      </c>
      <c r="E35" s="223">
        <v>0.4113042590825348</v>
      </c>
      <c r="F35" s="139">
        <f t="shared" si="1"/>
        <v>-607688.8598601657</v>
      </c>
    </row>
    <row r="36" spans="1:6" ht="12.75">
      <c r="A36" s="132" t="s">
        <v>105</v>
      </c>
      <c r="B36" s="204">
        <v>332</v>
      </c>
      <c r="C36" s="139">
        <f>-'7.7.2S Keno EPIS'!D26</f>
        <v>-7497523.269999999</v>
      </c>
      <c r="D36" s="227" t="s">
        <v>4</v>
      </c>
      <c r="E36" s="223">
        <v>0.4113042590825348</v>
      </c>
      <c r="F36" s="139">
        <f t="shared" si="1"/>
        <v>-3083763.253521413</v>
      </c>
    </row>
    <row r="37" spans="1:8" ht="12.75">
      <c r="A37" s="132" t="s">
        <v>98</v>
      </c>
      <c r="B37" s="226" t="s">
        <v>108</v>
      </c>
      <c r="C37" s="139">
        <f>-'7.7.1S Cline&amp;St.Anthony'!AH65</f>
        <v>442251.84970915306</v>
      </c>
      <c r="D37" s="204" t="s">
        <v>52</v>
      </c>
      <c r="E37" s="223">
        <v>0.4113042590825348</v>
      </c>
      <c r="F37" s="139">
        <f t="shared" si="1"/>
        <v>181900.06937250373</v>
      </c>
      <c r="H37" s="211"/>
    </row>
    <row r="38" spans="1:6" ht="12.75">
      <c r="A38" s="132" t="s">
        <v>109</v>
      </c>
      <c r="B38" s="226" t="s">
        <v>108</v>
      </c>
      <c r="C38" s="139">
        <f>-'7.7.1S Cline&amp;St.Anthony'!AH76</f>
        <v>709996.007108665</v>
      </c>
      <c r="D38" s="151" t="s">
        <v>54</v>
      </c>
      <c r="E38" s="223">
        <v>0.4113042590825348</v>
      </c>
      <c r="F38" s="139">
        <f t="shared" si="1"/>
        <v>292024.3816553876</v>
      </c>
    </row>
    <row r="39" spans="1:6" ht="13.5" thickBot="1">
      <c r="A39" s="230" t="s">
        <v>110</v>
      </c>
      <c r="B39" s="231" t="s">
        <v>108</v>
      </c>
      <c r="C39" s="208">
        <f>-'7.7.2S Keno EPIS'!D27</f>
        <v>3686485.133696208</v>
      </c>
      <c r="D39" s="232" t="s">
        <v>4</v>
      </c>
      <c r="E39" s="233">
        <v>0.4113042590825348</v>
      </c>
      <c r="F39" s="208">
        <f t="shared" si="1"/>
        <v>1516267.036533698</v>
      </c>
    </row>
    <row r="40" spans="3:6" ht="12.75">
      <c r="C40" s="211">
        <f>SUM(C34:C39)</f>
        <v>-4370607.11794751</v>
      </c>
      <c r="F40" s="211">
        <f>SUM(F34:F39)</f>
        <v>-1797649.322388254</v>
      </c>
    </row>
    <row r="41" spans="3:6" ht="12.75">
      <c r="C41" s="211"/>
      <c r="F41" s="211"/>
    </row>
    <row r="42" spans="3:6" ht="12.75">
      <c r="C42" s="211"/>
      <c r="F42" s="211"/>
    </row>
    <row r="43" spans="3:6" ht="12.75">
      <c r="C43" s="211"/>
      <c r="F43" s="211"/>
    </row>
    <row r="44" spans="3:6" ht="12.75">
      <c r="C44" s="211"/>
      <c r="F44" s="211"/>
    </row>
    <row r="45" spans="3:6" ht="12.75">
      <c r="C45" s="211"/>
      <c r="F45" s="211"/>
    </row>
    <row r="46" spans="3:6" ht="12.75">
      <c r="C46" s="211"/>
      <c r="F46" s="211"/>
    </row>
    <row r="47" spans="1:6" ht="12.75">
      <c r="A47" s="132" t="s">
        <v>117</v>
      </c>
      <c r="F47" s="242"/>
    </row>
    <row r="48" spans="1:6" ht="12.75">
      <c r="A48" s="261" t="s">
        <v>119</v>
      </c>
      <c r="B48" s="262"/>
      <c r="C48" s="262"/>
      <c r="D48" s="262"/>
      <c r="E48" s="262"/>
      <c r="F48" s="263"/>
    </row>
    <row r="49" spans="1:6" ht="12.75">
      <c r="A49" s="264"/>
      <c r="B49" s="265"/>
      <c r="C49" s="265"/>
      <c r="D49" s="265"/>
      <c r="E49" s="265"/>
      <c r="F49" s="266"/>
    </row>
    <row r="50" spans="1:6" ht="12.75">
      <c r="A50" s="264"/>
      <c r="B50" s="265"/>
      <c r="C50" s="265"/>
      <c r="D50" s="265"/>
      <c r="E50" s="265"/>
      <c r="F50" s="266"/>
    </row>
    <row r="51" spans="1:6" ht="12.75">
      <c r="A51" s="267"/>
      <c r="B51" s="268"/>
      <c r="C51" s="268"/>
      <c r="D51" s="268"/>
      <c r="E51" s="268"/>
      <c r="F51" s="269"/>
    </row>
    <row r="52" ht="12.75">
      <c r="F52" s="224"/>
    </row>
    <row r="53" ht="12.75">
      <c r="F53" s="224"/>
    </row>
  </sheetData>
  <sheetProtection/>
  <mergeCells count="1">
    <mergeCell ref="A48:F51"/>
  </mergeCells>
  <printOptions/>
  <pageMargins left="0.7" right="0.7" top="0.75" bottom="0.75" header="0.3" footer="0.3"/>
  <pageSetup fitToHeight="1" fitToWidth="1" horizontalDpi="600" verticalDpi="600" orientation="portrait" paperSize="17" scale="89" r:id="rId1"/>
</worksheet>
</file>

<file path=xl/worksheets/sheet2.xml><?xml version="1.0" encoding="utf-8"?>
<worksheet xmlns="http://schemas.openxmlformats.org/spreadsheetml/2006/main" xmlns:r="http://schemas.openxmlformats.org/officeDocument/2006/relationships">
  <sheetPr>
    <pageSetUpPr fitToPage="1"/>
  </sheetPr>
  <dimension ref="A1:AM92"/>
  <sheetViews>
    <sheetView zoomScale="76" zoomScaleNormal="76" zoomScaleSheetLayoutView="81" zoomScalePageLayoutView="10" workbookViewId="0" topLeftCell="V1">
      <selection activeCell="AM3" sqref="AM3"/>
    </sheetView>
  </sheetViews>
  <sheetFormatPr defaultColWidth="9.140625" defaultRowHeight="12.75"/>
  <cols>
    <col min="1" max="1" width="10.140625" style="3" customWidth="1"/>
    <col min="2" max="2" width="8.8515625" style="3" customWidth="1"/>
    <col min="3" max="3" width="44.00390625" style="3" customWidth="1"/>
    <col min="4" max="4" width="11.57421875" style="3" customWidth="1"/>
    <col min="5" max="5" width="11.421875" style="3" customWidth="1"/>
    <col min="6" max="6" width="11.140625" style="3" customWidth="1"/>
    <col min="7" max="7" width="36.8515625" style="3" customWidth="1"/>
    <col min="8" max="8" width="14.28125" style="3" customWidth="1"/>
    <col min="9" max="9" width="1.8515625" style="3" customWidth="1"/>
    <col min="10" max="10" width="9.140625" style="3" customWidth="1"/>
    <col min="11" max="12" width="15.28125" style="3" customWidth="1"/>
    <col min="13" max="13" width="12.00390625" style="3" customWidth="1"/>
    <col min="14" max="14" width="11.00390625" style="3" customWidth="1"/>
    <col min="15" max="20" width="13.57421875" style="100" customWidth="1"/>
    <col min="21" max="33" width="12.00390625" style="3" customWidth="1"/>
    <col min="34" max="34" width="16.00390625" style="3" bestFit="1" customWidth="1"/>
    <col min="35" max="35" width="13.28125" style="3" customWidth="1"/>
    <col min="36" max="37" width="12.140625" style="61" customWidth="1"/>
    <col min="38" max="38" width="13.7109375" style="4" customWidth="1"/>
    <col min="39" max="39" width="14.00390625" style="129" bestFit="1" customWidth="1"/>
    <col min="40" max="16384" width="9.140625" style="4" customWidth="1"/>
  </cols>
  <sheetData>
    <row r="1" ht="23.25">
      <c r="AM1" s="255" t="s">
        <v>113</v>
      </c>
    </row>
    <row r="2" ht="23.25">
      <c r="AM2" s="256" t="s">
        <v>126</v>
      </c>
    </row>
    <row r="3" ht="23.25">
      <c r="AM3" s="256" t="s">
        <v>114</v>
      </c>
    </row>
    <row r="5" spans="1:39" s="2" customFormat="1" ht="16.5" thickBot="1">
      <c r="A5" s="8" t="s">
        <v>42</v>
      </c>
      <c r="O5" s="1"/>
      <c r="P5" s="1"/>
      <c r="Q5" s="1"/>
      <c r="R5" s="1"/>
      <c r="S5" s="1"/>
      <c r="T5" s="1"/>
      <c r="AJ5" s="7"/>
      <c r="AK5" s="7"/>
      <c r="AM5" s="7"/>
    </row>
    <row r="6" spans="1:39" s="11" customFormat="1" ht="12.75" thickBot="1">
      <c r="A6" s="20"/>
      <c r="E6" s="10"/>
      <c r="I6" s="10"/>
      <c r="J6" s="10"/>
      <c r="K6" s="10"/>
      <c r="L6" s="10"/>
      <c r="M6" s="10"/>
      <c r="O6" s="99"/>
      <c r="P6" s="99"/>
      <c r="Q6" s="99"/>
      <c r="R6" s="99"/>
      <c r="S6" s="99"/>
      <c r="T6" s="99"/>
      <c r="AJ6" s="96"/>
      <c r="AK6" s="96"/>
      <c r="AL6" s="273" t="s">
        <v>112</v>
      </c>
      <c r="AM6" s="274"/>
    </row>
    <row r="7" spans="1:39" s="105" customFormat="1" ht="36">
      <c r="A7" s="6" t="s">
        <v>10</v>
      </c>
      <c r="B7" s="6" t="s">
        <v>12</v>
      </c>
      <c r="C7" s="6" t="s">
        <v>9</v>
      </c>
      <c r="D7" s="6" t="s">
        <v>13</v>
      </c>
      <c r="E7" s="9" t="s">
        <v>5</v>
      </c>
      <c r="F7" s="6" t="s">
        <v>16</v>
      </c>
      <c r="G7" s="6" t="s">
        <v>9</v>
      </c>
      <c r="H7" s="13" t="s">
        <v>39</v>
      </c>
      <c r="I7" s="9"/>
      <c r="J7" s="9" t="s">
        <v>12</v>
      </c>
      <c r="K7" s="9" t="s">
        <v>34</v>
      </c>
      <c r="L7" s="9" t="s">
        <v>37</v>
      </c>
      <c r="M7" s="13" t="s">
        <v>6</v>
      </c>
      <c r="N7" s="104" t="s">
        <v>40</v>
      </c>
      <c r="O7" s="9" t="s">
        <v>35</v>
      </c>
      <c r="P7" s="68">
        <v>39814</v>
      </c>
      <c r="Q7" s="69">
        <v>39845</v>
      </c>
      <c r="R7" s="68">
        <v>39873</v>
      </c>
      <c r="S7" s="69">
        <v>39904</v>
      </c>
      <c r="T7" s="68">
        <v>39934</v>
      </c>
      <c r="U7" s="69">
        <v>39965</v>
      </c>
      <c r="V7" s="68">
        <v>39995</v>
      </c>
      <c r="W7" s="69">
        <v>40026</v>
      </c>
      <c r="X7" s="68">
        <v>40057</v>
      </c>
      <c r="Y7" s="69">
        <v>40087</v>
      </c>
      <c r="Z7" s="68">
        <v>40118</v>
      </c>
      <c r="AA7" s="69">
        <v>40148</v>
      </c>
      <c r="AB7" s="68">
        <v>40179</v>
      </c>
      <c r="AC7" s="69">
        <v>40210</v>
      </c>
      <c r="AD7" s="68">
        <v>40238</v>
      </c>
      <c r="AE7" s="69">
        <v>40269</v>
      </c>
      <c r="AF7" s="68">
        <v>40299</v>
      </c>
      <c r="AG7" s="69">
        <v>40330</v>
      </c>
      <c r="AH7" s="9" t="s">
        <v>38</v>
      </c>
      <c r="AI7" s="9" t="s">
        <v>36</v>
      </c>
      <c r="AJ7" s="97" t="s">
        <v>6</v>
      </c>
      <c r="AK7" s="97"/>
      <c r="AL7" s="105" t="s">
        <v>47</v>
      </c>
      <c r="AM7" s="248" t="s">
        <v>48</v>
      </c>
    </row>
    <row r="8" spans="1:37" ht="12">
      <c r="A8" s="21">
        <v>24000</v>
      </c>
      <c r="B8" s="21">
        <v>1010000</v>
      </c>
      <c r="C8" s="22" t="s">
        <v>2</v>
      </c>
      <c r="D8" s="30" t="s">
        <v>8</v>
      </c>
      <c r="E8" s="108">
        <v>0</v>
      </c>
      <c r="F8" s="23">
        <v>3620000</v>
      </c>
      <c r="G8" s="24" t="s">
        <v>17</v>
      </c>
      <c r="H8" s="25">
        <v>116852.26</v>
      </c>
      <c r="J8" s="26">
        <v>1080000</v>
      </c>
      <c r="K8" s="25">
        <v>-5512.82</v>
      </c>
      <c r="L8" s="25">
        <f>H8+K8</f>
        <v>111339.44</v>
      </c>
      <c r="M8" s="25">
        <f>E8*L8</f>
        <v>0</v>
      </c>
      <c r="N8" s="62"/>
      <c r="O8" s="91">
        <v>0.028625140547275843</v>
      </c>
      <c r="P8" s="7">
        <f>K8+P9</f>
        <v>-5791.562697147235</v>
      </c>
      <c r="Q8" s="7">
        <f>P8+Q9</f>
        <v>-6070.30539429447</v>
      </c>
      <c r="R8" s="7">
        <f aca="true" t="shared" si="0" ref="R8:AG8">Q8+R9</f>
        <v>-6349.048091441705</v>
      </c>
      <c r="S8" s="7">
        <f t="shared" si="0"/>
        <v>-6627.79078858894</v>
      </c>
      <c r="T8" s="7">
        <f t="shared" si="0"/>
        <v>-6906.533485736175</v>
      </c>
      <c r="U8" s="7">
        <f t="shared" si="0"/>
        <v>-7185.27618288341</v>
      </c>
      <c r="V8" s="7">
        <f t="shared" si="0"/>
        <v>-7464.018880030645</v>
      </c>
      <c r="W8" s="7">
        <f t="shared" si="0"/>
        <v>-7742.76157717788</v>
      </c>
      <c r="X8" s="7">
        <f t="shared" si="0"/>
        <v>-8021.504274325115</v>
      </c>
      <c r="Y8" s="7">
        <f t="shared" si="0"/>
        <v>-8300.24697147235</v>
      </c>
      <c r="Z8" s="7">
        <f t="shared" si="0"/>
        <v>-8578.989668619584</v>
      </c>
      <c r="AA8" s="7">
        <f t="shared" si="0"/>
        <v>-8857.732365766818</v>
      </c>
      <c r="AB8" s="7">
        <f t="shared" si="0"/>
        <v>-9136.475062914053</v>
      </c>
      <c r="AC8" s="7">
        <f t="shared" si="0"/>
        <v>-9415.217760061287</v>
      </c>
      <c r="AD8" s="7">
        <f t="shared" si="0"/>
        <v>-9693.96045720852</v>
      </c>
      <c r="AE8" s="7">
        <f t="shared" si="0"/>
        <v>-9972.703154355755</v>
      </c>
      <c r="AF8" s="7">
        <f t="shared" si="0"/>
        <v>-10251.44585150299</v>
      </c>
      <c r="AG8" s="7">
        <f t="shared" si="0"/>
        <v>-10530.188548650223</v>
      </c>
      <c r="AH8" s="25">
        <f>AVERAGE(U8:AG8)</f>
        <v>-8857.732365766818</v>
      </c>
      <c r="AI8" s="25">
        <f>H8+AH8</f>
        <v>107994.52763423318</v>
      </c>
      <c r="AJ8" s="25">
        <f>E8*AI8</f>
        <v>0</v>
      </c>
      <c r="AK8" s="125"/>
    </row>
    <row r="9" spans="1:39" ht="12">
      <c r="A9" s="71"/>
      <c r="B9" s="71"/>
      <c r="C9" s="70"/>
      <c r="D9" s="109"/>
      <c r="E9" s="108"/>
      <c r="F9" s="23"/>
      <c r="G9" s="24"/>
      <c r="H9" s="25"/>
      <c r="J9" s="26"/>
      <c r="K9" s="25"/>
      <c r="L9" s="25"/>
      <c r="M9" s="25"/>
      <c r="N9" s="62"/>
      <c r="O9" s="91"/>
      <c r="P9" s="80">
        <f aca="true" t="shared" si="1" ref="P9:U9">-($H8*$O8)/12</f>
        <v>-278.7426971472349</v>
      </c>
      <c r="Q9" s="80">
        <f t="shared" si="1"/>
        <v>-278.7426971472349</v>
      </c>
      <c r="R9" s="80">
        <f t="shared" si="1"/>
        <v>-278.7426971472349</v>
      </c>
      <c r="S9" s="80">
        <f t="shared" si="1"/>
        <v>-278.7426971472349</v>
      </c>
      <c r="T9" s="80">
        <f t="shared" si="1"/>
        <v>-278.7426971472349</v>
      </c>
      <c r="U9" s="80">
        <f t="shared" si="1"/>
        <v>-278.7426971472349</v>
      </c>
      <c r="V9" s="80">
        <f aca="true" t="shared" si="2" ref="V9:AG9">-($H8*$O8)/12</f>
        <v>-278.7426971472349</v>
      </c>
      <c r="W9" s="80">
        <f t="shared" si="2"/>
        <v>-278.7426971472349</v>
      </c>
      <c r="X9" s="80">
        <f t="shared" si="2"/>
        <v>-278.7426971472349</v>
      </c>
      <c r="Y9" s="80">
        <f t="shared" si="2"/>
        <v>-278.7426971472349</v>
      </c>
      <c r="Z9" s="80">
        <f t="shared" si="2"/>
        <v>-278.7426971472349</v>
      </c>
      <c r="AA9" s="80">
        <f t="shared" si="2"/>
        <v>-278.7426971472349</v>
      </c>
      <c r="AB9" s="80">
        <f t="shared" si="2"/>
        <v>-278.7426971472349</v>
      </c>
      <c r="AC9" s="80">
        <f t="shared" si="2"/>
        <v>-278.7426971472349</v>
      </c>
      <c r="AD9" s="80">
        <f t="shared" si="2"/>
        <v>-278.7426971472349</v>
      </c>
      <c r="AE9" s="80">
        <f t="shared" si="2"/>
        <v>-278.7426971472349</v>
      </c>
      <c r="AF9" s="80">
        <f t="shared" si="2"/>
        <v>-278.7426971472349</v>
      </c>
      <c r="AG9" s="80">
        <f t="shared" si="2"/>
        <v>-278.7426971472349</v>
      </c>
      <c r="AH9" s="25"/>
      <c r="AI9" s="25"/>
      <c r="AJ9" s="25"/>
      <c r="AK9" s="125"/>
      <c r="AL9" s="149"/>
      <c r="AM9" s="150"/>
    </row>
    <row r="10" spans="1:38" ht="12">
      <c r="A10" s="27">
        <f>A8</f>
        <v>24000</v>
      </c>
      <c r="B10" s="27">
        <f>B8</f>
        <v>1010000</v>
      </c>
      <c r="C10" s="27" t="str">
        <f>C8</f>
        <v>CLINE FALLS HYDRO PLANT</v>
      </c>
      <c r="D10" s="70" t="s">
        <v>7</v>
      </c>
      <c r="E10" s="14">
        <v>0.4113042590825348</v>
      </c>
      <c r="F10" s="23">
        <v>3530000</v>
      </c>
      <c r="G10" s="24" t="s">
        <v>17</v>
      </c>
      <c r="H10" s="25">
        <v>120250.04</v>
      </c>
      <c r="J10" s="28">
        <f>J8</f>
        <v>1080000</v>
      </c>
      <c r="K10" s="25">
        <v>-3322.28</v>
      </c>
      <c r="L10" s="25">
        <f aca="true" t="shared" si="3" ref="L10:L49">H10+K10</f>
        <v>116927.76</v>
      </c>
      <c r="M10" s="25">
        <f aca="true" t="shared" si="4" ref="M10:M49">E10*L10</f>
        <v>48092.885692980446</v>
      </c>
      <c r="N10" s="62"/>
      <c r="O10" s="63">
        <v>0.020350726859473662</v>
      </c>
      <c r="P10" s="7">
        <f>K10+P11</f>
        <v>-3526.211309906732</v>
      </c>
      <c r="Q10" s="7">
        <f>P10+Q11</f>
        <v>-3730.1426198134636</v>
      </c>
      <c r="R10" s="7">
        <f aca="true" t="shared" si="5" ref="R10:AG10">Q10+R11</f>
        <v>-3934.0739297201953</v>
      </c>
      <c r="S10" s="7">
        <f t="shared" si="5"/>
        <v>-4138.0052396269275</v>
      </c>
      <c r="T10" s="7">
        <f t="shared" si="5"/>
        <v>-4341.93654953366</v>
      </c>
      <c r="U10" s="7">
        <f t="shared" si="5"/>
        <v>-4545.867859440392</v>
      </c>
      <c r="V10" s="7">
        <f t="shared" si="5"/>
        <v>-4749.799169347124</v>
      </c>
      <c r="W10" s="7">
        <f t="shared" si="5"/>
        <v>-4953.730479253856</v>
      </c>
      <c r="X10" s="7">
        <f t="shared" si="5"/>
        <v>-5157.661789160588</v>
      </c>
      <c r="Y10" s="7">
        <f t="shared" si="5"/>
        <v>-5361.5930990673205</v>
      </c>
      <c r="Z10" s="7">
        <f t="shared" si="5"/>
        <v>-5565.524408974053</v>
      </c>
      <c r="AA10" s="7">
        <f t="shared" si="5"/>
        <v>-5769.455718880785</v>
      </c>
      <c r="AB10" s="7">
        <f t="shared" si="5"/>
        <v>-5973.387028787517</v>
      </c>
      <c r="AC10" s="7">
        <f t="shared" si="5"/>
        <v>-6177.318338694249</v>
      </c>
      <c r="AD10" s="7">
        <f t="shared" si="5"/>
        <v>-6381.249648600981</v>
      </c>
      <c r="AE10" s="7">
        <f t="shared" si="5"/>
        <v>-6585.1809585077135</v>
      </c>
      <c r="AF10" s="7">
        <f t="shared" si="5"/>
        <v>-6789.112268414446</v>
      </c>
      <c r="AG10" s="7">
        <f t="shared" si="5"/>
        <v>-6993.043578321178</v>
      </c>
      <c r="AH10" s="25">
        <f>AVERAGE(U10:AG10)</f>
        <v>-5769.455718880785</v>
      </c>
      <c r="AI10" s="25">
        <f>H10+AH10</f>
        <v>114480.58428111921</v>
      </c>
      <c r="AJ10" s="25">
        <f>E10*AI10</f>
        <v>47086.35189708142</v>
      </c>
      <c r="AK10" s="125"/>
      <c r="AL10" s="124"/>
    </row>
    <row r="11" spans="1:39" ht="12">
      <c r="A11" s="27"/>
      <c r="B11" s="27"/>
      <c r="C11" s="27"/>
      <c r="D11" s="70"/>
      <c r="E11" s="14"/>
      <c r="F11" s="23"/>
      <c r="G11" s="24"/>
      <c r="H11" s="25"/>
      <c r="J11" s="28"/>
      <c r="K11" s="25"/>
      <c r="L11" s="25"/>
      <c r="M11" s="25"/>
      <c r="N11" s="62"/>
      <c r="O11" s="63"/>
      <c r="P11" s="80">
        <f aca="true" t="shared" si="6" ref="P11:AG11">-($H10*$O10)/12</f>
        <v>-203.93130990673183</v>
      </c>
      <c r="Q11" s="80">
        <f t="shared" si="6"/>
        <v>-203.93130990673183</v>
      </c>
      <c r="R11" s="80">
        <f t="shared" si="6"/>
        <v>-203.93130990673183</v>
      </c>
      <c r="S11" s="80">
        <f t="shared" si="6"/>
        <v>-203.93130990673183</v>
      </c>
      <c r="T11" s="80">
        <f t="shared" si="6"/>
        <v>-203.93130990673183</v>
      </c>
      <c r="U11" s="80">
        <f t="shared" si="6"/>
        <v>-203.93130990673183</v>
      </c>
      <c r="V11" s="80">
        <f t="shared" si="6"/>
        <v>-203.93130990673183</v>
      </c>
      <c r="W11" s="80">
        <f t="shared" si="6"/>
        <v>-203.93130990673183</v>
      </c>
      <c r="X11" s="80">
        <f t="shared" si="6"/>
        <v>-203.93130990673183</v>
      </c>
      <c r="Y11" s="80">
        <f t="shared" si="6"/>
        <v>-203.93130990673183</v>
      </c>
      <c r="Z11" s="80">
        <f t="shared" si="6"/>
        <v>-203.93130990673183</v>
      </c>
      <c r="AA11" s="80">
        <f t="shared" si="6"/>
        <v>-203.93130990673183</v>
      </c>
      <c r="AB11" s="80">
        <f t="shared" si="6"/>
        <v>-203.93130990673183</v>
      </c>
      <c r="AC11" s="80">
        <f t="shared" si="6"/>
        <v>-203.93130990673183</v>
      </c>
      <c r="AD11" s="80">
        <f t="shared" si="6"/>
        <v>-203.93130990673183</v>
      </c>
      <c r="AE11" s="80">
        <f t="shared" si="6"/>
        <v>-203.93130990673183</v>
      </c>
      <c r="AF11" s="80">
        <f t="shared" si="6"/>
        <v>-203.93130990673183</v>
      </c>
      <c r="AG11" s="80">
        <f t="shared" si="6"/>
        <v>-203.93130990673183</v>
      </c>
      <c r="AH11" s="25"/>
      <c r="AI11" s="25"/>
      <c r="AJ11" s="25"/>
      <c r="AK11" s="125"/>
      <c r="AL11" s="124">
        <f>SUM(V11:AG11)</f>
        <v>-2447.1757188807815</v>
      </c>
      <c r="AM11" s="129">
        <f aca="true" t="shared" si="7" ref="AM11:AM23">AL11*E10</f>
        <v>-1006.5337958990293</v>
      </c>
    </row>
    <row r="12" spans="1:39" ht="12">
      <c r="A12" s="27">
        <f>A10</f>
        <v>24000</v>
      </c>
      <c r="B12" s="27">
        <f>B10</f>
        <v>1010000</v>
      </c>
      <c r="C12" s="27" t="str">
        <f>C10</f>
        <v>CLINE FALLS HYDRO PLANT</v>
      </c>
      <c r="D12" s="27" t="str">
        <f>D10</f>
        <v>SG</v>
      </c>
      <c r="E12" s="14">
        <v>0.4113042590825348</v>
      </c>
      <c r="F12" s="23">
        <v>3970000</v>
      </c>
      <c r="G12" s="24" t="s">
        <v>18</v>
      </c>
      <c r="H12" s="25">
        <v>47118.68</v>
      </c>
      <c r="J12" s="28">
        <f>J10</f>
        <v>1080000</v>
      </c>
      <c r="K12" s="25">
        <v>-208.22</v>
      </c>
      <c r="L12" s="25">
        <f t="shared" si="3"/>
        <v>46910.46</v>
      </c>
      <c r="M12" s="25">
        <f t="shared" si="4"/>
        <v>19294.471993520885</v>
      </c>
      <c r="N12" s="62"/>
      <c r="O12" s="91">
        <v>0.031871025046074315</v>
      </c>
      <c r="P12" s="7">
        <f>K12+P13</f>
        <v>-333.3633858681634</v>
      </c>
      <c r="Q12" s="7">
        <f>P12+Q13</f>
        <v>-458.5067717363268</v>
      </c>
      <c r="R12" s="7">
        <f aca="true" t="shared" si="8" ref="R12:AG12">Q12+R13</f>
        <v>-583.6501576044902</v>
      </c>
      <c r="S12" s="7">
        <f t="shared" si="8"/>
        <v>-708.7935434726536</v>
      </c>
      <c r="T12" s="7">
        <f t="shared" si="8"/>
        <v>-833.936929340817</v>
      </c>
      <c r="U12" s="7">
        <f t="shared" si="8"/>
        <v>-959.0803152089803</v>
      </c>
      <c r="V12" s="7">
        <f t="shared" si="8"/>
        <v>-1084.2237010771437</v>
      </c>
      <c r="W12" s="7">
        <f t="shared" si="8"/>
        <v>-1209.3670869453072</v>
      </c>
      <c r="X12" s="7">
        <f t="shared" si="8"/>
        <v>-1334.5104728134706</v>
      </c>
      <c r="Y12" s="7">
        <f t="shared" si="8"/>
        <v>-1459.6538586816341</v>
      </c>
      <c r="Z12" s="7">
        <f t="shared" si="8"/>
        <v>-1584.7972445497976</v>
      </c>
      <c r="AA12" s="7">
        <f t="shared" si="8"/>
        <v>-1709.940630417961</v>
      </c>
      <c r="AB12" s="7">
        <f t="shared" si="8"/>
        <v>-1835.0840162861246</v>
      </c>
      <c r="AC12" s="7">
        <f t="shared" si="8"/>
        <v>-1960.227402154288</v>
      </c>
      <c r="AD12" s="7">
        <f t="shared" si="8"/>
        <v>-2085.3707880224515</v>
      </c>
      <c r="AE12" s="7">
        <f t="shared" si="8"/>
        <v>-2210.514173890615</v>
      </c>
      <c r="AF12" s="7">
        <f t="shared" si="8"/>
        <v>-2335.6575597587785</v>
      </c>
      <c r="AG12" s="7">
        <f t="shared" si="8"/>
        <v>-2460.800945626942</v>
      </c>
      <c r="AH12" s="25">
        <f>AVERAGE(U12:AG12)</f>
        <v>-1709.9406304179613</v>
      </c>
      <c r="AI12" s="25">
        <f>H12+AH12</f>
        <v>45408.739369582036</v>
      </c>
      <c r="AJ12" s="25">
        <f>E12*AI12</f>
        <v>18676.80790227787</v>
      </c>
      <c r="AK12" s="125"/>
      <c r="AL12" s="124"/>
      <c r="AM12" s="129">
        <f t="shared" si="7"/>
        <v>0</v>
      </c>
    </row>
    <row r="13" spans="1:39" ht="12">
      <c r="A13" s="27"/>
      <c r="B13" s="27"/>
      <c r="C13" s="27"/>
      <c r="D13" s="70"/>
      <c r="E13" s="14"/>
      <c r="F13" s="23"/>
      <c r="G13" s="24"/>
      <c r="H13" s="25"/>
      <c r="J13" s="28"/>
      <c r="K13" s="25"/>
      <c r="L13" s="25"/>
      <c r="M13" s="25"/>
      <c r="N13" s="62"/>
      <c r="O13" s="91"/>
      <c r="P13" s="80">
        <f aca="true" t="shared" si="9" ref="P13:U13">-($H12*$O12)/12</f>
        <v>-125.1433858681634</v>
      </c>
      <c r="Q13" s="80">
        <f t="shared" si="9"/>
        <v>-125.1433858681634</v>
      </c>
      <c r="R13" s="80">
        <f t="shared" si="9"/>
        <v>-125.1433858681634</v>
      </c>
      <c r="S13" s="80">
        <f t="shared" si="9"/>
        <v>-125.1433858681634</v>
      </c>
      <c r="T13" s="80">
        <f t="shared" si="9"/>
        <v>-125.1433858681634</v>
      </c>
      <c r="U13" s="80">
        <f t="shared" si="9"/>
        <v>-125.1433858681634</v>
      </c>
      <c r="V13" s="80">
        <f aca="true" t="shared" si="10" ref="V13:AG13">-($H12*$O12)/12</f>
        <v>-125.1433858681634</v>
      </c>
      <c r="W13" s="80">
        <f t="shared" si="10"/>
        <v>-125.1433858681634</v>
      </c>
      <c r="X13" s="80">
        <f t="shared" si="10"/>
        <v>-125.1433858681634</v>
      </c>
      <c r="Y13" s="80">
        <f t="shared" si="10"/>
        <v>-125.1433858681634</v>
      </c>
      <c r="Z13" s="80">
        <f t="shared" si="10"/>
        <v>-125.1433858681634</v>
      </c>
      <c r="AA13" s="80">
        <f t="shared" si="10"/>
        <v>-125.1433858681634</v>
      </c>
      <c r="AB13" s="80">
        <f t="shared" si="10"/>
        <v>-125.1433858681634</v>
      </c>
      <c r="AC13" s="80">
        <f t="shared" si="10"/>
        <v>-125.1433858681634</v>
      </c>
      <c r="AD13" s="80">
        <f t="shared" si="10"/>
        <v>-125.1433858681634</v>
      </c>
      <c r="AE13" s="80">
        <f t="shared" si="10"/>
        <v>-125.1433858681634</v>
      </c>
      <c r="AF13" s="80">
        <f t="shared" si="10"/>
        <v>-125.1433858681634</v>
      </c>
      <c r="AG13" s="80">
        <f t="shared" si="10"/>
        <v>-125.1433858681634</v>
      </c>
      <c r="AH13" s="25"/>
      <c r="AI13" s="25"/>
      <c r="AJ13" s="25"/>
      <c r="AK13" s="125"/>
      <c r="AL13" s="124">
        <f>SUM(V13:AG13)</f>
        <v>-1501.720630417961</v>
      </c>
      <c r="AM13" s="129">
        <f t="shared" si="7"/>
        <v>-617.6640912430165</v>
      </c>
    </row>
    <row r="14" spans="1:39" ht="12">
      <c r="A14" s="27">
        <f>A12</f>
        <v>24000</v>
      </c>
      <c r="B14" s="27">
        <f>B12</f>
        <v>1010000</v>
      </c>
      <c r="C14" s="27" t="str">
        <f>C12</f>
        <v>CLINE FALLS HYDRO PLANT</v>
      </c>
      <c r="D14" s="22" t="s">
        <v>4</v>
      </c>
      <c r="E14" s="14">
        <v>0.4113042590825348</v>
      </c>
      <c r="F14" s="23">
        <v>3311000</v>
      </c>
      <c r="G14" s="24" t="s">
        <v>19</v>
      </c>
      <c r="H14" s="25">
        <v>21063.94</v>
      </c>
      <c r="J14" s="28">
        <f>J12</f>
        <v>1080000</v>
      </c>
      <c r="K14" s="25">
        <v>-143426.68</v>
      </c>
      <c r="L14" s="25">
        <f t="shared" si="3"/>
        <v>-122362.73999999999</v>
      </c>
      <c r="M14" s="25">
        <f t="shared" si="4"/>
        <v>-50328.31611500884</v>
      </c>
      <c r="N14" s="62"/>
      <c r="O14" s="91">
        <v>0.02178515461896085</v>
      </c>
      <c r="P14" s="7">
        <f>K14+P15</f>
        <v>-143464.9200991487</v>
      </c>
      <c r="Q14" s="7">
        <f>P14+Q15</f>
        <v>-143503.1601982974</v>
      </c>
      <c r="R14" s="7">
        <f aca="true" t="shared" si="11" ref="R14:AG14">Q14+R15</f>
        <v>-143541.40029744612</v>
      </c>
      <c r="S14" s="7">
        <f t="shared" si="11"/>
        <v>-143579.64039659483</v>
      </c>
      <c r="T14" s="7">
        <f t="shared" si="11"/>
        <v>-143617.88049574353</v>
      </c>
      <c r="U14" s="7">
        <f t="shared" si="11"/>
        <v>-143656.12059489224</v>
      </c>
      <c r="V14" s="7">
        <f t="shared" si="11"/>
        <v>-143694.36069404095</v>
      </c>
      <c r="W14" s="7">
        <f t="shared" si="11"/>
        <v>-143732.60079318966</v>
      </c>
      <c r="X14" s="7">
        <f t="shared" si="11"/>
        <v>-143770.84089233837</v>
      </c>
      <c r="Y14" s="7">
        <f t="shared" si="11"/>
        <v>-143809.08099148708</v>
      </c>
      <c r="Z14" s="7">
        <f t="shared" si="11"/>
        <v>-143847.32109063579</v>
      </c>
      <c r="AA14" s="7">
        <f t="shared" si="11"/>
        <v>-143885.5611897845</v>
      </c>
      <c r="AB14" s="7">
        <f t="shared" si="11"/>
        <v>-143923.8012889332</v>
      </c>
      <c r="AC14" s="7">
        <f t="shared" si="11"/>
        <v>-143962.0413880819</v>
      </c>
      <c r="AD14" s="7">
        <f t="shared" si="11"/>
        <v>-144000.28148723062</v>
      </c>
      <c r="AE14" s="7">
        <f t="shared" si="11"/>
        <v>-144038.52158637933</v>
      </c>
      <c r="AF14" s="7">
        <f t="shared" si="11"/>
        <v>-144076.76168552804</v>
      </c>
      <c r="AG14" s="7">
        <f t="shared" si="11"/>
        <v>-144115.00178467674</v>
      </c>
      <c r="AH14" s="25">
        <f>AVERAGE(U14:AG14)</f>
        <v>-143885.5611897845</v>
      </c>
      <c r="AI14" s="25">
        <f>H14+AH14</f>
        <v>-122821.62118978449</v>
      </c>
      <c r="AJ14" s="25">
        <f>E14*AI14</f>
        <v>-50517.05590278007</v>
      </c>
      <c r="AK14" s="125"/>
      <c r="AL14" s="124"/>
      <c r="AM14" s="129">
        <f t="shared" si="7"/>
        <v>0</v>
      </c>
    </row>
    <row r="15" spans="1:39" ht="12">
      <c r="A15" s="27"/>
      <c r="B15" s="27"/>
      <c r="C15" s="27"/>
      <c r="D15" s="70"/>
      <c r="E15" s="14"/>
      <c r="F15" s="23"/>
      <c r="G15" s="24"/>
      <c r="H15" s="25"/>
      <c r="J15" s="28"/>
      <c r="K15" s="25"/>
      <c r="L15" s="25"/>
      <c r="M15" s="25"/>
      <c r="N15" s="62"/>
      <c r="O15" s="91"/>
      <c r="P15" s="80">
        <f aca="true" t="shared" si="12" ref="P15:U15">-($H14*$O14)/12</f>
        <v>-38.24009914870951</v>
      </c>
      <c r="Q15" s="80">
        <f t="shared" si="12"/>
        <v>-38.24009914870951</v>
      </c>
      <c r="R15" s="80">
        <f t="shared" si="12"/>
        <v>-38.24009914870951</v>
      </c>
      <c r="S15" s="80">
        <f t="shared" si="12"/>
        <v>-38.24009914870951</v>
      </c>
      <c r="T15" s="80">
        <f t="shared" si="12"/>
        <v>-38.24009914870951</v>
      </c>
      <c r="U15" s="80">
        <f t="shared" si="12"/>
        <v>-38.24009914870951</v>
      </c>
      <c r="V15" s="80">
        <f aca="true" t="shared" si="13" ref="V15:AG15">-($H14*$O14)/12</f>
        <v>-38.24009914870951</v>
      </c>
      <c r="W15" s="80">
        <f t="shared" si="13"/>
        <v>-38.24009914870951</v>
      </c>
      <c r="X15" s="80">
        <f t="shared" si="13"/>
        <v>-38.24009914870951</v>
      </c>
      <c r="Y15" s="80">
        <f t="shared" si="13"/>
        <v>-38.24009914870951</v>
      </c>
      <c r="Z15" s="80">
        <f t="shared" si="13"/>
        <v>-38.24009914870951</v>
      </c>
      <c r="AA15" s="80">
        <f t="shared" si="13"/>
        <v>-38.24009914870951</v>
      </c>
      <c r="AB15" s="80">
        <f t="shared" si="13"/>
        <v>-38.24009914870951</v>
      </c>
      <c r="AC15" s="80">
        <f t="shared" si="13"/>
        <v>-38.24009914870951</v>
      </c>
      <c r="AD15" s="80">
        <f t="shared" si="13"/>
        <v>-38.24009914870951</v>
      </c>
      <c r="AE15" s="80">
        <f t="shared" si="13"/>
        <v>-38.24009914870951</v>
      </c>
      <c r="AF15" s="80">
        <f t="shared" si="13"/>
        <v>-38.24009914870951</v>
      </c>
      <c r="AG15" s="80">
        <f t="shared" si="13"/>
        <v>-38.24009914870951</v>
      </c>
      <c r="AH15" s="25"/>
      <c r="AI15" s="25"/>
      <c r="AJ15" s="25"/>
      <c r="AK15" s="125"/>
      <c r="AL15" s="124">
        <f>SUM(V15:AG15)</f>
        <v>-458.8811897845142</v>
      </c>
      <c r="AM15" s="129">
        <f t="shared" si="7"/>
        <v>-188.73978777123168</v>
      </c>
    </row>
    <row r="16" spans="1:39" ht="12">
      <c r="A16" s="27">
        <f>A14</f>
        <v>24000</v>
      </c>
      <c r="B16" s="27">
        <f>B14</f>
        <v>1010000</v>
      </c>
      <c r="C16" s="27" t="str">
        <f>C14</f>
        <v>CLINE FALLS HYDRO PLANT</v>
      </c>
      <c r="D16" s="27" t="str">
        <f>D14</f>
        <v>SG-P</v>
      </c>
      <c r="E16" s="14">
        <v>0.4113042590825348</v>
      </c>
      <c r="F16" s="23">
        <v>3321000</v>
      </c>
      <c r="G16" s="24" t="s">
        <v>20</v>
      </c>
      <c r="H16" s="25">
        <v>32837.899999999994</v>
      </c>
      <c r="J16" s="28">
        <f>J14</f>
        <v>1080000</v>
      </c>
      <c r="K16" s="25">
        <v>-122688.59000000001</v>
      </c>
      <c r="L16" s="25">
        <f t="shared" si="3"/>
        <v>-89850.69000000002</v>
      </c>
      <c r="M16" s="25">
        <f t="shared" si="4"/>
        <v>-36955.97147850453</v>
      </c>
      <c r="N16" s="62"/>
      <c r="O16" s="91">
        <v>0.02178515461896085</v>
      </c>
      <c r="P16" s="7">
        <f>K16+P17</f>
        <v>-122748.20489407184</v>
      </c>
      <c r="Q16" s="7">
        <f>P16+Q17</f>
        <v>-122807.81978814366</v>
      </c>
      <c r="R16" s="7">
        <f aca="true" t="shared" si="14" ref="R16:AG16">Q16+R17</f>
        <v>-122867.43468221549</v>
      </c>
      <c r="S16" s="7">
        <f t="shared" si="14"/>
        <v>-122927.04957628732</v>
      </c>
      <c r="T16" s="7">
        <f t="shared" si="14"/>
        <v>-122986.66447035914</v>
      </c>
      <c r="U16" s="7">
        <f t="shared" si="14"/>
        <v>-123046.27936443097</v>
      </c>
      <c r="V16" s="7">
        <f t="shared" si="14"/>
        <v>-123105.8942585028</v>
      </c>
      <c r="W16" s="7">
        <f t="shared" si="14"/>
        <v>-123165.50915257462</v>
      </c>
      <c r="X16" s="7">
        <f t="shared" si="14"/>
        <v>-123225.12404664645</v>
      </c>
      <c r="Y16" s="7">
        <f t="shared" si="14"/>
        <v>-123284.73894071828</v>
      </c>
      <c r="Z16" s="7">
        <f t="shared" si="14"/>
        <v>-123344.3538347901</v>
      </c>
      <c r="AA16" s="7">
        <f t="shared" si="14"/>
        <v>-123403.96872886193</v>
      </c>
      <c r="AB16" s="7">
        <f t="shared" si="14"/>
        <v>-123463.58362293376</v>
      </c>
      <c r="AC16" s="7">
        <f t="shared" si="14"/>
        <v>-123523.19851700559</v>
      </c>
      <c r="AD16" s="7">
        <f t="shared" si="14"/>
        <v>-123582.81341107741</v>
      </c>
      <c r="AE16" s="7">
        <f t="shared" si="14"/>
        <v>-123642.42830514924</v>
      </c>
      <c r="AF16" s="7">
        <f t="shared" si="14"/>
        <v>-123702.04319922107</v>
      </c>
      <c r="AG16" s="7">
        <f t="shared" si="14"/>
        <v>-123761.65809329289</v>
      </c>
      <c r="AH16" s="25">
        <f>AVERAGE(U16:AG16)</f>
        <v>-123403.96872886195</v>
      </c>
      <c r="AI16" s="25">
        <f>H16+AH16</f>
        <v>-90566.06872886195</v>
      </c>
      <c r="AJ16" s="25">
        <f>E16*AI16</f>
        <v>-37250.20979654249</v>
      </c>
      <c r="AK16" s="125"/>
      <c r="AL16" s="124"/>
      <c r="AM16" s="129">
        <f t="shared" si="7"/>
        <v>0</v>
      </c>
    </row>
    <row r="17" spans="1:39" ht="12">
      <c r="A17" s="27"/>
      <c r="B17" s="27"/>
      <c r="C17" s="27"/>
      <c r="D17" s="27"/>
      <c r="E17" s="14"/>
      <c r="F17" s="23"/>
      <c r="G17" s="24"/>
      <c r="H17" s="25"/>
      <c r="J17" s="28"/>
      <c r="K17" s="25"/>
      <c r="L17" s="25"/>
      <c r="M17" s="25"/>
      <c r="N17" s="62"/>
      <c r="O17" s="91"/>
      <c r="P17" s="80">
        <f aca="true" t="shared" si="15" ref="P17:U17">-($H16*$O16)/12</f>
        <v>-59.614894071831195</v>
      </c>
      <c r="Q17" s="80">
        <f t="shared" si="15"/>
        <v>-59.614894071831195</v>
      </c>
      <c r="R17" s="80">
        <f t="shared" si="15"/>
        <v>-59.614894071831195</v>
      </c>
      <c r="S17" s="80">
        <f t="shared" si="15"/>
        <v>-59.614894071831195</v>
      </c>
      <c r="T17" s="80">
        <f t="shared" si="15"/>
        <v>-59.614894071831195</v>
      </c>
      <c r="U17" s="80">
        <f t="shared" si="15"/>
        <v>-59.614894071831195</v>
      </c>
      <c r="V17" s="80">
        <f aca="true" t="shared" si="16" ref="V17:AG17">-($H16*$O16)/12</f>
        <v>-59.614894071831195</v>
      </c>
      <c r="W17" s="80">
        <f t="shared" si="16"/>
        <v>-59.614894071831195</v>
      </c>
      <c r="X17" s="80">
        <f t="shared" si="16"/>
        <v>-59.614894071831195</v>
      </c>
      <c r="Y17" s="80">
        <f t="shared" si="16"/>
        <v>-59.614894071831195</v>
      </c>
      <c r="Z17" s="80">
        <f t="shared" si="16"/>
        <v>-59.614894071831195</v>
      </c>
      <c r="AA17" s="80">
        <f t="shared" si="16"/>
        <v>-59.614894071831195</v>
      </c>
      <c r="AB17" s="80">
        <f t="shared" si="16"/>
        <v>-59.614894071831195</v>
      </c>
      <c r="AC17" s="80">
        <f t="shared" si="16"/>
        <v>-59.614894071831195</v>
      </c>
      <c r="AD17" s="80">
        <f t="shared" si="16"/>
        <v>-59.614894071831195</v>
      </c>
      <c r="AE17" s="80">
        <f t="shared" si="16"/>
        <v>-59.614894071831195</v>
      </c>
      <c r="AF17" s="80">
        <f t="shared" si="16"/>
        <v>-59.614894071831195</v>
      </c>
      <c r="AG17" s="80">
        <f t="shared" si="16"/>
        <v>-59.614894071831195</v>
      </c>
      <c r="AH17" s="25"/>
      <c r="AI17" s="25"/>
      <c r="AJ17" s="25"/>
      <c r="AK17" s="125"/>
      <c r="AL17" s="124">
        <f>SUM(V17:AG17)</f>
        <v>-715.3787288619742</v>
      </c>
      <c r="AM17" s="129">
        <f t="shared" si="7"/>
        <v>-294.23831803797987</v>
      </c>
    </row>
    <row r="18" spans="1:39" ht="12">
      <c r="A18" s="27">
        <f>A16</f>
        <v>24000</v>
      </c>
      <c r="B18" s="27">
        <f>B16</f>
        <v>1010000</v>
      </c>
      <c r="C18" s="27" t="str">
        <f>C16</f>
        <v>CLINE FALLS HYDRO PLANT</v>
      </c>
      <c r="D18" s="27" t="str">
        <f>D16</f>
        <v>SG-P</v>
      </c>
      <c r="E18" s="14">
        <v>0.4113042590825348</v>
      </c>
      <c r="F18" s="23">
        <v>3330000</v>
      </c>
      <c r="G18" s="24" t="s">
        <v>21</v>
      </c>
      <c r="H18" s="25">
        <v>744.6800000000001</v>
      </c>
      <c r="J18" s="28">
        <f>J16</f>
        <v>1080000</v>
      </c>
      <c r="K18" s="25">
        <v>-91744.4</v>
      </c>
      <c r="L18" s="25">
        <f t="shared" si="3"/>
        <v>-90999.72</v>
      </c>
      <c r="M18" s="25">
        <f t="shared" si="4"/>
        <v>-37428.57241131813</v>
      </c>
      <c r="N18" s="62"/>
      <c r="O18" s="91">
        <v>0.02178515461896085</v>
      </c>
      <c r="P18" s="7">
        <f>K18+P19</f>
        <v>-91745.75191407847</v>
      </c>
      <c r="Q18" s="7">
        <f>P18+Q19</f>
        <v>-91747.10382815695</v>
      </c>
      <c r="R18" s="7">
        <f aca="true" t="shared" si="17" ref="R18:AG18">Q18+R19</f>
        <v>-91748.45574223543</v>
      </c>
      <c r="S18" s="7">
        <f t="shared" si="17"/>
        <v>-91749.8076563139</v>
      </c>
      <c r="T18" s="7">
        <f t="shared" si="17"/>
        <v>-91751.15957039238</v>
      </c>
      <c r="U18" s="7">
        <f t="shared" si="17"/>
        <v>-91752.51148447086</v>
      </c>
      <c r="V18" s="7">
        <f t="shared" si="17"/>
        <v>-91753.86339854934</v>
      </c>
      <c r="W18" s="7">
        <f t="shared" si="17"/>
        <v>-91755.21531262781</v>
      </c>
      <c r="X18" s="7">
        <f t="shared" si="17"/>
        <v>-91756.56722670629</v>
      </c>
      <c r="Y18" s="7">
        <f t="shared" si="17"/>
        <v>-91757.91914078477</v>
      </c>
      <c r="Z18" s="7">
        <f t="shared" si="17"/>
        <v>-91759.27105486325</v>
      </c>
      <c r="AA18" s="7">
        <f t="shared" si="17"/>
        <v>-91760.62296894172</v>
      </c>
      <c r="AB18" s="7">
        <f t="shared" si="17"/>
        <v>-91761.9748830202</v>
      </c>
      <c r="AC18" s="7">
        <f t="shared" si="17"/>
        <v>-91763.32679709868</v>
      </c>
      <c r="AD18" s="7">
        <f t="shared" si="17"/>
        <v>-91764.67871117716</v>
      </c>
      <c r="AE18" s="7">
        <f t="shared" si="17"/>
        <v>-91766.03062525563</v>
      </c>
      <c r="AF18" s="7">
        <f t="shared" si="17"/>
        <v>-91767.38253933411</v>
      </c>
      <c r="AG18" s="7">
        <f t="shared" si="17"/>
        <v>-91768.73445341259</v>
      </c>
      <c r="AH18" s="25">
        <f>AVERAGE(U18:AG18)</f>
        <v>-91760.62296894171</v>
      </c>
      <c r="AI18" s="25">
        <f>H18+AH18</f>
        <v>-91015.94296894172</v>
      </c>
      <c r="AJ18" s="25">
        <f>E18*AI18</f>
        <v>-37435.24498753882</v>
      </c>
      <c r="AK18" s="125"/>
      <c r="AL18" s="124"/>
      <c r="AM18" s="129">
        <f t="shared" si="7"/>
        <v>0</v>
      </c>
    </row>
    <row r="19" spans="1:39" ht="12">
      <c r="A19" s="27"/>
      <c r="B19" s="27"/>
      <c r="C19" s="27"/>
      <c r="D19" s="27"/>
      <c r="E19" s="14"/>
      <c r="F19" s="23"/>
      <c r="G19" s="24"/>
      <c r="H19" s="25"/>
      <c r="J19" s="28"/>
      <c r="K19" s="25"/>
      <c r="L19" s="25"/>
      <c r="M19" s="25"/>
      <c r="N19" s="62"/>
      <c r="O19" s="91"/>
      <c r="P19" s="80">
        <f aca="true" t="shared" si="18" ref="P19:U19">-($H18*$O18)/12</f>
        <v>-1.3519140784706474</v>
      </c>
      <c r="Q19" s="80">
        <f t="shared" si="18"/>
        <v>-1.3519140784706474</v>
      </c>
      <c r="R19" s="80">
        <f t="shared" si="18"/>
        <v>-1.3519140784706474</v>
      </c>
      <c r="S19" s="80">
        <f t="shared" si="18"/>
        <v>-1.3519140784706474</v>
      </c>
      <c r="T19" s="80">
        <f t="shared" si="18"/>
        <v>-1.3519140784706474</v>
      </c>
      <c r="U19" s="80">
        <f t="shared" si="18"/>
        <v>-1.3519140784706474</v>
      </c>
      <c r="V19" s="80">
        <f aca="true" t="shared" si="19" ref="V19:AG19">-($H18*$O18)/12</f>
        <v>-1.3519140784706474</v>
      </c>
      <c r="W19" s="80">
        <f t="shared" si="19"/>
        <v>-1.3519140784706474</v>
      </c>
      <c r="X19" s="80">
        <f t="shared" si="19"/>
        <v>-1.3519140784706474</v>
      </c>
      <c r="Y19" s="80">
        <f t="shared" si="19"/>
        <v>-1.3519140784706474</v>
      </c>
      <c r="Z19" s="80">
        <f t="shared" si="19"/>
        <v>-1.3519140784706474</v>
      </c>
      <c r="AA19" s="80">
        <f t="shared" si="19"/>
        <v>-1.3519140784706474</v>
      </c>
      <c r="AB19" s="80">
        <f t="shared" si="19"/>
        <v>-1.3519140784706474</v>
      </c>
      <c r="AC19" s="80">
        <f t="shared" si="19"/>
        <v>-1.3519140784706474</v>
      </c>
      <c r="AD19" s="80">
        <f t="shared" si="19"/>
        <v>-1.3519140784706474</v>
      </c>
      <c r="AE19" s="80">
        <f t="shared" si="19"/>
        <v>-1.3519140784706474</v>
      </c>
      <c r="AF19" s="80">
        <f t="shared" si="19"/>
        <v>-1.3519140784706474</v>
      </c>
      <c r="AG19" s="80">
        <f t="shared" si="19"/>
        <v>-1.3519140784706474</v>
      </c>
      <c r="AH19" s="25"/>
      <c r="AI19" s="25"/>
      <c r="AJ19" s="25"/>
      <c r="AK19" s="125"/>
      <c r="AL19" s="124">
        <f>SUM(V19:AG19)</f>
        <v>-16.222968941647768</v>
      </c>
      <c r="AM19" s="129">
        <f t="shared" si="7"/>
        <v>-6.672576220663409</v>
      </c>
    </row>
    <row r="20" spans="1:39" ht="12">
      <c r="A20" s="27">
        <f>A18</f>
        <v>24000</v>
      </c>
      <c r="B20" s="27">
        <f>B18</f>
        <v>1010000</v>
      </c>
      <c r="C20" s="27" t="str">
        <f>C18</f>
        <v>CLINE FALLS HYDRO PLANT</v>
      </c>
      <c r="D20" s="27" t="str">
        <f>D18</f>
        <v>SG-P</v>
      </c>
      <c r="E20" s="14">
        <v>0.4113042590825348</v>
      </c>
      <c r="F20" s="23">
        <v>3340000</v>
      </c>
      <c r="G20" s="24" t="s">
        <v>22</v>
      </c>
      <c r="H20" s="25">
        <v>4440.99</v>
      </c>
      <c r="J20" s="28">
        <f>J18</f>
        <v>1080000</v>
      </c>
      <c r="K20" s="25">
        <v>-27527.04</v>
      </c>
      <c r="L20" s="25">
        <f t="shared" si="3"/>
        <v>-23086.050000000003</v>
      </c>
      <c r="M20" s="25">
        <f t="shared" si="4"/>
        <v>-9495.390690392354</v>
      </c>
      <c r="N20" s="62"/>
      <c r="O20" s="91">
        <v>0.02178515461896085</v>
      </c>
      <c r="P20" s="7">
        <f>K20+P21</f>
        <v>-27535.102304484273</v>
      </c>
      <c r="Q20" s="7">
        <f>P20+Q21</f>
        <v>-27543.164608968546</v>
      </c>
      <c r="R20" s="7">
        <f aca="true" t="shared" si="20" ref="R20:AG20">Q20+R21</f>
        <v>-27551.226913452818</v>
      </c>
      <c r="S20" s="7">
        <f t="shared" si="20"/>
        <v>-27559.28921793709</v>
      </c>
      <c r="T20" s="7">
        <f t="shared" si="20"/>
        <v>-27567.351522421362</v>
      </c>
      <c r="U20" s="7">
        <f t="shared" si="20"/>
        <v>-27575.413826905635</v>
      </c>
      <c r="V20" s="7">
        <f t="shared" si="20"/>
        <v>-27583.476131389907</v>
      </c>
      <c r="W20" s="7">
        <f t="shared" si="20"/>
        <v>-27591.53843587418</v>
      </c>
      <c r="X20" s="7">
        <f t="shared" si="20"/>
        <v>-27599.60074035845</v>
      </c>
      <c r="Y20" s="7">
        <f t="shared" si="20"/>
        <v>-27607.663044842724</v>
      </c>
      <c r="Z20" s="7">
        <f t="shared" si="20"/>
        <v>-27615.725349326996</v>
      </c>
      <c r="AA20" s="7">
        <f t="shared" si="20"/>
        <v>-27623.78765381127</v>
      </c>
      <c r="AB20" s="7">
        <f t="shared" si="20"/>
        <v>-27631.84995829554</v>
      </c>
      <c r="AC20" s="7">
        <f t="shared" si="20"/>
        <v>-27639.912262779813</v>
      </c>
      <c r="AD20" s="7">
        <f t="shared" si="20"/>
        <v>-27647.974567264086</v>
      </c>
      <c r="AE20" s="7">
        <f t="shared" si="20"/>
        <v>-27656.036871748358</v>
      </c>
      <c r="AF20" s="7">
        <f t="shared" si="20"/>
        <v>-27664.09917623263</v>
      </c>
      <c r="AG20" s="7">
        <f t="shared" si="20"/>
        <v>-27672.161480716903</v>
      </c>
      <c r="AH20" s="25">
        <f>AVERAGE(U20:AG20)</f>
        <v>-27623.78765381127</v>
      </c>
      <c r="AI20" s="25">
        <f>H20+AH20</f>
        <v>-23182.79765381127</v>
      </c>
      <c r="AJ20" s="25">
        <f>E20*AI20</f>
        <v>-9535.18341246117</v>
      </c>
      <c r="AK20" s="125"/>
      <c r="AL20" s="124"/>
      <c r="AM20" s="129">
        <f t="shared" si="7"/>
        <v>0</v>
      </c>
    </row>
    <row r="21" spans="1:39" ht="12">
      <c r="A21" s="27"/>
      <c r="B21" s="27"/>
      <c r="C21" s="27"/>
      <c r="D21" s="27"/>
      <c r="E21" s="14"/>
      <c r="F21" s="23"/>
      <c r="G21" s="24"/>
      <c r="H21" s="25"/>
      <c r="J21" s="28"/>
      <c r="K21" s="25"/>
      <c r="L21" s="25"/>
      <c r="M21" s="25"/>
      <c r="N21" s="62"/>
      <c r="O21" s="91"/>
      <c r="P21" s="80">
        <f aca="true" t="shared" si="21" ref="P21:U21">-($H20*$O20)/12</f>
        <v>-8.062304484271579</v>
      </c>
      <c r="Q21" s="80">
        <f t="shared" si="21"/>
        <v>-8.062304484271579</v>
      </c>
      <c r="R21" s="80">
        <f t="shared" si="21"/>
        <v>-8.062304484271579</v>
      </c>
      <c r="S21" s="80">
        <f t="shared" si="21"/>
        <v>-8.062304484271579</v>
      </c>
      <c r="T21" s="80">
        <f t="shared" si="21"/>
        <v>-8.062304484271579</v>
      </c>
      <c r="U21" s="80">
        <f t="shared" si="21"/>
        <v>-8.062304484271579</v>
      </c>
      <c r="V21" s="80">
        <f aca="true" t="shared" si="22" ref="V21:AG21">-($H20*$O20)/12</f>
        <v>-8.062304484271579</v>
      </c>
      <c r="W21" s="80">
        <f t="shared" si="22"/>
        <v>-8.062304484271579</v>
      </c>
      <c r="X21" s="80">
        <f t="shared" si="22"/>
        <v>-8.062304484271579</v>
      </c>
      <c r="Y21" s="80">
        <f t="shared" si="22"/>
        <v>-8.062304484271579</v>
      </c>
      <c r="Z21" s="80">
        <f t="shared" si="22"/>
        <v>-8.062304484271579</v>
      </c>
      <c r="AA21" s="80">
        <f t="shared" si="22"/>
        <v>-8.062304484271579</v>
      </c>
      <c r="AB21" s="80">
        <f t="shared" si="22"/>
        <v>-8.062304484271579</v>
      </c>
      <c r="AC21" s="80">
        <f t="shared" si="22"/>
        <v>-8.062304484271579</v>
      </c>
      <c r="AD21" s="80">
        <f t="shared" si="22"/>
        <v>-8.062304484271579</v>
      </c>
      <c r="AE21" s="80">
        <f t="shared" si="22"/>
        <v>-8.062304484271579</v>
      </c>
      <c r="AF21" s="80">
        <f t="shared" si="22"/>
        <v>-8.062304484271579</v>
      </c>
      <c r="AG21" s="80">
        <f t="shared" si="22"/>
        <v>-8.062304484271579</v>
      </c>
      <c r="AH21" s="25"/>
      <c r="AI21" s="25"/>
      <c r="AJ21" s="25"/>
      <c r="AK21" s="125"/>
      <c r="AL21" s="124">
        <f>SUM(V21:AG21)</f>
        <v>-96.74765381125894</v>
      </c>
      <c r="AM21" s="129">
        <f t="shared" si="7"/>
        <v>-39.79272206881343</v>
      </c>
    </row>
    <row r="22" spans="1:39" ht="12">
      <c r="A22" s="27">
        <f>A20</f>
        <v>24000</v>
      </c>
      <c r="B22" s="27">
        <f>B20</f>
        <v>1010000</v>
      </c>
      <c r="C22" s="27" t="str">
        <f>C20</f>
        <v>CLINE FALLS HYDRO PLANT</v>
      </c>
      <c r="D22" s="27" t="str">
        <f>D20</f>
        <v>SG-P</v>
      </c>
      <c r="E22" s="14">
        <v>0.4113042590825348</v>
      </c>
      <c r="F22" s="23">
        <v>3347000</v>
      </c>
      <c r="G22" s="24" t="s">
        <v>23</v>
      </c>
      <c r="H22" s="25">
        <v>7664.150000000001</v>
      </c>
      <c r="J22" s="28">
        <f>J20</f>
        <v>1080000</v>
      </c>
      <c r="K22" s="25">
        <v>-46452.979999999996</v>
      </c>
      <c r="L22" s="25">
        <f t="shared" si="3"/>
        <v>-38788.829999999994</v>
      </c>
      <c r="M22" s="25">
        <f t="shared" si="4"/>
        <v>-15954.010983828397</v>
      </c>
      <c r="N22" s="62"/>
      <c r="O22" s="91">
        <v>0.02178515461896085</v>
      </c>
      <c r="P22" s="7">
        <f>K22+P23</f>
        <v>-46466.89372439774</v>
      </c>
      <c r="Q22" s="7">
        <f>P22+Q23</f>
        <v>-46480.80744879549</v>
      </c>
      <c r="R22" s="7">
        <f aca="true" t="shared" si="23" ref="R22:AG22">Q22+R23</f>
        <v>-46494.72117319323</v>
      </c>
      <c r="S22" s="7">
        <f t="shared" si="23"/>
        <v>-46508.63489759098</v>
      </c>
      <c r="T22" s="7">
        <f t="shared" si="23"/>
        <v>-46522.548621988724</v>
      </c>
      <c r="U22" s="7">
        <f t="shared" si="23"/>
        <v>-46536.46234638647</v>
      </c>
      <c r="V22" s="7">
        <f t="shared" si="23"/>
        <v>-46550.376070784216</v>
      </c>
      <c r="W22" s="7">
        <f t="shared" si="23"/>
        <v>-46564.28979518196</v>
      </c>
      <c r="X22" s="7">
        <f t="shared" si="23"/>
        <v>-46578.20351957971</v>
      </c>
      <c r="Y22" s="7">
        <f t="shared" si="23"/>
        <v>-46592.11724397745</v>
      </c>
      <c r="Z22" s="7">
        <f t="shared" si="23"/>
        <v>-46606.0309683752</v>
      </c>
      <c r="AA22" s="7">
        <f t="shared" si="23"/>
        <v>-46619.944692772944</v>
      </c>
      <c r="AB22" s="7">
        <f t="shared" si="23"/>
        <v>-46633.85841717069</v>
      </c>
      <c r="AC22" s="7">
        <f t="shared" si="23"/>
        <v>-46647.772141568435</v>
      </c>
      <c r="AD22" s="7">
        <f t="shared" si="23"/>
        <v>-46661.68586596618</v>
      </c>
      <c r="AE22" s="7">
        <f t="shared" si="23"/>
        <v>-46675.59959036393</v>
      </c>
      <c r="AF22" s="7">
        <f t="shared" si="23"/>
        <v>-46689.51331476167</v>
      </c>
      <c r="AG22" s="7">
        <f t="shared" si="23"/>
        <v>-46703.42703915942</v>
      </c>
      <c r="AH22" s="25">
        <f>AVERAGE(U22:AG22)</f>
        <v>-46619.944692772944</v>
      </c>
      <c r="AI22" s="25">
        <f>H22+AH22</f>
        <v>-38955.79469277294</v>
      </c>
      <c r="AJ22" s="25">
        <f>E22*AI22</f>
        <v>-16022.684273082317</v>
      </c>
      <c r="AK22" s="125"/>
      <c r="AL22" s="124"/>
      <c r="AM22" s="129">
        <f t="shared" si="7"/>
        <v>0</v>
      </c>
    </row>
    <row r="23" spans="1:39" ht="12">
      <c r="A23" s="27"/>
      <c r="B23" s="27"/>
      <c r="C23" s="27"/>
      <c r="D23" s="27"/>
      <c r="E23" s="16"/>
      <c r="F23" s="29"/>
      <c r="G23" s="30"/>
      <c r="H23" s="31"/>
      <c r="J23" s="32"/>
      <c r="K23" s="31"/>
      <c r="L23" s="31"/>
      <c r="M23" s="31"/>
      <c r="N23" s="65"/>
      <c r="O23" s="101"/>
      <c r="P23" s="80">
        <f aca="true" t="shared" si="24" ref="P23:U23">-($H22*$O22)/12</f>
        <v>-13.9137243977424</v>
      </c>
      <c r="Q23" s="80">
        <f t="shared" si="24"/>
        <v>-13.9137243977424</v>
      </c>
      <c r="R23" s="80">
        <f t="shared" si="24"/>
        <v>-13.9137243977424</v>
      </c>
      <c r="S23" s="80">
        <f t="shared" si="24"/>
        <v>-13.9137243977424</v>
      </c>
      <c r="T23" s="80">
        <f t="shared" si="24"/>
        <v>-13.9137243977424</v>
      </c>
      <c r="U23" s="80">
        <f t="shared" si="24"/>
        <v>-13.9137243977424</v>
      </c>
      <c r="V23" s="80">
        <f aca="true" t="shared" si="25" ref="V23:AG23">-($H22*$O22)/12</f>
        <v>-13.9137243977424</v>
      </c>
      <c r="W23" s="80">
        <f t="shared" si="25"/>
        <v>-13.9137243977424</v>
      </c>
      <c r="X23" s="80">
        <f t="shared" si="25"/>
        <v>-13.9137243977424</v>
      </c>
      <c r="Y23" s="80">
        <f t="shared" si="25"/>
        <v>-13.9137243977424</v>
      </c>
      <c r="Z23" s="80">
        <f t="shared" si="25"/>
        <v>-13.9137243977424</v>
      </c>
      <c r="AA23" s="80">
        <f t="shared" si="25"/>
        <v>-13.9137243977424</v>
      </c>
      <c r="AB23" s="80">
        <f t="shared" si="25"/>
        <v>-13.9137243977424</v>
      </c>
      <c r="AC23" s="80">
        <f t="shared" si="25"/>
        <v>-13.9137243977424</v>
      </c>
      <c r="AD23" s="80">
        <f t="shared" si="25"/>
        <v>-13.9137243977424</v>
      </c>
      <c r="AE23" s="80">
        <f t="shared" si="25"/>
        <v>-13.9137243977424</v>
      </c>
      <c r="AF23" s="80">
        <f t="shared" si="25"/>
        <v>-13.9137243977424</v>
      </c>
      <c r="AG23" s="80">
        <f t="shared" si="25"/>
        <v>-13.9137243977424</v>
      </c>
      <c r="AH23" s="31"/>
      <c r="AI23" s="31"/>
      <c r="AJ23" s="25"/>
      <c r="AK23" s="125"/>
      <c r="AL23" s="124">
        <f>SUM(V23:AG23)</f>
        <v>-166.9646927729088</v>
      </c>
      <c r="AM23" s="129">
        <f t="shared" si="7"/>
        <v>-68.6732892539043</v>
      </c>
    </row>
    <row r="24" spans="1:38" ht="12">
      <c r="A24" s="110">
        <f>A22</f>
        <v>24000</v>
      </c>
      <c r="B24" s="110">
        <f>B22</f>
        <v>1010000</v>
      </c>
      <c r="C24" s="110" t="str">
        <f>C22</f>
        <v>CLINE FALLS HYDRO PLANT</v>
      </c>
      <c r="D24" s="111" t="str">
        <f>D22</f>
        <v>SG-P</v>
      </c>
      <c r="E24" s="16">
        <v>0.4113042590825348</v>
      </c>
      <c r="F24" s="29">
        <v>3360000</v>
      </c>
      <c r="G24" s="30" t="s">
        <v>24</v>
      </c>
      <c r="H24" s="31">
        <v>228.51</v>
      </c>
      <c r="J24" s="32">
        <f>J22</f>
        <v>1080000</v>
      </c>
      <c r="K24" s="31">
        <v>-1473.59</v>
      </c>
      <c r="L24" s="31">
        <f t="shared" si="3"/>
        <v>-1245.08</v>
      </c>
      <c r="M24" s="31">
        <f t="shared" si="4"/>
        <v>-512.1067068984825</v>
      </c>
      <c r="N24" s="65"/>
      <c r="O24" s="101">
        <v>0.02178515461896085</v>
      </c>
      <c r="P24" s="7">
        <f>K24+P25</f>
        <v>-1474.0048438068316</v>
      </c>
      <c r="Q24" s="7">
        <f>P24+Q25</f>
        <v>-1474.4196876136632</v>
      </c>
      <c r="R24" s="7">
        <f aca="true" t="shared" si="26" ref="R24:AG24">Q24+R25</f>
        <v>-1474.8345314204948</v>
      </c>
      <c r="S24" s="7">
        <f t="shared" si="26"/>
        <v>-1475.2493752273265</v>
      </c>
      <c r="T24" s="7">
        <f t="shared" si="26"/>
        <v>-1475.6642190341581</v>
      </c>
      <c r="U24" s="7">
        <f t="shared" si="26"/>
        <v>-1476.0790628409898</v>
      </c>
      <c r="V24" s="7">
        <f t="shared" si="26"/>
        <v>-1476.4939066478214</v>
      </c>
      <c r="W24" s="7">
        <f t="shared" si="26"/>
        <v>-1476.908750454653</v>
      </c>
      <c r="X24" s="7">
        <f t="shared" si="26"/>
        <v>-1477.3235942614847</v>
      </c>
      <c r="Y24" s="7">
        <f t="shared" si="26"/>
        <v>-1477.7384380683163</v>
      </c>
      <c r="Z24" s="7">
        <f t="shared" si="26"/>
        <v>-1478.153281875148</v>
      </c>
      <c r="AA24" s="7">
        <f t="shared" si="26"/>
        <v>-1478.5681256819796</v>
      </c>
      <c r="AB24" s="7">
        <f t="shared" si="26"/>
        <v>-1478.9829694888112</v>
      </c>
      <c r="AC24" s="7">
        <f t="shared" si="26"/>
        <v>-1479.397813295643</v>
      </c>
      <c r="AD24" s="7">
        <f t="shared" si="26"/>
        <v>-1479.8126571024745</v>
      </c>
      <c r="AE24" s="7">
        <f t="shared" si="26"/>
        <v>-1480.2275009093062</v>
      </c>
      <c r="AF24" s="7">
        <f t="shared" si="26"/>
        <v>-1480.6423447161378</v>
      </c>
      <c r="AG24" s="7">
        <f t="shared" si="26"/>
        <v>-1481.0571885229695</v>
      </c>
      <c r="AH24" s="25">
        <f>AVERAGE(U24:AG24)</f>
        <v>-1478.5681256819796</v>
      </c>
      <c r="AI24" s="31">
        <f>H24+AH24</f>
        <v>-1250.0581256819796</v>
      </c>
      <c r="AJ24" s="25">
        <f>E24*AI24</f>
        <v>-514.1542311937288</v>
      </c>
      <c r="AK24" s="125"/>
      <c r="AL24" s="124"/>
    </row>
    <row r="25" spans="1:37" ht="12">
      <c r="A25" s="72"/>
      <c r="B25" s="72"/>
      <c r="C25" s="72"/>
      <c r="D25" s="72"/>
      <c r="E25" s="73"/>
      <c r="F25" s="74"/>
      <c r="G25" s="75"/>
      <c r="H25" s="76"/>
      <c r="J25" s="77"/>
      <c r="K25" s="76"/>
      <c r="L25" s="76"/>
      <c r="M25" s="76"/>
      <c r="N25" s="78"/>
      <c r="O25" s="102"/>
      <c r="P25" s="80">
        <f aca="true" t="shared" si="27" ref="P25:U25">-($H24*$O24)/12</f>
        <v>-0.4148438068315619</v>
      </c>
      <c r="Q25" s="80">
        <f t="shared" si="27"/>
        <v>-0.4148438068315619</v>
      </c>
      <c r="R25" s="80">
        <f t="shared" si="27"/>
        <v>-0.4148438068315619</v>
      </c>
      <c r="S25" s="80">
        <f t="shared" si="27"/>
        <v>-0.4148438068315619</v>
      </c>
      <c r="T25" s="80">
        <f t="shared" si="27"/>
        <v>-0.4148438068315619</v>
      </c>
      <c r="U25" s="80">
        <f t="shared" si="27"/>
        <v>-0.4148438068315619</v>
      </c>
      <c r="V25" s="80">
        <f aca="true" t="shared" si="28" ref="V25:AG25">-($H24*$O24)/12</f>
        <v>-0.4148438068315619</v>
      </c>
      <c r="W25" s="80">
        <f t="shared" si="28"/>
        <v>-0.4148438068315619</v>
      </c>
      <c r="X25" s="80">
        <f t="shared" si="28"/>
        <v>-0.4148438068315619</v>
      </c>
      <c r="Y25" s="80">
        <f t="shared" si="28"/>
        <v>-0.4148438068315619</v>
      </c>
      <c r="Z25" s="80">
        <f t="shared" si="28"/>
        <v>-0.4148438068315619</v>
      </c>
      <c r="AA25" s="80">
        <f t="shared" si="28"/>
        <v>-0.4148438068315619</v>
      </c>
      <c r="AB25" s="80">
        <f t="shared" si="28"/>
        <v>-0.4148438068315619</v>
      </c>
      <c r="AC25" s="80">
        <f t="shared" si="28"/>
        <v>-0.4148438068315619</v>
      </c>
      <c r="AD25" s="80">
        <f t="shared" si="28"/>
        <v>-0.4148438068315619</v>
      </c>
      <c r="AE25" s="80">
        <f t="shared" si="28"/>
        <v>-0.4148438068315619</v>
      </c>
      <c r="AF25" s="80">
        <f t="shared" si="28"/>
        <v>-0.4148438068315619</v>
      </c>
      <c r="AG25" s="80">
        <f t="shared" si="28"/>
        <v>-0.4148438068315619</v>
      </c>
      <c r="AH25" s="76"/>
      <c r="AI25" s="76"/>
      <c r="AJ25" s="79"/>
      <c r="AK25" s="125"/>
    </row>
    <row r="26" spans="1:39" s="106" customFormat="1" ht="12">
      <c r="A26" s="33" t="s">
        <v>15</v>
      </c>
      <c r="B26" s="34"/>
      <c r="C26" s="34"/>
      <c r="D26" s="34"/>
      <c r="E26" s="19"/>
      <c r="F26" s="34"/>
      <c r="G26" s="34" t="s">
        <v>25</v>
      </c>
      <c r="H26" s="35">
        <f>SUM(H8:H24)</f>
        <v>351201.14999999997</v>
      </c>
      <c r="I26" s="17"/>
      <c r="J26" s="36"/>
      <c r="K26" s="35">
        <f>SUM(K8:K24)</f>
        <v>-442356.6</v>
      </c>
      <c r="L26" s="35">
        <f>SUM(L8:L24)</f>
        <v>-91155.44999999997</v>
      </c>
      <c r="M26" s="35">
        <f>SUM(M8:M24)</f>
        <v>-83287.0106994494</v>
      </c>
      <c r="N26" s="17"/>
      <c r="O26" s="17"/>
      <c r="P26" s="17"/>
      <c r="Q26" s="17"/>
      <c r="R26" s="17"/>
      <c r="S26" s="17"/>
      <c r="T26" s="17"/>
      <c r="U26" s="35"/>
      <c r="V26" s="35"/>
      <c r="W26" s="35"/>
      <c r="X26" s="35"/>
      <c r="Y26" s="35"/>
      <c r="Z26" s="35"/>
      <c r="AA26" s="35"/>
      <c r="AB26" s="35"/>
      <c r="AC26" s="35"/>
      <c r="AD26" s="35"/>
      <c r="AE26" s="35"/>
      <c r="AF26" s="35"/>
      <c r="AG26" s="35"/>
      <c r="AH26" s="35">
        <f>SUM(AH8:AH24)</f>
        <v>-451109.58207491983</v>
      </c>
      <c r="AI26" s="35">
        <f>SUM(AI8:AI24)</f>
        <v>-99908.43207491991</v>
      </c>
      <c r="AJ26" s="35">
        <f>SUM(AJ8:AJ24)</f>
        <v>-85511.3728042393</v>
      </c>
      <c r="AK26" s="126"/>
      <c r="AL26" s="147">
        <f>SUM(AL11:AL25)</f>
        <v>-5403.091583471047</v>
      </c>
      <c r="AM26" s="147">
        <f>SUM(AM11:AM25)</f>
        <v>-2222.3145804946384</v>
      </c>
    </row>
    <row r="27" spans="1:37" ht="12">
      <c r="A27" s="37">
        <v>462</v>
      </c>
      <c r="B27" s="37">
        <v>1010000</v>
      </c>
      <c r="C27" s="38" t="s">
        <v>0</v>
      </c>
      <c r="D27" s="38" t="s">
        <v>11</v>
      </c>
      <c r="E27" s="18">
        <v>0</v>
      </c>
      <c r="F27" s="39">
        <v>3610000</v>
      </c>
      <c r="G27" s="40" t="s">
        <v>26</v>
      </c>
      <c r="H27" s="41">
        <v>5346.969999999999</v>
      </c>
      <c r="J27" s="42">
        <v>1080000</v>
      </c>
      <c r="K27" s="41">
        <v>-1361.02</v>
      </c>
      <c r="L27" s="41">
        <f t="shared" si="3"/>
        <v>3985.9499999999994</v>
      </c>
      <c r="M27" s="41">
        <f t="shared" si="4"/>
        <v>0</v>
      </c>
      <c r="N27" s="66"/>
      <c r="O27" s="103">
        <v>0.02563074145675936</v>
      </c>
      <c r="P27" s="7">
        <f>K27+P28</f>
        <v>-1372.440567137254</v>
      </c>
      <c r="Q27" s="7">
        <f>P27+Q28</f>
        <v>-1383.861134274508</v>
      </c>
      <c r="R27" s="7">
        <f aca="true" t="shared" si="29" ref="R27:AG27">Q27+R28</f>
        <v>-1395.281701411762</v>
      </c>
      <c r="S27" s="7">
        <f t="shared" si="29"/>
        <v>-1406.702268549016</v>
      </c>
      <c r="T27" s="7">
        <f t="shared" si="29"/>
        <v>-1418.12283568627</v>
      </c>
      <c r="U27" s="7">
        <f t="shared" si="29"/>
        <v>-1429.543402823524</v>
      </c>
      <c r="V27" s="7">
        <f t="shared" si="29"/>
        <v>-1440.963969960778</v>
      </c>
      <c r="W27" s="7">
        <f t="shared" si="29"/>
        <v>-1452.384537098032</v>
      </c>
      <c r="X27" s="7">
        <f t="shared" si="29"/>
        <v>-1463.805104235286</v>
      </c>
      <c r="Y27" s="7">
        <f t="shared" si="29"/>
        <v>-1475.22567137254</v>
      </c>
      <c r="Z27" s="7">
        <f t="shared" si="29"/>
        <v>-1486.646238509794</v>
      </c>
      <c r="AA27" s="7">
        <f t="shared" si="29"/>
        <v>-1498.066805647048</v>
      </c>
      <c r="AB27" s="7">
        <f t="shared" si="29"/>
        <v>-1509.4873727843021</v>
      </c>
      <c r="AC27" s="7">
        <f t="shared" si="29"/>
        <v>-1520.9079399215561</v>
      </c>
      <c r="AD27" s="7">
        <f t="shared" si="29"/>
        <v>-1532.3285070588101</v>
      </c>
      <c r="AE27" s="7">
        <f t="shared" si="29"/>
        <v>-1543.7490741960642</v>
      </c>
      <c r="AF27" s="7">
        <f t="shared" si="29"/>
        <v>-1555.1696413333182</v>
      </c>
      <c r="AG27" s="7">
        <f t="shared" si="29"/>
        <v>-1566.5902084705722</v>
      </c>
      <c r="AH27" s="25">
        <f>AVERAGE(U27:AG27)</f>
        <v>-1498.066805647048</v>
      </c>
      <c r="AI27" s="41">
        <f>H27+AH27</f>
        <v>3848.9031943529512</v>
      </c>
      <c r="AJ27" s="25">
        <f>E27*AI27</f>
        <v>0</v>
      </c>
      <c r="AK27" s="125"/>
    </row>
    <row r="28" spans="1:39" ht="12">
      <c r="A28" s="37"/>
      <c r="B28" s="37"/>
      <c r="C28" s="38"/>
      <c r="D28" s="38"/>
      <c r="E28" s="18"/>
      <c r="F28" s="39"/>
      <c r="G28" s="40"/>
      <c r="H28" s="41"/>
      <c r="J28" s="42"/>
      <c r="K28" s="41"/>
      <c r="L28" s="41"/>
      <c r="M28" s="41"/>
      <c r="N28" s="66"/>
      <c r="O28" s="114"/>
      <c r="P28" s="80">
        <f aca="true" t="shared" si="30" ref="P28:U28">-($H27*$O27)/12</f>
        <v>-11.420567137254048</v>
      </c>
      <c r="Q28" s="80">
        <f t="shared" si="30"/>
        <v>-11.420567137254048</v>
      </c>
      <c r="R28" s="80">
        <f t="shared" si="30"/>
        <v>-11.420567137254048</v>
      </c>
      <c r="S28" s="80">
        <f t="shared" si="30"/>
        <v>-11.420567137254048</v>
      </c>
      <c r="T28" s="80">
        <f t="shared" si="30"/>
        <v>-11.420567137254048</v>
      </c>
      <c r="U28" s="80">
        <f t="shared" si="30"/>
        <v>-11.420567137254048</v>
      </c>
      <c r="V28" s="80">
        <f aca="true" t="shared" si="31" ref="V28:AG28">-($H27*$O27)/12</f>
        <v>-11.420567137254048</v>
      </c>
      <c r="W28" s="80">
        <f t="shared" si="31"/>
        <v>-11.420567137254048</v>
      </c>
      <c r="X28" s="80">
        <f t="shared" si="31"/>
        <v>-11.420567137254048</v>
      </c>
      <c r="Y28" s="80">
        <f t="shared" si="31"/>
        <v>-11.420567137254048</v>
      </c>
      <c r="Z28" s="80">
        <f t="shared" si="31"/>
        <v>-11.420567137254048</v>
      </c>
      <c r="AA28" s="80">
        <f t="shared" si="31"/>
        <v>-11.420567137254048</v>
      </c>
      <c r="AB28" s="80">
        <f t="shared" si="31"/>
        <v>-11.420567137254048</v>
      </c>
      <c r="AC28" s="80">
        <f t="shared" si="31"/>
        <v>-11.420567137254048</v>
      </c>
      <c r="AD28" s="80">
        <f t="shared" si="31"/>
        <v>-11.420567137254048</v>
      </c>
      <c r="AE28" s="80">
        <f t="shared" si="31"/>
        <v>-11.420567137254048</v>
      </c>
      <c r="AF28" s="80">
        <f t="shared" si="31"/>
        <v>-11.420567137254048</v>
      </c>
      <c r="AG28" s="80">
        <f t="shared" si="31"/>
        <v>-11.420567137254048</v>
      </c>
      <c r="AH28" s="92"/>
      <c r="AI28" s="41"/>
      <c r="AJ28" s="25"/>
      <c r="AK28" s="125"/>
      <c r="AL28" s="149"/>
      <c r="AM28" s="150"/>
    </row>
    <row r="29" spans="1:39" ht="12">
      <c r="A29" s="43">
        <f>A27</f>
        <v>462</v>
      </c>
      <c r="B29" s="43">
        <f>B27</f>
        <v>1010000</v>
      </c>
      <c r="C29" s="43" t="str">
        <f>C27</f>
        <v>ST. ANTHONY HE PLANT AND SUBSTATION - PR</v>
      </c>
      <c r="D29" s="44" t="s">
        <v>7</v>
      </c>
      <c r="E29" s="14">
        <v>0.4113042590825348</v>
      </c>
      <c r="F29" s="45">
        <v>3534000</v>
      </c>
      <c r="G29" s="46" t="s">
        <v>27</v>
      </c>
      <c r="H29" s="25">
        <v>62633.97</v>
      </c>
      <c r="J29" s="47">
        <f>J27</f>
        <v>1080000</v>
      </c>
      <c r="K29" s="25">
        <v>-29646.87</v>
      </c>
      <c r="L29" s="25">
        <f t="shared" si="3"/>
        <v>32987.100000000006</v>
      </c>
      <c r="M29" s="25">
        <f t="shared" si="4"/>
        <v>13567.734724781487</v>
      </c>
      <c r="N29" s="62"/>
      <c r="O29" s="91">
        <v>0.020350726859473662</v>
      </c>
      <c r="P29" s="7">
        <f>K29+P30</f>
        <v>-29753.090567966203</v>
      </c>
      <c r="Q29" s="7">
        <f>P29+Q30</f>
        <v>-29859.31113593241</v>
      </c>
      <c r="R29" s="7">
        <f aca="true" t="shared" si="32" ref="R29:AG29">Q29+R30</f>
        <v>-29965.531703898618</v>
      </c>
      <c r="S29" s="7">
        <f t="shared" si="32"/>
        <v>-30071.752271864825</v>
      </c>
      <c r="T29" s="7">
        <f t="shared" si="32"/>
        <v>-30177.972839831033</v>
      </c>
      <c r="U29" s="7">
        <f t="shared" si="32"/>
        <v>-30284.19340779724</v>
      </c>
      <c r="V29" s="7">
        <f t="shared" si="32"/>
        <v>-30390.413975763448</v>
      </c>
      <c r="W29" s="7">
        <f t="shared" si="32"/>
        <v>-30496.634543729655</v>
      </c>
      <c r="X29" s="7">
        <f t="shared" si="32"/>
        <v>-30602.855111695862</v>
      </c>
      <c r="Y29" s="7">
        <f t="shared" si="32"/>
        <v>-30709.07567966207</v>
      </c>
      <c r="Z29" s="7">
        <f t="shared" si="32"/>
        <v>-30815.296247628277</v>
      </c>
      <c r="AA29" s="7">
        <f t="shared" si="32"/>
        <v>-30921.516815594485</v>
      </c>
      <c r="AB29" s="7">
        <f t="shared" si="32"/>
        <v>-31027.737383560692</v>
      </c>
      <c r="AC29" s="7">
        <f t="shared" si="32"/>
        <v>-31133.9579515269</v>
      </c>
      <c r="AD29" s="7">
        <f t="shared" si="32"/>
        <v>-31240.178519493107</v>
      </c>
      <c r="AE29" s="7">
        <f t="shared" si="32"/>
        <v>-31346.399087459315</v>
      </c>
      <c r="AF29" s="7">
        <f t="shared" si="32"/>
        <v>-31452.619655425522</v>
      </c>
      <c r="AG29" s="7">
        <f t="shared" si="32"/>
        <v>-31558.84022339173</v>
      </c>
      <c r="AH29" s="25">
        <f>AVERAGE(U29:AG29)</f>
        <v>-30921.51681559448</v>
      </c>
      <c r="AI29" s="25">
        <f>H29+AH29</f>
        <v>31712.45318440552</v>
      </c>
      <c r="AJ29" s="25">
        <f>E29*AI29</f>
        <v>13043.467060701485</v>
      </c>
      <c r="AK29" s="125"/>
      <c r="AL29" s="124"/>
      <c r="AM29" s="129">
        <f aca="true" t="shared" si="33" ref="AM29:AM48">AL29*E28</f>
        <v>0</v>
      </c>
    </row>
    <row r="30" spans="1:39" ht="12">
      <c r="A30" s="43"/>
      <c r="B30" s="43"/>
      <c r="C30" s="43"/>
      <c r="D30" s="38"/>
      <c r="E30" s="14"/>
      <c r="F30" s="45"/>
      <c r="G30" s="46"/>
      <c r="H30" s="25"/>
      <c r="J30" s="47"/>
      <c r="K30" s="25"/>
      <c r="L30" s="25"/>
      <c r="M30" s="25"/>
      <c r="N30" s="62"/>
      <c r="O30" s="115"/>
      <c r="P30" s="80">
        <f aca="true" t="shared" si="34" ref="P30:U30">-($H29*$O29)/12</f>
        <v>-106.22056796620564</v>
      </c>
      <c r="Q30" s="80">
        <f t="shared" si="34"/>
        <v>-106.22056796620564</v>
      </c>
      <c r="R30" s="80">
        <f t="shared" si="34"/>
        <v>-106.22056796620564</v>
      </c>
      <c r="S30" s="80">
        <f t="shared" si="34"/>
        <v>-106.22056796620564</v>
      </c>
      <c r="T30" s="80">
        <f t="shared" si="34"/>
        <v>-106.22056796620564</v>
      </c>
      <c r="U30" s="80">
        <f t="shared" si="34"/>
        <v>-106.22056796620564</v>
      </c>
      <c r="V30" s="80">
        <f aca="true" t="shared" si="35" ref="V30:AG30">-($H29*$O29)/12</f>
        <v>-106.22056796620564</v>
      </c>
      <c r="W30" s="80">
        <f t="shared" si="35"/>
        <v>-106.22056796620564</v>
      </c>
      <c r="X30" s="80">
        <f t="shared" si="35"/>
        <v>-106.22056796620564</v>
      </c>
      <c r="Y30" s="80">
        <f t="shared" si="35"/>
        <v>-106.22056796620564</v>
      </c>
      <c r="Z30" s="80">
        <f t="shared" si="35"/>
        <v>-106.22056796620564</v>
      </c>
      <c r="AA30" s="80">
        <f t="shared" si="35"/>
        <v>-106.22056796620564</v>
      </c>
      <c r="AB30" s="80">
        <f t="shared" si="35"/>
        <v>-106.22056796620564</v>
      </c>
      <c r="AC30" s="80">
        <f t="shared" si="35"/>
        <v>-106.22056796620564</v>
      </c>
      <c r="AD30" s="80">
        <f t="shared" si="35"/>
        <v>-106.22056796620564</v>
      </c>
      <c r="AE30" s="80">
        <f t="shared" si="35"/>
        <v>-106.22056796620564</v>
      </c>
      <c r="AF30" s="80">
        <f t="shared" si="35"/>
        <v>-106.22056796620564</v>
      </c>
      <c r="AG30" s="80">
        <f t="shared" si="35"/>
        <v>-106.22056796620564</v>
      </c>
      <c r="AH30" s="93"/>
      <c r="AI30" s="25"/>
      <c r="AJ30" s="25"/>
      <c r="AK30" s="125"/>
      <c r="AL30" s="124">
        <f>SUM(V30:AG30)</f>
        <v>-1274.6468155944676</v>
      </c>
      <c r="AM30" s="129">
        <f t="shared" si="33"/>
        <v>-524.2676640799949</v>
      </c>
    </row>
    <row r="31" spans="1:39" ht="12">
      <c r="A31" s="43">
        <f>A29</f>
        <v>462</v>
      </c>
      <c r="B31" s="43">
        <f>B29</f>
        <v>1010000</v>
      </c>
      <c r="C31" s="43" t="str">
        <f>C29</f>
        <v>ST. ANTHONY HE PLANT AND SUBSTATION - PR</v>
      </c>
      <c r="D31" s="43" t="str">
        <f>D29</f>
        <v>SG</v>
      </c>
      <c r="E31" s="14">
        <v>0.4113042590825348</v>
      </c>
      <c r="F31" s="45">
        <v>3940000</v>
      </c>
      <c r="G31" s="46" t="s">
        <v>28</v>
      </c>
      <c r="H31" s="25">
        <v>27299.320000000003</v>
      </c>
      <c r="J31" s="47">
        <f>J29</f>
        <v>1080000</v>
      </c>
      <c r="K31" s="25">
        <v>-1085.84</v>
      </c>
      <c r="L31" s="25">
        <f t="shared" si="3"/>
        <v>26213.480000000003</v>
      </c>
      <c r="M31" s="25">
        <f t="shared" si="4"/>
        <v>10781.715969374845</v>
      </c>
      <c r="N31" s="62"/>
      <c r="O31" s="91">
        <v>0.031871025046074315</v>
      </c>
      <c r="P31" s="7">
        <f>K31+P32</f>
        <v>-1158.3447759550663</v>
      </c>
      <c r="Q31" s="7">
        <f>P31+Q32</f>
        <v>-1230.8495519101327</v>
      </c>
      <c r="R31" s="7">
        <f aca="true" t="shared" si="36" ref="R31:AG31">Q31+R32</f>
        <v>-1303.3543278651991</v>
      </c>
      <c r="S31" s="7">
        <f t="shared" si="36"/>
        <v>-1375.8591038202655</v>
      </c>
      <c r="T31" s="7">
        <f t="shared" si="36"/>
        <v>-1448.363879775332</v>
      </c>
      <c r="U31" s="7">
        <f t="shared" si="36"/>
        <v>-1520.8686557303984</v>
      </c>
      <c r="V31" s="7">
        <f t="shared" si="36"/>
        <v>-1593.3734316854648</v>
      </c>
      <c r="W31" s="7">
        <f t="shared" si="36"/>
        <v>-1665.8782076405312</v>
      </c>
      <c r="X31" s="7">
        <f t="shared" si="36"/>
        <v>-1738.3829835955976</v>
      </c>
      <c r="Y31" s="7">
        <f t="shared" si="36"/>
        <v>-1810.887759550664</v>
      </c>
      <c r="Z31" s="7">
        <f t="shared" si="36"/>
        <v>-1883.3925355057304</v>
      </c>
      <c r="AA31" s="7">
        <f t="shared" si="36"/>
        <v>-1955.8973114607968</v>
      </c>
      <c r="AB31" s="7">
        <f t="shared" si="36"/>
        <v>-2028.4020874158632</v>
      </c>
      <c r="AC31" s="7">
        <f t="shared" si="36"/>
        <v>-2100.90686337093</v>
      </c>
      <c r="AD31" s="7">
        <f t="shared" si="36"/>
        <v>-2173.4116393259965</v>
      </c>
      <c r="AE31" s="7">
        <f t="shared" si="36"/>
        <v>-2245.916415281063</v>
      </c>
      <c r="AF31" s="7">
        <f t="shared" si="36"/>
        <v>-2318.4211912361297</v>
      </c>
      <c r="AG31" s="7">
        <f t="shared" si="36"/>
        <v>-2390.9259671911964</v>
      </c>
      <c r="AH31" s="25">
        <f>AVERAGE(U31:AG31)</f>
        <v>-1955.8973114607975</v>
      </c>
      <c r="AI31" s="25">
        <f>H31+AH31</f>
        <v>25343.422688539205</v>
      </c>
      <c r="AJ31" s="25">
        <f>E31*AI31</f>
        <v>10423.85769152512</v>
      </c>
      <c r="AK31" s="125"/>
      <c r="AL31" s="124"/>
      <c r="AM31" s="129">
        <f t="shared" si="33"/>
        <v>0</v>
      </c>
    </row>
    <row r="32" spans="1:39" ht="12">
      <c r="A32" s="43"/>
      <c r="B32" s="43"/>
      <c r="C32" s="43"/>
      <c r="D32" s="38"/>
      <c r="E32" s="14"/>
      <c r="F32" s="45"/>
      <c r="G32" s="46"/>
      <c r="H32" s="25"/>
      <c r="J32" s="47"/>
      <c r="K32" s="25"/>
      <c r="L32" s="25"/>
      <c r="M32" s="25"/>
      <c r="N32" s="62"/>
      <c r="O32" s="115"/>
      <c r="P32" s="80">
        <f aca="true" t="shared" si="37" ref="P32:U32">-($H31*$O31)/12</f>
        <v>-72.50477595506646</v>
      </c>
      <c r="Q32" s="80">
        <f t="shared" si="37"/>
        <v>-72.50477595506646</v>
      </c>
      <c r="R32" s="80">
        <f t="shared" si="37"/>
        <v>-72.50477595506646</v>
      </c>
      <c r="S32" s="80">
        <f t="shared" si="37"/>
        <v>-72.50477595506646</v>
      </c>
      <c r="T32" s="80">
        <f t="shared" si="37"/>
        <v>-72.50477595506646</v>
      </c>
      <c r="U32" s="80">
        <f t="shared" si="37"/>
        <v>-72.50477595506646</v>
      </c>
      <c r="V32" s="80">
        <f aca="true" t="shared" si="38" ref="V32:AG32">-($H31*$O31)/12</f>
        <v>-72.50477595506646</v>
      </c>
      <c r="W32" s="80">
        <f t="shared" si="38"/>
        <v>-72.50477595506646</v>
      </c>
      <c r="X32" s="80">
        <f t="shared" si="38"/>
        <v>-72.50477595506646</v>
      </c>
      <c r="Y32" s="80">
        <f t="shared" si="38"/>
        <v>-72.50477595506646</v>
      </c>
      <c r="Z32" s="80">
        <f t="shared" si="38"/>
        <v>-72.50477595506646</v>
      </c>
      <c r="AA32" s="80">
        <f t="shared" si="38"/>
        <v>-72.50477595506646</v>
      </c>
      <c r="AB32" s="80">
        <f t="shared" si="38"/>
        <v>-72.50477595506646</v>
      </c>
      <c r="AC32" s="80">
        <f t="shared" si="38"/>
        <v>-72.50477595506646</v>
      </c>
      <c r="AD32" s="80">
        <f t="shared" si="38"/>
        <v>-72.50477595506646</v>
      </c>
      <c r="AE32" s="80">
        <f t="shared" si="38"/>
        <v>-72.50477595506646</v>
      </c>
      <c r="AF32" s="80">
        <f t="shared" si="38"/>
        <v>-72.50477595506646</v>
      </c>
      <c r="AG32" s="80">
        <f t="shared" si="38"/>
        <v>-72.50477595506646</v>
      </c>
      <c r="AH32" s="93"/>
      <c r="AI32" s="25"/>
      <c r="AJ32" s="25"/>
      <c r="AK32" s="125"/>
      <c r="AL32" s="124">
        <f>SUM(V32:AG32)</f>
        <v>-870.0573114607973</v>
      </c>
      <c r="AM32" s="129">
        <f t="shared" si="33"/>
        <v>-357.8582778497255</v>
      </c>
    </row>
    <row r="33" spans="1:39" ht="12">
      <c r="A33" s="85">
        <f>A31</f>
        <v>462</v>
      </c>
      <c r="B33" s="85">
        <f>B31</f>
        <v>1010000</v>
      </c>
      <c r="C33" s="85" t="str">
        <f>C31</f>
        <v>ST. ANTHONY HE PLANT AND SUBSTATION - PR</v>
      </c>
      <c r="D33" s="107" t="s">
        <v>3</v>
      </c>
      <c r="E33" s="87">
        <v>0.4113042590825348</v>
      </c>
      <c r="F33" s="88">
        <v>3300000</v>
      </c>
      <c r="G33" s="89" t="s">
        <v>29</v>
      </c>
      <c r="H33" s="54">
        <v>61103.740000000005</v>
      </c>
      <c r="I33" s="4"/>
      <c r="J33" s="53"/>
      <c r="K33" s="54"/>
      <c r="L33" s="54">
        <f t="shared" si="3"/>
        <v>61103.740000000005</v>
      </c>
      <c r="M33" s="54">
        <f t="shared" si="4"/>
        <v>25132.22850787185</v>
      </c>
      <c r="N33" s="90"/>
      <c r="O33" s="91">
        <v>0.027298698627314096</v>
      </c>
      <c r="P33" s="7">
        <f>K33+P34</f>
        <v>-139.00438193847978</v>
      </c>
      <c r="Q33" s="7">
        <f>P33+Q34</f>
        <v>-278.00876387695956</v>
      </c>
      <c r="R33" s="7">
        <f aca="true" t="shared" si="39" ref="R33:AG33">Q33+R34</f>
        <v>-417.0131458154393</v>
      </c>
      <c r="S33" s="7">
        <f t="shared" si="39"/>
        <v>-556.0175277539191</v>
      </c>
      <c r="T33" s="7">
        <f t="shared" si="39"/>
        <v>-695.0219096923989</v>
      </c>
      <c r="U33" s="7">
        <f t="shared" si="39"/>
        <v>-834.0262916308787</v>
      </c>
      <c r="V33" s="7">
        <f t="shared" si="39"/>
        <v>-973.0306735693586</v>
      </c>
      <c r="W33" s="7">
        <f t="shared" si="39"/>
        <v>-1112.0350555078383</v>
      </c>
      <c r="X33" s="7">
        <f t="shared" si="39"/>
        <v>-1251.039437446318</v>
      </c>
      <c r="Y33" s="7">
        <f t="shared" si="39"/>
        <v>-1390.0438193847979</v>
      </c>
      <c r="Z33" s="7">
        <f t="shared" si="39"/>
        <v>-1529.0482013232777</v>
      </c>
      <c r="AA33" s="7">
        <f t="shared" si="39"/>
        <v>-1668.0525832617575</v>
      </c>
      <c r="AB33" s="7">
        <f t="shared" si="39"/>
        <v>-1807.0569652002373</v>
      </c>
      <c r="AC33" s="7">
        <f t="shared" si="39"/>
        <v>-1946.061347138717</v>
      </c>
      <c r="AD33" s="7">
        <f t="shared" si="39"/>
        <v>-2085.065729077197</v>
      </c>
      <c r="AE33" s="7">
        <f t="shared" si="39"/>
        <v>-2224.0701110156765</v>
      </c>
      <c r="AF33" s="7">
        <f t="shared" si="39"/>
        <v>-2363.074492954156</v>
      </c>
      <c r="AG33" s="7">
        <f t="shared" si="39"/>
        <v>-2502.0788748926357</v>
      </c>
      <c r="AH33" s="54">
        <f>AVERAGE(U33:AG33)</f>
        <v>-1668.0525832617573</v>
      </c>
      <c r="AI33" s="54">
        <f>H33+AH33</f>
        <v>59435.68741673825</v>
      </c>
      <c r="AJ33" s="54">
        <f>E33*AI33</f>
        <v>24446.151376002665</v>
      </c>
      <c r="AK33" s="7"/>
      <c r="AL33" s="124"/>
      <c r="AM33" s="129">
        <f t="shared" si="33"/>
        <v>0</v>
      </c>
    </row>
    <row r="34" spans="1:39" ht="12">
      <c r="A34" s="85"/>
      <c r="B34" s="85"/>
      <c r="C34" s="85"/>
      <c r="D34" s="86"/>
      <c r="E34" s="87"/>
      <c r="F34" s="88"/>
      <c r="G34" s="89"/>
      <c r="H34" s="54"/>
      <c r="I34" s="4"/>
      <c r="J34" s="53"/>
      <c r="K34" s="54"/>
      <c r="L34" s="54"/>
      <c r="M34" s="54"/>
      <c r="N34" s="90"/>
      <c r="O34" s="115"/>
      <c r="P34" s="80">
        <f aca="true" t="shared" si="40" ref="P34:U34">-($H33*$O33)/12</f>
        <v>-139.00438193847978</v>
      </c>
      <c r="Q34" s="80">
        <f t="shared" si="40"/>
        <v>-139.00438193847978</v>
      </c>
      <c r="R34" s="80">
        <f t="shared" si="40"/>
        <v>-139.00438193847978</v>
      </c>
      <c r="S34" s="80">
        <f t="shared" si="40"/>
        <v>-139.00438193847978</v>
      </c>
      <c r="T34" s="80">
        <f t="shared" si="40"/>
        <v>-139.00438193847978</v>
      </c>
      <c r="U34" s="80">
        <f t="shared" si="40"/>
        <v>-139.00438193847978</v>
      </c>
      <c r="V34" s="80">
        <f aca="true" t="shared" si="41" ref="V34:AG34">-($H33*$O33)/12</f>
        <v>-139.00438193847978</v>
      </c>
      <c r="W34" s="80">
        <f t="shared" si="41"/>
        <v>-139.00438193847978</v>
      </c>
      <c r="X34" s="80">
        <f t="shared" si="41"/>
        <v>-139.00438193847978</v>
      </c>
      <c r="Y34" s="80">
        <f t="shared" si="41"/>
        <v>-139.00438193847978</v>
      </c>
      <c r="Z34" s="80">
        <f t="shared" si="41"/>
        <v>-139.00438193847978</v>
      </c>
      <c r="AA34" s="80">
        <f>-($H33*$O33)/12</f>
        <v>-139.00438193847978</v>
      </c>
      <c r="AB34" s="80">
        <f t="shared" si="41"/>
        <v>-139.00438193847978</v>
      </c>
      <c r="AC34" s="80">
        <f t="shared" si="41"/>
        <v>-139.00438193847978</v>
      </c>
      <c r="AD34" s="80">
        <f t="shared" si="41"/>
        <v>-139.00438193847978</v>
      </c>
      <c r="AE34" s="80">
        <f t="shared" si="41"/>
        <v>-139.00438193847978</v>
      </c>
      <c r="AF34" s="80">
        <f t="shared" si="41"/>
        <v>-139.00438193847978</v>
      </c>
      <c r="AG34" s="80">
        <f t="shared" si="41"/>
        <v>-139.00438193847978</v>
      </c>
      <c r="AH34" s="94"/>
      <c r="AI34" s="54"/>
      <c r="AJ34" s="54"/>
      <c r="AK34" s="7"/>
      <c r="AL34" s="124">
        <f>SUM(V34:AG34)</f>
        <v>-1668.0525832617575</v>
      </c>
      <c r="AM34" s="129">
        <f t="shared" si="33"/>
        <v>-686.0771318691853</v>
      </c>
    </row>
    <row r="35" spans="1:39" ht="12">
      <c r="A35" s="43">
        <f>A33</f>
        <v>462</v>
      </c>
      <c r="B35" s="43">
        <f>B33</f>
        <v>1010000</v>
      </c>
      <c r="C35" s="43" t="str">
        <f>C33</f>
        <v>ST. ANTHONY HE PLANT AND SUBSTATION - PR</v>
      </c>
      <c r="D35" s="43" t="str">
        <f>D33</f>
        <v>SG-U</v>
      </c>
      <c r="E35" s="14">
        <v>0.4113042590825348</v>
      </c>
      <c r="F35" s="45">
        <v>3310000</v>
      </c>
      <c r="G35" s="46" t="s">
        <v>30</v>
      </c>
      <c r="H35" s="25">
        <v>381718.83</v>
      </c>
      <c r="J35" s="53">
        <f>J31</f>
        <v>1080000</v>
      </c>
      <c r="K35" s="54">
        <v>-45252.6</v>
      </c>
      <c r="L35" s="25">
        <f t="shared" si="3"/>
        <v>336466.23000000004</v>
      </c>
      <c r="M35" s="25">
        <f t="shared" si="4"/>
        <v>138389.99343644376</v>
      </c>
      <c r="N35" s="62"/>
      <c r="O35" s="91">
        <v>0.027298698627314096</v>
      </c>
      <c r="P35" s="7">
        <f>K35+P36</f>
        <v>-46120.96894171174</v>
      </c>
      <c r="Q35" s="7">
        <f>P35+Q36</f>
        <v>-46989.33788342348</v>
      </c>
      <c r="R35" s="7">
        <f aca="true" t="shared" si="42" ref="R35:AG35">Q35+R36</f>
        <v>-47857.706825135225</v>
      </c>
      <c r="S35" s="7">
        <f t="shared" si="42"/>
        <v>-48726.07576684697</v>
      </c>
      <c r="T35" s="7">
        <f t="shared" si="42"/>
        <v>-49594.44470855871</v>
      </c>
      <c r="U35" s="7">
        <f t="shared" si="42"/>
        <v>-50462.81365027045</v>
      </c>
      <c r="V35" s="7">
        <f t="shared" si="42"/>
        <v>-51331.18259198219</v>
      </c>
      <c r="W35" s="7">
        <f t="shared" si="42"/>
        <v>-52199.551533693935</v>
      </c>
      <c r="X35" s="7">
        <f t="shared" si="42"/>
        <v>-53067.92047540568</v>
      </c>
      <c r="Y35" s="7">
        <f t="shared" si="42"/>
        <v>-53936.28941711742</v>
      </c>
      <c r="Z35" s="7">
        <f t="shared" si="42"/>
        <v>-54804.65835882916</v>
      </c>
      <c r="AA35" s="7">
        <f t="shared" si="42"/>
        <v>-55673.0273005409</v>
      </c>
      <c r="AB35" s="7">
        <f t="shared" si="42"/>
        <v>-56541.396242252646</v>
      </c>
      <c r="AC35" s="7">
        <f t="shared" si="42"/>
        <v>-57409.76518396439</v>
      </c>
      <c r="AD35" s="7">
        <f t="shared" si="42"/>
        <v>-58278.13412567613</v>
      </c>
      <c r="AE35" s="7">
        <f t="shared" si="42"/>
        <v>-59146.50306738787</v>
      </c>
      <c r="AF35" s="7">
        <f t="shared" si="42"/>
        <v>-60014.872009099614</v>
      </c>
      <c r="AG35" s="7">
        <f t="shared" si="42"/>
        <v>-60883.240950811356</v>
      </c>
      <c r="AH35" s="25">
        <f>AVERAGE(U35:AG35)</f>
        <v>-55673.027300540896</v>
      </c>
      <c r="AI35" s="25">
        <f>H35+AH35</f>
        <v>326045.80269945913</v>
      </c>
      <c r="AJ35" s="25">
        <f>E35*AI35</f>
        <v>134104.02730627137</v>
      </c>
      <c r="AK35" s="125"/>
      <c r="AL35" s="124"/>
      <c r="AM35" s="129">
        <f t="shared" si="33"/>
        <v>0</v>
      </c>
    </row>
    <row r="36" spans="1:39" ht="12">
      <c r="A36" s="43"/>
      <c r="B36" s="43"/>
      <c r="C36" s="43"/>
      <c r="D36" s="43"/>
      <c r="E36" s="14"/>
      <c r="F36" s="45"/>
      <c r="G36" s="46"/>
      <c r="H36" s="25"/>
      <c r="J36" s="53"/>
      <c r="K36" s="54"/>
      <c r="L36" s="25"/>
      <c r="M36" s="25"/>
      <c r="N36" s="62"/>
      <c r="O36" s="115"/>
      <c r="P36" s="80">
        <f aca="true" t="shared" si="43" ref="P36:U36">-($H35*$O35)/12</f>
        <v>-868.3689417117453</v>
      </c>
      <c r="Q36" s="80">
        <f t="shared" si="43"/>
        <v>-868.3689417117453</v>
      </c>
      <c r="R36" s="80">
        <f t="shared" si="43"/>
        <v>-868.3689417117453</v>
      </c>
      <c r="S36" s="80">
        <f t="shared" si="43"/>
        <v>-868.3689417117453</v>
      </c>
      <c r="T36" s="80">
        <f t="shared" si="43"/>
        <v>-868.3689417117453</v>
      </c>
      <c r="U36" s="80">
        <f t="shared" si="43"/>
        <v>-868.3689417117453</v>
      </c>
      <c r="V36" s="80">
        <f aca="true" t="shared" si="44" ref="V36:AG36">-($H35*$O35)/12</f>
        <v>-868.3689417117453</v>
      </c>
      <c r="W36" s="80">
        <f t="shared" si="44"/>
        <v>-868.3689417117453</v>
      </c>
      <c r="X36" s="80">
        <f t="shared" si="44"/>
        <v>-868.3689417117453</v>
      </c>
      <c r="Y36" s="80">
        <f t="shared" si="44"/>
        <v>-868.3689417117453</v>
      </c>
      <c r="Z36" s="80">
        <f t="shared" si="44"/>
        <v>-868.3689417117453</v>
      </c>
      <c r="AA36" s="80">
        <f t="shared" si="44"/>
        <v>-868.3689417117453</v>
      </c>
      <c r="AB36" s="80">
        <f t="shared" si="44"/>
        <v>-868.3689417117453</v>
      </c>
      <c r="AC36" s="80">
        <f t="shared" si="44"/>
        <v>-868.3689417117453</v>
      </c>
      <c r="AD36" s="80">
        <f t="shared" si="44"/>
        <v>-868.3689417117453</v>
      </c>
      <c r="AE36" s="80">
        <f t="shared" si="44"/>
        <v>-868.3689417117453</v>
      </c>
      <c r="AF36" s="80">
        <f t="shared" si="44"/>
        <v>-868.3689417117453</v>
      </c>
      <c r="AG36" s="80">
        <f t="shared" si="44"/>
        <v>-868.3689417117453</v>
      </c>
      <c r="AH36" s="93"/>
      <c r="AI36" s="25"/>
      <c r="AJ36" s="25"/>
      <c r="AK36" s="125"/>
      <c r="AL36" s="124">
        <f>SUM(V36:AG36)</f>
        <v>-10420.427300540947</v>
      </c>
      <c r="AM36" s="129">
        <f t="shared" si="33"/>
        <v>-4285.966130172413</v>
      </c>
    </row>
    <row r="37" spans="1:39" ht="12">
      <c r="A37" s="43">
        <f>A35</f>
        <v>462</v>
      </c>
      <c r="B37" s="43">
        <f>B35</f>
        <v>1010000</v>
      </c>
      <c r="C37" s="43" t="str">
        <f>C35</f>
        <v>ST. ANTHONY HE PLANT AND SUBSTATION - PR</v>
      </c>
      <c r="D37" s="43" t="str">
        <f>D35</f>
        <v>SG-U</v>
      </c>
      <c r="E37" s="14">
        <v>0.4113042590825348</v>
      </c>
      <c r="F37" s="45">
        <v>3311000</v>
      </c>
      <c r="G37" s="46" t="s">
        <v>19</v>
      </c>
      <c r="H37" s="25">
        <v>135253.44999999998</v>
      </c>
      <c r="J37" s="47">
        <f>J35</f>
        <v>1080000</v>
      </c>
      <c r="K37" s="25">
        <v>-8915.43</v>
      </c>
      <c r="L37" s="25">
        <f t="shared" si="3"/>
        <v>126338.01999999999</v>
      </c>
      <c r="M37" s="25">
        <f t="shared" si="4"/>
        <v>51963.36571005446</v>
      </c>
      <c r="N37" s="62"/>
      <c r="O37" s="91">
        <v>0.027298698627314096</v>
      </c>
      <c r="P37" s="7">
        <f>K37+P38</f>
        <v>-9223.116930821208</v>
      </c>
      <c r="Q37" s="7">
        <f>P37+Q38</f>
        <v>-9530.803861642416</v>
      </c>
      <c r="R37" s="7">
        <f aca="true" t="shared" si="45" ref="R37:AG37">Q37+R38</f>
        <v>-9838.490792463625</v>
      </c>
      <c r="S37" s="7">
        <f t="shared" si="45"/>
        <v>-10146.177723284833</v>
      </c>
      <c r="T37" s="7">
        <f t="shared" si="45"/>
        <v>-10453.86465410604</v>
      </c>
      <c r="U37" s="7">
        <f t="shared" si="45"/>
        <v>-10761.551584927249</v>
      </c>
      <c r="V37" s="7">
        <f t="shared" si="45"/>
        <v>-11069.238515748457</v>
      </c>
      <c r="W37" s="7">
        <f t="shared" si="45"/>
        <v>-11376.925446569665</v>
      </c>
      <c r="X37" s="7">
        <f t="shared" si="45"/>
        <v>-11684.612377390873</v>
      </c>
      <c r="Y37" s="7">
        <f t="shared" si="45"/>
        <v>-11992.299308212081</v>
      </c>
      <c r="Z37" s="7">
        <f t="shared" si="45"/>
        <v>-12299.98623903329</v>
      </c>
      <c r="AA37" s="7">
        <f t="shared" si="45"/>
        <v>-12607.673169854497</v>
      </c>
      <c r="AB37" s="7">
        <f t="shared" si="45"/>
        <v>-12915.360100675705</v>
      </c>
      <c r="AC37" s="7">
        <f t="shared" si="45"/>
        <v>-13223.047031496913</v>
      </c>
      <c r="AD37" s="7">
        <f t="shared" si="45"/>
        <v>-13530.733962318121</v>
      </c>
      <c r="AE37" s="7">
        <f t="shared" si="45"/>
        <v>-13838.42089313933</v>
      </c>
      <c r="AF37" s="7">
        <f t="shared" si="45"/>
        <v>-14146.107823960538</v>
      </c>
      <c r="AG37" s="7">
        <f t="shared" si="45"/>
        <v>-14453.794754781746</v>
      </c>
      <c r="AH37" s="25">
        <f>AVERAGE(U37:AG37)</f>
        <v>-12607.673169854495</v>
      </c>
      <c r="AI37" s="25">
        <f>H37+AH37</f>
        <v>122645.77683014549</v>
      </c>
      <c r="AJ37" s="25">
        <f>E37*AI37</f>
        <v>50444.73036872491</v>
      </c>
      <c r="AK37" s="125"/>
      <c r="AL37" s="124"/>
      <c r="AM37" s="129">
        <f t="shared" si="33"/>
        <v>0</v>
      </c>
    </row>
    <row r="38" spans="1:39" ht="12">
      <c r="A38" s="43"/>
      <c r="B38" s="43"/>
      <c r="C38" s="43"/>
      <c r="D38" s="43"/>
      <c r="E38" s="14"/>
      <c r="F38" s="45"/>
      <c r="G38" s="46"/>
      <c r="H38" s="25"/>
      <c r="J38" s="47"/>
      <c r="K38" s="25"/>
      <c r="L38" s="25"/>
      <c r="M38" s="25"/>
      <c r="N38" s="62"/>
      <c r="O38" s="115"/>
      <c r="P38" s="80">
        <f aca="true" t="shared" si="46" ref="P38:U38">-($H37*$O37)/12</f>
        <v>-307.6869308212079</v>
      </c>
      <c r="Q38" s="80">
        <f t="shared" si="46"/>
        <v>-307.6869308212079</v>
      </c>
      <c r="R38" s="80">
        <f t="shared" si="46"/>
        <v>-307.6869308212079</v>
      </c>
      <c r="S38" s="80">
        <f t="shared" si="46"/>
        <v>-307.6869308212079</v>
      </c>
      <c r="T38" s="80">
        <f t="shared" si="46"/>
        <v>-307.6869308212079</v>
      </c>
      <c r="U38" s="80">
        <f t="shared" si="46"/>
        <v>-307.6869308212079</v>
      </c>
      <c r="V38" s="80">
        <f aca="true" t="shared" si="47" ref="V38:AG38">-($H37*$O37)/12</f>
        <v>-307.6869308212079</v>
      </c>
      <c r="W38" s="80">
        <f t="shared" si="47"/>
        <v>-307.6869308212079</v>
      </c>
      <c r="X38" s="80">
        <f t="shared" si="47"/>
        <v>-307.6869308212079</v>
      </c>
      <c r="Y38" s="80">
        <f t="shared" si="47"/>
        <v>-307.6869308212079</v>
      </c>
      <c r="Z38" s="80">
        <f t="shared" si="47"/>
        <v>-307.6869308212079</v>
      </c>
      <c r="AA38" s="80">
        <f t="shared" si="47"/>
        <v>-307.6869308212079</v>
      </c>
      <c r="AB38" s="80">
        <f t="shared" si="47"/>
        <v>-307.6869308212079</v>
      </c>
      <c r="AC38" s="80">
        <f t="shared" si="47"/>
        <v>-307.6869308212079</v>
      </c>
      <c r="AD38" s="80">
        <f t="shared" si="47"/>
        <v>-307.6869308212079</v>
      </c>
      <c r="AE38" s="80">
        <f t="shared" si="47"/>
        <v>-307.6869308212079</v>
      </c>
      <c r="AF38" s="80">
        <f t="shared" si="47"/>
        <v>-307.6869308212079</v>
      </c>
      <c r="AG38" s="80">
        <f t="shared" si="47"/>
        <v>-307.6869308212079</v>
      </c>
      <c r="AH38" s="93"/>
      <c r="AI38" s="25"/>
      <c r="AJ38" s="25"/>
      <c r="AK38" s="125"/>
      <c r="AL38" s="124">
        <f>SUM(V38:AG38)</f>
        <v>-3692.2431698544956</v>
      </c>
      <c r="AM38" s="129">
        <f t="shared" si="33"/>
        <v>-1518.635341329553</v>
      </c>
    </row>
    <row r="39" spans="1:39" ht="12">
      <c r="A39" s="48">
        <f>A37</f>
        <v>462</v>
      </c>
      <c r="B39" s="48">
        <f>B37</f>
        <v>1010000</v>
      </c>
      <c r="C39" s="48" t="str">
        <f>C37</f>
        <v>ST. ANTHONY HE PLANT AND SUBSTATION - PR</v>
      </c>
      <c r="D39" s="48" t="str">
        <f>D37</f>
        <v>SG-U</v>
      </c>
      <c r="E39" s="15">
        <v>0.4113042590825348</v>
      </c>
      <c r="F39" s="49">
        <v>3320000</v>
      </c>
      <c r="G39" s="50" t="s">
        <v>31</v>
      </c>
      <c r="H39" s="51">
        <v>495809.92</v>
      </c>
      <c r="I39" s="12"/>
      <c r="J39" s="52">
        <f>J37</f>
        <v>1080000</v>
      </c>
      <c r="K39" s="51">
        <v>-59522.11</v>
      </c>
      <c r="L39" s="51">
        <f t="shared" si="3"/>
        <v>436287.81</v>
      </c>
      <c r="M39" s="51">
        <f t="shared" si="4"/>
        <v>179447.0344387917</v>
      </c>
      <c r="N39" s="98">
        <v>30382</v>
      </c>
      <c r="O39" s="64">
        <v>0.027298698627314096</v>
      </c>
      <c r="P39" s="117">
        <f>K39+P40</f>
        <v>-60650.02379854272</v>
      </c>
      <c r="Q39" s="117">
        <f>P39+Q40</f>
        <v>-61777.937597085445</v>
      </c>
      <c r="R39" s="117">
        <f aca="true" t="shared" si="48" ref="R39:AG39">Q39+R40</f>
        <v>-62905.85139562817</v>
      </c>
      <c r="S39" s="117">
        <f t="shared" si="48"/>
        <v>-64033.76519417089</v>
      </c>
      <c r="T39" s="117">
        <f t="shared" si="48"/>
        <v>-65161.67899271361</v>
      </c>
      <c r="U39" s="117">
        <f t="shared" si="48"/>
        <v>-66289.59279125633</v>
      </c>
      <c r="V39" s="117">
        <f t="shared" si="48"/>
        <v>-67417.50658979906</v>
      </c>
      <c r="W39" s="117">
        <f t="shared" si="48"/>
        <v>-68545.42038834178</v>
      </c>
      <c r="X39" s="117">
        <f t="shared" si="48"/>
        <v>-69673.3341868845</v>
      </c>
      <c r="Y39" s="117">
        <f t="shared" si="48"/>
        <v>-70801.24798542722</v>
      </c>
      <c r="Z39" s="117">
        <f t="shared" si="48"/>
        <v>-71929.16178396995</v>
      </c>
      <c r="AA39" s="117">
        <f t="shared" si="48"/>
        <v>-73091.6334600833</v>
      </c>
      <c r="AB39" s="117">
        <f t="shared" si="48"/>
        <v>-74288.66301376729</v>
      </c>
      <c r="AC39" s="117">
        <f t="shared" si="48"/>
        <v>-75485.69256745127</v>
      </c>
      <c r="AD39" s="117">
        <f t="shared" si="48"/>
        <v>-76682.72212113526</v>
      </c>
      <c r="AE39" s="117">
        <f t="shared" si="48"/>
        <v>-77879.75167481924</v>
      </c>
      <c r="AF39" s="117">
        <f t="shared" si="48"/>
        <v>-79076.78122850323</v>
      </c>
      <c r="AG39" s="117">
        <f t="shared" si="48"/>
        <v>-80273.81078218721</v>
      </c>
      <c r="AH39" s="51">
        <f>AVERAGE(U39:AG39)</f>
        <v>-73187.3321979712</v>
      </c>
      <c r="AI39" s="51">
        <f>H39+AH39</f>
        <v>422622.58780202875</v>
      </c>
      <c r="AJ39" s="51">
        <f>E39*AI39</f>
        <v>173826.47034745695</v>
      </c>
      <c r="AK39" s="117"/>
      <c r="AL39" s="124"/>
      <c r="AM39" s="129">
        <f t="shared" si="33"/>
        <v>0</v>
      </c>
    </row>
    <row r="40" spans="1:39" ht="12">
      <c r="A40" s="43"/>
      <c r="B40" s="43"/>
      <c r="C40" s="43"/>
      <c r="D40" s="43"/>
      <c r="E40" s="14"/>
      <c r="F40" s="45"/>
      <c r="G40" s="46"/>
      <c r="H40" s="25"/>
      <c r="J40" s="47"/>
      <c r="K40" s="25"/>
      <c r="L40" s="25"/>
      <c r="M40" s="25"/>
      <c r="N40" s="60"/>
      <c r="O40" s="115"/>
      <c r="P40" s="80">
        <f aca="true" t="shared" si="49" ref="P40:Z40">-($H39*$O39)/12</f>
        <v>-1127.913798542726</v>
      </c>
      <c r="Q40" s="80">
        <f t="shared" si="49"/>
        <v>-1127.913798542726</v>
      </c>
      <c r="R40" s="80">
        <f t="shared" si="49"/>
        <v>-1127.913798542726</v>
      </c>
      <c r="S40" s="80">
        <f t="shared" si="49"/>
        <v>-1127.913798542726</v>
      </c>
      <c r="T40" s="80">
        <f t="shared" si="49"/>
        <v>-1127.913798542726</v>
      </c>
      <c r="U40" s="80">
        <f t="shared" si="49"/>
        <v>-1127.913798542726</v>
      </c>
      <c r="V40" s="80">
        <f t="shared" si="49"/>
        <v>-1127.913798542726</v>
      </c>
      <c r="W40" s="80">
        <f t="shared" si="49"/>
        <v>-1127.913798542726</v>
      </c>
      <c r="X40" s="80">
        <f t="shared" si="49"/>
        <v>-1127.913798542726</v>
      </c>
      <c r="Y40" s="80">
        <f t="shared" si="49"/>
        <v>-1127.913798542726</v>
      </c>
      <c r="Z40" s="80">
        <f t="shared" si="49"/>
        <v>-1127.913798542726</v>
      </c>
      <c r="AA40" s="80">
        <f>-((($H39*$O39)/12)+((($N39*$O39)/12)/2))</f>
        <v>-1162.4716761133534</v>
      </c>
      <c r="AB40" s="80">
        <f aca="true" t="shared" si="50" ref="AB40:AG40">-(($H39+$N39)*$O39)/12</f>
        <v>-1197.0295536839806</v>
      </c>
      <c r="AC40" s="80">
        <f t="shared" si="50"/>
        <v>-1197.0295536839806</v>
      </c>
      <c r="AD40" s="80">
        <f t="shared" si="50"/>
        <v>-1197.0295536839806</v>
      </c>
      <c r="AE40" s="80">
        <f t="shared" si="50"/>
        <v>-1197.0295536839806</v>
      </c>
      <c r="AF40" s="80">
        <f t="shared" si="50"/>
        <v>-1197.0295536839806</v>
      </c>
      <c r="AG40" s="80">
        <f t="shared" si="50"/>
        <v>-1197.0295536839806</v>
      </c>
      <c r="AH40" s="93"/>
      <c r="AI40" s="25"/>
      <c r="AJ40" s="25"/>
      <c r="AK40" s="125"/>
      <c r="AL40" s="124">
        <f>SUM(V40:AG40)</f>
        <v>-13984.217990930865</v>
      </c>
      <c r="AM40" s="129">
        <f t="shared" si="33"/>
        <v>-5751.768419608473</v>
      </c>
    </row>
    <row r="41" spans="1:39" ht="12">
      <c r="A41" s="43">
        <f>A39</f>
        <v>462</v>
      </c>
      <c r="B41" s="43">
        <f>B39</f>
        <v>1010000</v>
      </c>
      <c r="C41" s="43" t="str">
        <f>C39</f>
        <v>ST. ANTHONY HE PLANT AND SUBSTATION - PR</v>
      </c>
      <c r="D41" s="43" t="str">
        <f>D39</f>
        <v>SG-U</v>
      </c>
      <c r="E41" s="14">
        <v>0.4113042590825348</v>
      </c>
      <c r="F41" s="45">
        <v>3321000</v>
      </c>
      <c r="G41" s="46" t="s">
        <v>20</v>
      </c>
      <c r="H41" s="25">
        <v>167654.9</v>
      </c>
      <c r="J41" s="47">
        <f>J39</f>
        <v>1080000</v>
      </c>
      <c r="K41" s="25">
        <v>-157331.43999999997</v>
      </c>
      <c r="L41" s="25">
        <f t="shared" si="3"/>
        <v>10323.460000000021</v>
      </c>
      <c r="M41" s="25">
        <f t="shared" si="4"/>
        <v>4246.0830664681935</v>
      </c>
      <c r="N41" s="62"/>
      <c r="O41" s="91">
        <v>0.027298698627314096</v>
      </c>
      <c r="P41" s="7">
        <f>K41+P42</f>
        <v>-157712.83671570767</v>
      </c>
      <c r="Q41" s="7">
        <f>P41+Q42</f>
        <v>-158094.23343141537</v>
      </c>
      <c r="R41" s="7">
        <f aca="true" t="shared" si="51" ref="R41:AG41">Q41+R42</f>
        <v>-158475.63014712307</v>
      </c>
      <c r="S41" s="7">
        <f t="shared" si="51"/>
        <v>-158857.02686283077</v>
      </c>
      <c r="T41" s="7">
        <f t="shared" si="51"/>
        <v>-159238.42357853847</v>
      </c>
      <c r="U41" s="7">
        <f t="shared" si="51"/>
        <v>-159619.82029424616</v>
      </c>
      <c r="V41" s="7">
        <f t="shared" si="51"/>
        <v>-160001.21700995386</v>
      </c>
      <c r="W41" s="7">
        <f t="shared" si="51"/>
        <v>-160382.61372566156</v>
      </c>
      <c r="X41" s="7">
        <f t="shared" si="51"/>
        <v>-160764.01044136926</v>
      </c>
      <c r="Y41" s="7">
        <f t="shared" si="51"/>
        <v>-161145.40715707696</v>
      </c>
      <c r="Z41" s="7">
        <f t="shared" si="51"/>
        <v>-161526.80387278466</v>
      </c>
      <c r="AA41" s="7">
        <f t="shared" si="51"/>
        <v>-161908.20058849236</v>
      </c>
      <c r="AB41" s="7">
        <f t="shared" si="51"/>
        <v>-162289.59730420006</v>
      </c>
      <c r="AC41" s="7">
        <f t="shared" si="51"/>
        <v>-162670.99401990775</v>
      </c>
      <c r="AD41" s="7">
        <f t="shared" si="51"/>
        <v>-163052.39073561545</v>
      </c>
      <c r="AE41" s="7">
        <f t="shared" si="51"/>
        <v>-163433.78745132315</v>
      </c>
      <c r="AF41" s="7">
        <f t="shared" si="51"/>
        <v>-163815.18416703085</v>
      </c>
      <c r="AG41" s="7">
        <f t="shared" si="51"/>
        <v>-164196.58088273855</v>
      </c>
      <c r="AH41" s="25">
        <f>AVERAGE(U41:AG41)</f>
        <v>-161908.20058849236</v>
      </c>
      <c r="AI41" s="25">
        <f>H41+AH41</f>
        <v>5746.699411507638</v>
      </c>
      <c r="AJ41" s="25">
        <f>E41*AI41</f>
        <v>2363.6419436201877</v>
      </c>
      <c r="AK41" s="125"/>
      <c r="AL41" s="124"/>
      <c r="AM41" s="129">
        <f t="shared" si="33"/>
        <v>0</v>
      </c>
    </row>
    <row r="42" spans="1:39" ht="12">
      <c r="A42" s="43"/>
      <c r="B42" s="43"/>
      <c r="C42" s="43"/>
      <c r="D42" s="43"/>
      <c r="E42" s="14"/>
      <c r="F42" s="45"/>
      <c r="G42" s="46"/>
      <c r="H42" s="25"/>
      <c r="J42" s="47"/>
      <c r="K42" s="25"/>
      <c r="L42" s="25"/>
      <c r="M42" s="25"/>
      <c r="N42" s="62"/>
      <c r="O42" s="115"/>
      <c r="P42" s="80">
        <f aca="true" t="shared" si="52" ref="P42:U42">-($H41*$O41)/12</f>
        <v>-381.3967157077068</v>
      </c>
      <c r="Q42" s="80">
        <f t="shared" si="52"/>
        <v>-381.3967157077068</v>
      </c>
      <c r="R42" s="80">
        <f t="shared" si="52"/>
        <v>-381.3967157077068</v>
      </c>
      <c r="S42" s="80">
        <f t="shared" si="52"/>
        <v>-381.3967157077068</v>
      </c>
      <c r="T42" s="80">
        <f t="shared" si="52"/>
        <v>-381.3967157077068</v>
      </c>
      <c r="U42" s="80">
        <f t="shared" si="52"/>
        <v>-381.3967157077068</v>
      </c>
      <c r="V42" s="80">
        <f aca="true" t="shared" si="53" ref="V42:AG42">-($H41*$O41)/12</f>
        <v>-381.3967157077068</v>
      </c>
      <c r="W42" s="80">
        <f t="shared" si="53"/>
        <v>-381.3967157077068</v>
      </c>
      <c r="X42" s="80">
        <f t="shared" si="53"/>
        <v>-381.3967157077068</v>
      </c>
      <c r="Y42" s="80">
        <f t="shared" si="53"/>
        <v>-381.3967157077068</v>
      </c>
      <c r="Z42" s="80">
        <f t="shared" si="53"/>
        <v>-381.3967157077068</v>
      </c>
      <c r="AA42" s="80">
        <f t="shared" si="53"/>
        <v>-381.3967157077068</v>
      </c>
      <c r="AB42" s="80">
        <f t="shared" si="53"/>
        <v>-381.3967157077068</v>
      </c>
      <c r="AC42" s="80">
        <f t="shared" si="53"/>
        <v>-381.3967157077068</v>
      </c>
      <c r="AD42" s="80">
        <f t="shared" si="53"/>
        <v>-381.3967157077068</v>
      </c>
      <c r="AE42" s="80">
        <f t="shared" si="53"/>
        <v>-381.3967157077068</v>
      </c>
      <c r="AF42" s="80">
        <f t="shared" si="53"/>
        <v>-381.3967157077068</v>
      </c>
      <c r="AG42" s="80">
        <f t="shared" si="53"/>
        <v>-381.3967157077068</v>
      </c>
      <c r="AH42" s="93"/>
      <c r="AI42" s="25"/>
      <c r="AJ42" s="25"/>
      <c r="AK42" s="125"/>
      <c r="AL42" s="124">
        <f>SUM(V42:AG42)</f>
        <v>-4576.7605884924815</v>
      </c>
      <c r="AM42" s="129">
        <f t="shared" si="33"/>
        <v>-1882.4411228480462</v>
      </c>
    </row>
    <row r="43" spans="1:39" ht="12">
      <c r="A43" s="43">
        <f>A41</f>
        <v>462</v>
      </c>
      <c r="B43" s="43">
        <f>B41</f>
        <v>1010000</v>
      </c>
      <c r="C43" s="43" t="str">
        <f>C41</f>
        <v>ST. ANTHONY HE PLANT AND SUBSTATION - PR</v>
      </c>
      <c r="D43" s="43" t="str">
        <f>D41</f>
        <v>SG-U</v>
      </c>
      <c r="E43" s="14">
        <v>0.4113042590825348</v>
      </c>
      <c r="F43" s="45">
        <v>3322000</v>
      </c>
      <c r="G43" s="46" t="s">
        <v>32</v>
      </c>
      <c r="H43" s="25">
        <v>457.8</v>
      </c>
      <c r="J43" s="47">
        <f>J41</f>
        <v>1080000</v>
      </c>
      <c r="K43" s="25">
        <v>-61255.43</v>
      </c>
      <c r="L43" s="25">
        <f t="shared" si="3"/>
        <v>-60797.63</v>
      </c>
      <c r="M43" s="25">
        <f t="shared" si="4"/>
        <v>-25006.324161124092</v>
      </c>
      <c r="N43" s="62"/>
      <c r="O43" s="91">
        <v>0.027298698627314096</v>
      </c>
      <c r="P43" s="7">
        <f>K43+P44</f>
        <v>-61256.47144535263</v>
      </c>
      <c r="Q43" s="7">
        <f>P43+Q44</f>
        <v>-61257.512890705264</v>
      </c>
      <c r="R43" s="7">
        <f aca="true" t="shared" si="54" ref="R43:AG43">Q43+R44</f>
        <v>-61258.554336057896</v>
      </c>
      <c r="S43" s="7">
        <f t="shared" si="54"/>
        <v>-61259.59578141053</v>
      </c>
      <c r="T43" s="7">
        <f t="shared" si="54"/>
        <v>-61260.63722676316</v>
      </c>
      <c r="U43" s="7">
        <f t="shared" si="54"/>
        <v>-61261.67867211579</v>
      </c>
      <c r="V43" s="7">
        <f t="shared" si="54"/>
        <v>-61262.72011746842</v>
      </c>
      <c r="W43" s="7">
        <f t="shared" si="54"/>
        <v>-61263.761562821055</v>
      </c>
      <c r="X43" s="7">
        <f t="shared" si="54"/>
        <v>-61264.80300817369</v>
      </c>
      <c r="Y43" s="7">
        <f t="shared" si="54"/>
        <v>-61265.84445352632</v>
      </c>
      <c r="Z43" s="7">
        <f t="shared" si="54"/>
        <v>-61266.88589887895</v>
      </c>
      <c r="AA43" s="7">
        <f t="shared" si="54"/>
        <v>-61267.92734423158</v>
      </c>
      <c r="AB43" s="7">
        <f t="shared" si="54"/>
        <v>-61268.968789584214</v>
      </c>
      <c r="AC43" s="7">
        <f t="shared" si="54"/>
        <v>-61270.010234936846</v>
      </c>
      <c r="AD43" s="7">
        <f t="shared" si="54"/>
        <v>-61271.05168028948</v>
      </c>
      <c r="AE43" s="7">
        <f t="shared" si="54"/>
        <v>-61272.09312564211</v>
      </c>
      <c r="AF43" s="7">
        <f t="shared" si="54"/>
        <v>-61273.13457099474</v>
      </c>
      <c r="AG43" s="7">
        <f t="shared" si="54"/>
        <v>-61274.176016347374</v>
      </c>
      <c r="AH43" s="25">
        <f>AVERAGE(U43:AG43)</f>
        <v>-61267.92734423159</v>
      </c>
      <c r="AI43" s="25">
        <f>H43+AH43</f>
        <v>-60810.12734423159</v>
      </c>
      <c r="AJ43" s="25">
        <f>E43*AI43</f>
        <v>-25011.464372033763</v>
      </c>
      <c r="AK43" s="125"/>
      <c r="AL43" s="124"/>
      <c r="AM43" s="129">
        <f t="shared" si="33"/>
        <v>0</v>
      </c>
    </row>
    <row r="44" spans="1:39" ht="12">
      <c r="A44" s="43"/>
      <c r="B44" s="43"/>
      <c r="C44" s="43"/>
      <c r="D44" s="43"/>
      <c r="E44" s="14"/>
      <c r="F44" s="45"/>
      <c r="G44" s="46"/>
      <c r="H44" s="25"/>
      <c r="J44" s="47"/>
      <c r="K44" s="25"/>
      <c r="L44" s="25"/>
      <c r="M44" s="25"/>
      <c r="N44" s="62"/>
      <c r="O44" s="115"/>
      <c r="P44" s="80">
        <f aca="true" t="shared" si="55" ref="P44:U44">-($H43*$O43)/12</f>
        <v>-1.0414453526320329</v>
      </c>
      <c r="Q44" s="80">
        <f t="shared" si="55"/>
        <v>-1.0414453526320329</v>
      </c>
      <c r="R44" s="80">
        <f t="shared" si="55"/>
        <v>-1.0414453526320329</v>
      </c>
      <c r="S44" s="80">
        <f t="shared" si="55"/>
        <v>-1.0414453526320329</v>
      </c>
      <c r="T44" s="80">
        <f t="shared" si="55"/>
        <v>-1.0414453526320329</v>
      </c>
      <c r="U44" s="80">
        <f t="shared" si="55"/>
        <v>-1.0414453526320329</v>
      </c>
      <c r="V44" s="80">
        <f aca="true" t="shared" si="56" ref="V44:AG44">-($H43*$O43)/12</f>
        <v>-1.0414453526320329</v>
      </c>
      <c r="W44" s="80">
        <f t="shared" si="56"/>
        <v>-1.0414453526320329</v>
      </c>
      <c r="X44" s="80">
        <f t="shared" si="56"/>
        <v>-1.0414453526320329</v>
      </c>
      <c r="Y44" s="80">
        <f t="shared" si="56"/>
        <v>-1.0414453526320329</v>
      </c>
      <c r="Z44" s="80">
        <f t="shared" si="56"/>
        <v>-1.0414453526320329</v>
      </c>
      <c r="AA44" s="80">
        <f t="shared" si="56"/>
        <v>-1.0414453526320329</v>
      </c>
      <c r="AB44" s="80">
        <f t="shared" si="56"/>
        <v>-1.0414453526320329</v>
      </c>
      <c r="AC44" s="80">
        <f t="shared" si="56"/>
        <v>-1.0414453526320329</v>
      </c>
      <c r="AD44" s="80">
        <f t="shared" si="56"/>
        <v>-1.0414453526320329</v>
      </c>
      <c r="AE44" s="80">
        <f t="shared" si="56"/>
        <v>-1.0414453526320329</v>
      </c>
      <c r="AF44" s="80">
        <f t="shared" si="56"/>
        <v>-1.0414453526320329</v>
      </c>
      <c r="AG44" s="80">
        <f t="shared" si="56"/>
        <v>-1.0414453526320329</v>
      </c>
      <c r="AH44" s="93"/>
      <c r="AI44" s="25"/>
      <c r="AJ44" s="25"/>
      <c r="AK44" s="125"/>
      <c r="AL44" s="124">
        <f>SUM(V44:AG44)</f>
        <v>-12.497344231584398</v>
      </c>
      <c r="AM44" s="129">
        <f t="shared" si="33"/>
        <v>-5.140210909671211</v>
      </c>
    </row>
    <row r="45" spans="1:39" ht="12">
      <c r="A45" s="43">
        <f>A43</f>
        <v>462</v>
      </c>
      <c r="B45" s="43">
        <f>B43</f>
        <v>1010000</v>
      </c>
      <c r="C45" s="43" t="str">
        <f>C43</f>
        <v>ST. ANTHONY HE PLANT AND SUBSTATION - PR</v>
      </c>
      <c r="D45" s="43" t="str">
        <f>D43</f>
        <v>SG-U</v>
      </c>
      <c r="E45" s="14">
        <v>0.4113042590825348</v>
      </c>
      <c r="F45" s="45">
        <v>3330000</v>
      </c>
      <c r="G45" s="46" t="s">
        <v>21</v>
      </c>
      <c r="H45" s="25">
        <v>120563.03</v>
      </c>
      <c r="J45" s="47">
        <f>J43</f>
        <v>1080000</v>
      </c>
      <c r="K45" s="25">
        <v>-210985.22</v>
      </c>
      <c r="L45" s="25">
        <f t="shared" si="3"/>
        <v>-90422.19</v>
      </c>
      <c r="M45" s="25">
        <f t="shared" si="4"/>
        <v>-37191.03186257019</v>
      </c>
      <c r="N45" s="62"/>
      <c r="O45" s="91">
        <v>0.027298698627314096</v>
      </c>
      <c r="P45" s="7">
        <f>K45+P46</f>
        <v>-211259.48781846382</v>
      </c>
      <c r="Q45" s="7">
        <f>P45+Q46</f>
        <v>-211533.75563692764</v>
      </c>
      <c r="R45" s="7">
        <f aca="true" t="shared" si="57" ref="R45:AG45">Q45+R46</f>
        <v>-211808.02345539146</v>
      </c>
      <c r="S45" s="7">
        <f t="shared" si="57"/>
        <v>-212082.29127385528</v>
      </c>
      <c r="T45" s="7">
        <f t="shared" si="57"/>
        <v>-212356.5590923191</v>
      </c>
      <c r="U45" s="7">
        <f t="shared" si="57"/>
        <v>-212630.82691078293</v>
      </c>
      <c r="V45" s="7">
        <f t="shared" si="57"/>
        <v>-212905.09472924675</v>
      </c>
      <c r="W45" s="7">
        <f t="shared" si="57"/>
        <v>-213179.36254771057</v>
      </c>
      <c r="X45" s="7">
        <f t="shared" si="57"/>
        <v>-213453.6303661744</v>
      </c>
      <c r="Y45" s="7">
        <f t="shared" si="57"/>
        <v>-213727.8981846382</v>
      </c>
      <c r="Z45" s="7">
        <f t="shared" si="57"/>
        <v>-214002.16600310203</v>
      </c>
      <c r="AA45" s="7">
        <f t="shared" si="57"/>
        <v>-214276.43382156585</v>
      </c>
      <c r="AB45" s="7">
        <f t="shared" si="57"/>
        <v>-214550.70164002967</v>
      </c>
      <c r="AC45" s="7">
        <f t="shared" si="57"/>
        <v>-214824.9694584935</v>
      </c>
      <c r="AD45" s="7">
        <f t="shared" si="57"/>
        <v>-215099.2372769573</v>
      </c>
      <c r="AE45" s="7">
        <f t="shared" si="57"/>
        <v>-215373.50509542113</v>
      </c>
      <c r="AF45" s="7">
        <f t="shared" si="57"/>
        <v>-215647.77291388495</v>
      </c>
      <c r="AG45" s="7">
        <f t="shared" si="57"/>
        <v>-215922.04073234877</v>
      </c>
      <c r="AH45" s="25">
        <f>AVERAGE(U45:AG45)</f>
        <v>-214276.43382156582</v>
      </c>
      <c r="AI45" s="25">
        <f>H45+AH45</f>
        <v>-93713.40382156582</v>
      </c>
      <c r="AJ45" s="25">
        <f>E45*AI45</f>
        <v>-38544.72212493152</v>
      </c>
      <c r="AK45" s="125"/>
      <c r="AL45" s="124"/>
      <c r="AM45" s="129">
        <f t="shared" si="33"/>
        <v>0</v>
      </c>
    </row>
    <row r="46" spans="1:39" ht="12">
      <c r="A46" s="43"/>
      <c r="B46" s="43"/>
      <c r="C46" s="43"/>
      <c r="D46" s="43"/>
      <c r="E46" s="14"/>
      <c r="F46" s="45"/>
      <c r="G46" s="46"/>
      <c r="H46" s="25"/>
      <c r="J46" s="47"/>
      <c r="K46" s="25"/>
      <c r="L46" s="25"/>
      <c r="M46" s="25"/>
      <c r="N46" s="62"/>
      <c r="O46" s="115"/>
      <c r="P46" s="80">
        <f aca="true" t="shared" si="58" ref="P46:U46">-($H45*$O45)/12</f>
        <v>-274.267818463819</v>
      </c>
      <c r="Q46" s="80">
        <f t="shared" si="58"/>
        <v>-274.267818463819</v>
      </c>
      <c r="R46" s="80">
        <f t="shared" si="58"/>
        <v>-274.267818463819</v>
      </c>
      <c r="S46" s="80">
        <f t="shared" si="58"/>
        <v>-274.267818463819</v>
      </c>
      <c r="T46" s="80">
        <f t="shared" si="58"/>
        <v>-274.267818463819</v>
      </c>
      <c r="U46" s="80">
        <f t="shared" si="58"/>
        <v>-274.267818463819</v>
      </c>
      <c r="V46" s="80">
        <f aca="true" t="shared" si="59" ref="V46:AG46">-($H45*$O45)/12</f>
        <v>-274.267818463819</v>
      </c>
      <c r="W46" s="80">
        <f t="shared" si="59"/>
        <v>-274.267818463819</v>
      </c>
      <c r="X46" s="80">
        <f t="shared" si="59"/>
        <v>-274.267818463819</v>
      </c>
      <c r="Y46" s="80">
        <f t="shared" si="59"/>
        <v>-274.267818463819</v>
      </c>
      <c r="Z46" s="80">
        <f t="shared" si="59"/>
        <v>-274.267818463819</v>
      </c>
      <c r="AA46" s="80">
        <f t="shared" si="59"/>
        <v>-274.267818463819</v>
      </c>
      <c r="AB46" s="80">
        <f t="shared" si="59"/>
        <v>-274.267818463819</v>
      </c>
      <c r="AC46" s="80">
        <f t="shared" si="59"/>
        <v>-274.267818463819</v>
      </c>
      <c r="AD46" s="80">
        <f t="shared" si="59"/>
        <v>-274.267818463819</v>
      </c>
      <c r="AE46" s="80">
        <f t="shared" si="59"/>
        <v>-274.267818463819</v>
      </c>
      <c r="AF46" s="80">
        <f t="shared" si="59"/>
        <v>-274.267818463819</v>
      </c>
      <c r="AG46" s="80">
        <f t="shared" si="59"/>
        <v>-274.267818463819</v>
      </c>
      <c r="AH46" s="93"/>
      <c r="AI46" s="25"/>
      <c r="AJ46" s="25"/>
      <c r="AK46" s="125"/>
      <c r="AL46" s="124">
        <f>SUM(V46:AG46)</f>
        <v>-3291.2138215658274</v>
      </c>
      <c r="AM46" s="129">
        <f t="shared" si="33"/>
        <v>-1353.6902623613305</v>
      </c>
    </row>
    <row r="47" spans="1:39" ht="12">
      <c r="A47" s="43">
        <f>A45</f>
        <v>462</v>
      </c>
      <c r="B47" s="43">
        <f>B45</f>
        <v>1010000</v>
      </c>
      <c r="C47" s="43" t="str">
        <f>C45</f>
        <v>ST. ANTHONY HE PLANT AND SUBSTATION - PR</v>
      </c>
      <c r="D47" s="43" t="str">
        <f>D45</f>
        <v>SG-U</v>
      </c>
      <c r="E47" s="14">
        <v>0.4113042590825348</v>
      </c>
      <c r="F47" s="45">
        <v>3340000</v>
      </c>
      <c r="G47" s="46" t="s">
        <v>22</v>
      </c>
      <c r="H47" s="25">
        <v>7286.41</v>
      </c>
      <c r="J47" s="47">
        <f>J45</f>
        <v>1080000</v>
      </c>
      <c r="K47" s="25">
        <v>-95952.02</v>
      </c>
      <c r="L47" s="25">
        <f t="shared" si="3"/>
        <v>-88665.61</v>
      </c>
      <c r="M47" s="25">
        <f t="shared" si="4"/>
        <v>-36468.54302715099</v>
      </c>
      <c r="N47" s="62"/>
      <c r="O47" s="91">
        <v>0.027298698627314096</v>
      </c>
      <c r="P47" s="7">
        <f>K47+P48</f>
        <v>-95968.59579255542</v>
      </c>
      <c r="Q47" s="7">
        <f>P47+Q48</f>
        <v>-95985.17158511085</v>
      </c>
      <c r="R47" s="7">
        <f aca="true" t="shared" si="60" ref="R47:AG47">Q47+R48</f>
        <v>-96001.74737766627</v>
      </c>
      <c r="S47" s="7">
        <f t="shared" si="60"/>
        <v>-96018.32317022169</v>
      </c>
      <c r="T47" s="7">
        <f t="shared" si="60"/>
        <v>-96034.89896277711</v>
      </c>
      <c r="U47" s="7">
        <f t="shared" si="60"/>
        <v>-96051.47475533253</v>
      </c>
      <c r="V47" s="7">
        <f t="shared" si="60"/>
        <v>-96068.05054788795</v>
      </c>
      <c r="W47" s="7">
        <f t="shared" si="60"/>
        <v>-96084.62634044337</v>
      </c>
      <c r="X47" s="7">
        <f t="shared" si="60"/>
        <v>-96101.20213299879</v>
      </c>
      <c r="Y47" s="7">
        <f t="shared" si="60"/>
        <v>-96117.77792555421</v>
      </c>
      <c r="Z47" s="7">
        <f t="shared" si="60"/>
        <v>-96134.35371810963</v>
      </c>
      <c r="AA47" s="7">
        <f t="shared" si="60"/>
        <v>-96150.92951066505</v>
      </c>
      <c r="AB47" s="7">
        <f t="shared" si="60"/>
        <v>-96167.50530322047</v>
      </c>
      <c r="AC47" s="7">
        <f t="shared" si="60"/>
        <v>-96184.0810957759</v>
      </c>
      <c r="AD47" s="7">
        <f t="shared" si="60"/>
        <v>-96200.65688833132</v>
      </c>
      <c r="AE47" s="7">
        <f t="shared" si="60"/>
        <v>-96217.23268088674</v>
      </c>
      <c r="AF47" s="7">
        <f t="shared" si="60"/>
        <v>-96233.80847344216</v>
      </c>
      <c r="AG47" s="7">
        <f t="shared" si="60"/>
        <v>-96250.38426599758</v>
      </c>
      <c r="AH47" s="25">
        <f>AVERAGE(U47:AG47)</f>
        <v>-96150.92951066505</v>
      </c>
      <c r="AI47" s="25">
        <f>H47+AH47</f>
        <v>-88864.51951066505</v>
      </c>
      <c r="AJ47" s="25">
        <f>E47*AI47</f>
        <v>-36550.35535605955</v>
      </c>
      <c r="AK47" s="125"/>
      <c r="AL47" s="124"/>
      <c r="AM47" s="129">
        <f t="shared" si="33"/>
        <v>0</v>
      </c>
    </row>
    <row r="48" spans="1:39" ht="12">
      <c r="A48" s="43"/>
      <c r="B48" s="43"/>
      <c r="C48" s="43"/>
      <c r="D48" s="43"/>
      <c r="E48" s="16"/>
      <c r="F48" s="55"/>
      <c r="G48" s="56"/>
      <c r="H48" s="31"/>
      <c r="J48" s="57"/>
      <c r="K48" s="31"/>
      <c r="L48" s="31"/>
      <c r="M48" s="31"/>
      <c r="N48" s="65"/>
      <c r="O48" s="116"/>
      <c r="P48" s="80">
        <f aca="true" t="shared" si="61" ref="P48:U48">-($H47*$O47)/12</f>
        <v>-16.57579255542064</v>
      </c>
      <c r="Q48" s="80">
        <f t="shared" si="61"/>
        <v>-16.57579255542064</v>
      </c>
      <c r="R48" s="80">
        <f t="shared" si="61"/>
        <v>-16.57579255542064</v>
      </c>
      <c r="S48" s="80">
        <f t="shared" si="61"/>
        <v>-16.57579255542064</v>
      </c>
      <c r="T48" s="80">
        <f t="shared" si="61"/>
        <v>-16.57579255542064</v>
      </c>
      <c r="U48" s="80">
        <f t="shared" si="61"/>
        <v>-16.57579255542064</v>
      </c>
      <c r="V48" s="80">
        <f aca="true" t="shared" si="62" ref="V48:AG48">-($H47*$O47)/12</f>
        <v>-16.57579255542064</v>
      </c>
      <c r="W48" s="80">
        <f t="shared" si="62"/>
        <v>-16.57579255542064</v>
      </c>
      <c r="X48" s="80">
        <f t="shared" si="62"/>
        <v>-16.57579255542064</v>
      </c>
      <c r="Y48" s="80">
        <f t="shared" si="62"/>
        <v>-16.57579255542064</v>
      </c>
      <c r="Z48" s="80">
        <f t="shared" si="62"/>
        <v>-16.57579255542064</v>
      </c>
      <c r="AA48" s="80">
        <f t="shared" si="62"/>
        <v>-16.57579255542064</v>
      </c>
      <c r="AB48" s="80">
        <f t="shared" si="62"/>
        <v>-16.57579255542064</v>
      </c>
      <c r="AC48" s="80">
        <f t="shared" si="62"/>
        <v>-16.57579255542064</v>
      </c>
      <c r="AD48" s="80">
        <f t="shared" si="62"/>
        <v>-16.57579255542064</v>
      </c>
      <c r="AE48" s="80">
        <f t="shared" si="62"/>
        <v>-16.57579255542064</v>
      </c>
      <c r="AF48" s="80">
        <f t="shared" si="62"/>
        <v>-16.57579255542064</v>
      </c>
      <c r="AG48" s="80">
        <f t="shared" si="62"/>
        <v>-16.57579255542064</v>
      </c>
      <c r="AH48" s="95"/>
      <c r="AI48" s="31"/>
      <c r="AJ48" s="25"/>
      <c r="AK48" s="125"/>
      <c r="AL48" s="124">
        <f>SUM(V48:AG48)</f>
        <v>-198.90951066504763</v>
      </c>
      <c r="AM48" s="129">
        <f t="shared" si="33"/>
        <v>-81.81232890855698</v>
      </c>
    </row>
    <row r="49" spans="1:38" ht="12">
      <c r="A49" s="112">
        <f>A47</f>
        <v>462</v>
      </c>
      <c r="B49" s="112">
        <f>B47</f>
        <v>1010000</v>
      </c>
      <c r="C49" s="112" t="str">
        <f>C47</f>
        <v>ST. ANTHONY HE PLANT AND SUBSTATION - PR</v>
      </c>
      <c r="D49" s="113" t="str">
        <f>D47</f>
        <v>SG-U</v>
      </c>
      <c r="E49" s="16">
        <v>0.4113042590825348</v>
      </c>
      <c r="F49" s="55">
        <v>3350000</v>
      </c>
      <c r="G49" s="56" t="s">
        <v>33</v>
      </c>
      <c r="H49" s="31">
        <v>1327.04</v>
      </c>
      <c r="J49" s="57">
        <f>J47</f>
        <v>1080000</v>
      </c>
      <c r="K49" s="31">
        <v>-342.78999999999996</v>
      </c>
      <c r="L49" s="31">
        <f t="shared" si="3"/>
        <v>984.25</v>
      </c>
      <c r="M49" s="31">
        <f t="shared" si="4"/>
        <v>404.8262170019849</v>
      </c>
      <c r="N49" s="65"/>
      <c r="O49" s="101">
        <v>0.027298698627314096</v>
      </c>
      <c r="P49" s="7">
        <f>K49+P50</f>
        <v>-345.8088720855325</v>
      </c>
      <c r="Q49" s="7">
        <f>P49+Q50</f>
        <v>-348.8277441710651</v>
      </c>
      <c r="R49" s="7">
        <f aca="true" t="shared" si="63" ref="R49:AG49">Q49+R50</f>
        <v>-351.84661625659766</v>
      </c>
      <c r="S49" s="7">
        <f t="shared" si="63"/>
        <v>-354.8654883421302</v>
      </c>
      <c r="T49" s="7">
        <f t="shared" si="63"/>
        <v>-357.8843604276628</v>
      </c>
      <c r="U49" s="7">
        <f t="shared" si="63"/>
        <v>-360.90323251319535</v>
      </c>
      <c r="V49" s="7">
        <f t="shared" si="63"/>
        <v>-363.9221045987279</v>
      </c>
      <c r="W49" s="7">
        <f t="shared" si="63"/>
        <v>-366.9409766842605</v>
      </c>
      <c r="X49" s="7">
        <f t="shared" si="63"/>
        <v>-369.95984876979304</v>
      </c>
      <c r="Y49" s="7">
        <f t="shared" si="63"/>
        <v>-372.9787208553256</v>
      </c>
      <c r="Z49" s="7">
        <f t="shared" si="63"/>
        <v>-375.99759294085817</v>
      </c>
      <c r="AA49" s="7">
        <f t="shared" si="63"/>
        <v>-379.01646502639073</v>
      </c>
      <c r="AB49" s="7">
        <f t="shared" si="63"/>
        <v>-382.0353371119233</v>
      </c>
      <c r="AC49" s="7">
        <f t="shared" si="63"/>
        <v>-385.05420919745586</v>
      </c>
      <c r="AD49" s="7">
        <f t="shared" si="63"/>
        <v>-388.0730812829884</v>
      </c>
      <c r="AE49" s="7">
        <f t="shared" si="63"/>
        <v>-391.091953368521</v>
      </c>
      <c r="AF49" s="7">
        <f t="shared" si="63"/>
        <v>-394.11082545405355</v>
      </c>
      <c r="AG49" s="7">
        <f t="shared" si="63"/>
        <v>-397.1296975395861</v>
      </c>
      <c r="AH49" s="25">
        <f>AVERAGE(U49:AG49)</f>
        <v>-379.01646502639073</v>
      </c>
      <c r="AI49" s="31">
        <f>H49+AH49</f>
        <v>948.0235349736092</v>
      </c>
      <c r="AJ49" s="25">
        <f>E49*AI49</f>
        <v>389.9261176451259</v>
      </c>
      <c r="AK49" s="125"/>
      <c r="AL49" s="124"/>
    </row>
    <row r="50" spans="1:37" ht="12">
      <c r="A50" s="81"/>
      <c r="B50" s="81"/>
      <c r="C50" s="81"/>
      <c r="D50" s="81"/>
      <c r="E50" s="73"/>
      <c r="F50" s="82"/>
      <c r="G50" s="83"/>
      <c r="H50" s="76"/>
      <c r="J50" s="84"/>
      <c r="K50" s="76"/>
      <c r="L50" s="76"/>
      <c r="M50" s="76"/>
      <c r="N50" s="78"/>
      <c r="O50" s="102"/>
      <c r="P50" s="80">
        <f aca="true" t="shared" si="64" ref="P50:U50">-($H49*$O49)/12</f>
        <v>-3.018872085532575</v>
      </c>
      <c r="Q50" s="80">
        <f t="shared" si="64"/>
        <v>-3.018872085532575</v>
      </c>
      <c r="R50" s="80">
        <f t="shared" si="64"/>
        <v>-3.018872085532575</v>
      </c>
      <c r="S50" s="80">
        <f t="shared" si="64"/>
        <v>-3.018872085532575</v>
      </c>
      <c r="T50" s="80">
        <f t="shared" si="64"/>
        <v>-3.018872085532575</v>
      </c>
      <c r="U50" s="80">
        <f t="shared" si="64"/>
        <v>-3.018872085532575</v>
      </c>
      <c r="V50" s="80">
        <f aca="true" t="shared" si="65" ref="V50:AG50">-($H49*$O49)/12</f>
        <v>-3.018872085532575</v>
      </c>
      <c r="W50" s="80">
        <f t="shared" si="65"/>
        <v>-3.018872085532575</v>
      </c>
      <c r="X50" s="80">
        <f t="shared" si="65"/>
        <v>-3.018872085532575</v>
      </c>
      <c r="Y50" s="80">
        <f t="shared" si="65"/>
        <v>-3.018872085532575</v>
      </c>
      <c r="Z50" s="80">
        <f t="shared" si="65"/>
        <v>-3.018872085532575</v>
      </c>
      <c r="AA50" s="80">
        <f t="shared" si="65"/>
        <v>-3.018872085532575</v>
      </c>
      <c r="AB50" s="80">
        <f t="shared" si="65"/>
        <v>-3.018872085532575</v>
      </c>
      <c r="AC50" s="80">
        <f t="shared" si="65"/>
        <v>-3.018872085532575</v>
      </c>
      <c r="AD50" s="80">
        <f t="shared" si="65"/>
        <v>-3.018872085532575</v>
      </c>
      <c r="AE50" s="80">
        <f t="shared" si="65"/>
        <v>-3.018872085532575</v>
      </c>
      <c r="AF50" s="80">
        <f t="shared" si="65"/>
        <v>-3.018872085532575</v>
      </c>
      <c r="AG50" s="80">
        <f t="shared" si="65"/>
        <v>-3.018872085532575</v>
      </c>
      <c r="AH50" s="76"/>
      <c r="AI50" s="76"/>
      <c r="AJ50" s="79"/>
      <c r="AK50" s="125"/>
    </row>
    <row r="51" spans="1:39" s="106" customFormat="1" ht="12">
      <c r="A51" s="58" t="s">
        <v>14</v>
      </c>
      <c r="B51" s="67"/>
      <c r="C51" s="67"/>
      <c r="D51" s="67"/>
      <c r="E51" s="17"/>
      <c r="F51" s="67"/>
      <c r="G51" s="67"/>
      <c r="H51" s="35">
        <f>SUM(H27:H49)</f>
        <v>1466455.38</v>
      </c>
      <c r="I51" s="17"/>
      <c r="J51" s="59"/>
      <c r="K51" s="35">
        <f>SUM(K27:K49)</f>
        <v>-671650.77</v>
      </c>
      <c r="L51" s="35">
        <f>SUM(L27:L49)</f>
        <v>794804.61</v>
      </c>
      <c r="M51" s="35">
        <f>SUM(M27:M49)</f>
        <v>325267.0830199431</v>
      </c>
      <c r="N51" s="17"/>
      <c r="O51" s="17"/>
      <c r="P51" s="17"/>
      <c r="Q51" s="17"/>
      <c r="R51" s="17"/>
      <c r="S51" s="17"/>
      <c r="T51" s="17"/>
      <c r="U51" s="17"/>
      <c r="V51" s="17"/>
      <c r="W51" s="17"/>
      <c r="X51" s="17"/>
      <c r="Y51" s="17"/>
      <c r="Z51" s="17"/>
      <c r="AA51" s="17"/>
      <c r="AB51" s="17"/>
      <c r="AC51" s="17"/>
      <c r="AD51" s="17"/>
      <c r="AE51" s="17"/>
      <c r="AF51" s="17"/>
      <c r="AG51" s="17"/>
      <c r="AH51" s="35">
        <f>SUM(AH27:AH49)</f>
        <v>-711494.073914312</v>
      </c>
      <c r="AI51" s="35">
        <f>SUM(AI27:AI49)</f>
        <v>754961.3060856881</v>
      </c>
      <c r="AJ51" s="35">
        <f>SUM(AJ27:AJ49)</f>
        <v>308935.7303589229</v>
      </c>
      <c r="AK51" s="126"/>
      <c r="AL51" s="148">
        <f>SUM(AL30:AL49)</f>
        <v>-39989.026436598266</v>
      </c>
      <c r="AM51" s="148">
        <f>SUM(AM30:AM49)</f>
        <v>-16447.65688993695</v>
      </c>
    </row>
    <row r="52" spans="10:13" ht="12">
      <c r="J52" s="5"/>
      <c r="K52" s="5"/>
      <c r="L52" s="5"/>
      <c r="M52" s="5"/>
    </row>
    <row r="53" spans="2:37" ht="12.75" thickBot="1">
      <c r="B53" s="12"/>
      <c r="C53" s="3" t="s">
        <v>41</v>
      </c>
      <c r="AK53" s="127"/>
    </row>
    <row r="54" spans="31:36" ht="12.75" thickBot="1">
      <c r="AE54" s="270" t="s">
        <v>112</v>
      </c>
      <c r="AF54" s="271"/>
      <c r="AG54" s="271"/>
      <c r="AH54" s="271"/>
      <c r="AI54" s="271"/>
      <c r="AJ54" s="272"/>
    </row>
    <row r="55" spans="31:36" ht="10.5" customHeight="1">
      <c r="AE55" s="258"/>
      <c r="AF55" s="258"/>
      <c r="AG55" s="258"/>
      <c r="AH55" s="258"/>
      <c r="AI55" s="258"/>
      <c r="AJ55" s="258"/>
    </row>
    <row r="56" spans="31:36" ht="12">
      <c r="AE56" s="258"/>
      <c r="AF56" s="258"/>
      <c r="AG56" s="258"/>
      <c r="AH56" s="259" t="s">
        <v>45</v>
      </c>
      <c r="AI56" s="258"/>
      <c r="AJ56" s="127" t="s">
        <v>102</v>
      </c>
    </row>
    <row r="57" spans="34:36" ht="12">
      <c r="AH57" s="260" t="s">
        <v>124</v>
      </c>
      <c r="AJ57" s="260" t="s">
        <v>124</v>
      </c>
    </row>
    <row r="58" spans="34:36" ht="12.75" thickBot="1">
      <c r="AH58" s="123" t="s">
        <v>122</v>
      </c>
      <c r="AI58" s="123" t="s">
        <v>123</v>
      </c>
      <c r="AJ58" s="123" t="s">
        <v>122</v>
      </c>
    </row>
    <row r="59" spans="31:36" ht="12">
      <c r="AE59" s="3" t="s">
        <v>50</v>
      </c>
      <c r="AF59" s="3" t="s">
        <v>43</v>
      </c>
      <c r="AG59" s="3" t="s">
        <v>7</v>
      </c>
      <c r="AH59" s="118">
        <f>H10+H12</f>
        <v>167368.72</v>
      </c>
      <c r="AI59" s="120">
        <v>0.4113042590825348</v>
      </c>
      <c r="AJ59" s="61">
        <f>AI59*AH59</f>
        <v>68839.46737319222</v>
      </c>
    </row>
    <row r="60" spans="31:36" ht="12">
      <c r="AE60" s="3" t="s">
        <v>50</v>
      </c>
      <c r="AF60" s="3" t="s">
        <v>43</v>
      </c>
      <c r="AG60" s="3" t="s">
        <v>4</v>
      </c>
      <c r="AH60" s="217">
        <f>H14+H16+H18+H20+H22+H24</f>
        <v>66980.16999999998</v>
      </c>
      <c r="AI60" s="218">
        <v>0.4113042590825348</v>
      </c>
      <c r="AJ60" s="219">
        <f>AI60*AH60</f>
        <v>27549.22919507222</v>
      </c>
    </row>
    <row r="61" spans="34:36" ht="12">
      <c r="AH61" s="118">
        <f>SUM(AH59:AH60)</f>
        <v>234348.88999999998</v>
      </c>
      <c r="AI61" s="120"/>
      <c r="AJ61" s="61">
        <f>SUM(AJ59:AJ60)</f>
        <v>96388.69656826445</v>
      </c>
    </row>
    <row r="62" ht="12">
      <c r="AI62" s="120"/>
    </row>
    <row r="63" spans="31:36" ht="12">
      <c r="AE63" s="3" t="s">
        <v>50</v>
      </c>
      <c r="AF63" s="3" t="s">
        <v>44</v>
      </c>
      <c r="AG63" s="3" t="s">
        <v>7</v>
      </c>
      <c r="AH63" s="118">
        <f>AH10+AH12</f>
        <v>-7479.396349298746</v>
      </c>
      <c r="AI63" s="120">
        <v>0.4113042590825348</v>
      </c>
      <c r="AJ63" s="61">
        <f>AI63*AH63</f>
        <v>-3076.3075738329367</v>
      </c>
    </row>
    <row r="64" spans="31:36" ht="12">
      <c r="AE64" s="3" t="s">
        <v>50</v>
      </c>
      <c r="AF64" s="3" t="s">
        <v>44</v>
      </c>
      <c r="AG64" s="3" t="s">
        <v>4</v>
      </c>
      <c r="AH64" s="217">
        <f>AH14+AH16+AH18+AH20+AH22+AH24</f>
        <v>-434772.4533598543</v>
      </c>
      <c r="AI64" s="218">
        <v>0.4113042590825348</v>
      </c>
      <c r="AJ64" s="219">
        <f>AI64*AH64</f>
        <v>-178823.7617986708</v>
      </c>
    </row>
    <row r="65" spans="34:36" ht="12" customHeight="1">
      <c r="AH65" s="118">
        <f>SUM(AH63:AH64)</f>
        <v>-442251.84970915306</v>
      </c>
      <c r="AI65" s="120"/>
      <c r="AJ65" s="61">
        <f>SUM(AJ63:AJ64)</f>
        <v>-181900.06937250376</v>
      </c>
    </row>
    <row r="66" spans="34:35" ht="12" customHeight="1">
      <c r="AH66" s="118"/>
      <c r="AI66" s="120"/>
    </row>
    <row r="67" spans="31:36" ht="12">
      <c r="AE67" s="3" t="s">
        <v>120</v>
      </c>
      <c r="AH67" s="118">
        <f>AH65+AH61</f>
        <v>-207902.95970915307</v>
      </c>
      <c r="AI67" s="120"/>
      <c r="AJ67" s="61">
        <f>AJ65+AJ61</f>
        <v>-85511.3728042393</v>
      </c>
    </row>
    <row r="68" spans="34:35" ht="12">
      <c r="AH68" s="118"/>
      <c r="AI68" s="120"/>
    </row>
    <row r="69" ht="12">
      <c r="AI69" s="120"/>
    </row>
    <row r="70" spans="31:36" ht="12">
      <c r="AE70" s="3" t="s">
        <v>99</v>
      </c>
      <c r="AF70" s="3" t="s">
        <v>43</v>
      </c>
      <c r="AG70" s="3" t="s">
        <v>7</v>
      </c>
      <c r="AH70" s="118">
        <f>H29+H31</f>
        <v>89933.29000000001</v>
      </c>
      <c r="AI70" s="120">
        <v>0.4113042590825348</v>
      </c>
      <c r="AJ70" s="61">
        <f>AI70*AH70</f>
        <v>36989.945210304744</v>
      </c>
    </row>
    <row r="71" spans="31:36" ht="12">
      <c r="AE71" s="3" t="s">
        <v>99</v>
      </c>
      <c r="AF71" s="3" t="s">
        <v>43</v>
      </c>
      <c r="AG71" s="3" t="s">
        <v>3</v>
      </c>
      <c r="AH71" s="217">
        <f>((((H39*6)+((H39+N39)*7))/13))+H33+H35+H37+H41+H43+H45+H47+H49</f>
        <v>1387534.6584615384</v>
      </c>
      <c r="AI71" s="218">
        <v>0.4113042590825348</v>
      </c>
      <c r="AJ71" s="219">
        <f>AI71*AH71</f>
        <v>570698.914649861</v>
      </c>
    </row>
    <row r="72" spans="34:36" ht="12">
      <c r="AH72" s="220">
        <f>SUM(AH70:AH71)</f>
        <v>1477467.9484615384</v>
      </c>
      <c r="AI72" s="128"/>
      <c r="AJ72" s="125">
        <f>SUM(AJ70:AJ71)</f>
        <v>607688.8598601657</v>
      </c>
    </row>
    <row r="73" spans="34:35" ht="12">
      <c r="AH73" s="118"/>
      <c r="AI73" s="120"/>
    </row>
    <row r="74" spans="31:36" ht="12">
      <c r="AE74" s="3" t="s">
        <v>99</v>
      </c>
      <c r="AF74" s="3" t="s">
        <v>44</v>
      </c>
      <c r="AG74" s="3" t="s">
        <v>7</v>
      </c>
      <c r="AH74" s="118">
        <f>AH29+AH31</f>
        <v>-32877.41412705528</v>
      </c>
      <c r="AI74" s="120">
        <v>0.4113042590825348</v>
      </c>
      <c r="AJ74" s="61">
        <f>AI74*AH74</f>
        <v>-13522.620458078134</v>
      </c>
    </row>
    <row r="75" spans="31:36" ht="12.75" thickBot="1">
      <c r="AE75" s="3" t="s">
        <v>99</v>
      </c>
      <c r="AF75" s="3" t="s">
        <v>44</v>
      </c>
      <c r="AG75" s="3" t="s">
        <v>3</v>
      </c>
      <c r="AH75" s="119">
        <f>AH33+AH35+AH37+AH39+AH41+AH43+AH45+AH47+AH49</f>
        <v>-677118.5929816096</v>
      </c>
      <c r="AI75" s="121">
        <v>0.4113042590825348</v>
      </c>
      <c r="AJ75" s="122">
        <f>AI75*AH75</f>
        <v>-278501.7611973094</v>
      </c>
    </row>
    <row r="76" spans="31:36" ht="12">
      <c r="AE76" s="4"/>
      <c r="AF76" s="4"/>
      <c r="AG76" s="4"/>
      <c r="AH76" s="124">
        <f>SUM(AH74:AH75)</f>
        <v>-709996.007108665</v>
      </c>
      <c r="AI76" s="4"/>
      <c r="AJ76" s="124">
        <f>SUM(AJ74:AJ75)</f>
        <v>-292024.3816553876</v>
      </c>
    </row>
    <row r="77" spans="31:37" ht="12">
      <c r="AE77" s="4"/>
      <c r="AF77" s="4"/>
      <c r="AG77" s="4"/>
      <c r="AH77" s="4"/>
      <c r="AI77" s="4"/>
      <c r="AJ77" s="4"/>
      <c r="AK77" s="125"/>
    </row>
    <row r="78" spans="30:37" ht="12">
      <c r="AD78" s="252"/>
      <c r="AE78" s="3" t="s">
        <v>121</v>
      </c>
      <c r="AF78" s="252"/>
      <c r="AG78" s="252"/>
      <c r="AH78" s="220">
        <f>AH72+AH76</f>
        <v>767471.9413528735</v>
      </c>
      <c r="AI78" s="252"/>
      <c r="AJ78" s="125">
        <f>AJ72+AJ76</f>
        <v>315664.47820477816</v>
      </c>
      <c r="AK78" s="125"/>
    </row>
    <row r="79" spans="30:37" ht="12">
      <c r="AD79" s="252"/>
      <c r="AE79" s="252"/>
      <c r="AF79" s="252"/>
      <c r="AG79" s="252"/>
      <c r="AH79" s="220"/>
      <c r="AI79" s="252"/>
      <c r="AJ79" s="125"/>
      <c r="AK79" s="125"/>
    </row>
    <row r="80" spans="30:37" ht="12">
      <c r="AD80" s="252"/>
      <c r="AE80" s="252"/>
      <c r="AF80" s="252"/>
      <c r="AG80" s="252"/>
      <c r="AH80" s="220"/>
      <c r="AI80" s="252"/>
      <c r="AJ80" s="128"/>
      <c r="AK80" s="128"/>
    </row>
    <row r="81" spans="30:37" ht="12">
      <c r="AD81" s="252"/>
      <c r="AE81" s="252"/>
      <c r="AF81" s="252"/>
      <c r="AG81" s="252"/>
      <c r="AH81" s="252"/>
      <c r="AI81" s="252"/>
      <c r="AJ81" s="125"/>
      <c r="AK81" s="125"/>
    </row>
    <row r="82" spans="30:37" ht="12">
      <c r="AD82" s="252"/>
      <c r="AE82" s="252"/>
      <c r="AF82" s="252"/>
      <c r="AG82" s="252"/>
      <c r="AH82" s="253"/>
      <c r="AI82" s="252"/>
      <c r="AJ82" s="125"/>
      <c r="AK82" s="125"/>
    </row>
    <row r="83" spans="30:37" ht="12">
      <c r="AD83" s="252"/>
      <c r="AE83" s="252"/>
      <c r="AF83" s="252"/>
      <c r="AG83" s="252"/>
      <c r="AH83" s="252"/>
      <c r="AI83" s="252"/>
      <c r="AJ83" s="125"/>
      <c r="AK83" s="125"/>
    </row>
    <row r="84" spans="30:37" ht="12">
      <c r="AD84" s="252"/>
      <c r="AE84" s="252"/>
      <c r="AF84" s="252"/>
      <c r="AG84" s="252"/>
      <c r="AH84" s="252"/>
      <c r="AI84" s="252"/>
      <c r="AJ84" s="125"/>
      <c r="AK84" s="125"/>
    </row>
    <row r="85" spans="30:37" ht="12">
      <c r="AD85" s="252"/>
      <c r="AE85" s="252"/>
      <c r="AF85" s="252"/>
      <c r="AG85" s="252"/>
      <c r="AH85" s="252"/>
      <c r="AI85" s="252"/>
      <c r="AJ85" s="125"/>
      <c r="AK85" s="125"/>
    </row>
    <row r="86" spans="30:37" ht="12">
      <c r="AD86" s="252"/>
      <c r="AE86" s="252"/>
      <c r="AF86" s="252"/>
      <c r="AG86" s="252"/>
      <c r="AH86" s="252"/>
      <c r="AI86" s="252"/>
      <c r="AJ86" s="125"/>
      <c r="AK86" s="125"/>
    </row>
    <row r="87" spans="30:37" ht="12">
      <c r="AD87" s="252"/>
      <c r="AE87" s="252"/>
      <c r="AF87" s="252"/>
      <c r="AG87" s="252"/>
      <c r="AH87" s="125"/>
      <c r="AI87" s="254"/>
      <c r="AJ87" s="125"/>
      <c r="AK87" s="125"/>
    </row>
    <row r="88" spans="30:37" ht="12">
      <c r="AD88" s="252"/>
      <c r="AE88" s="252"/>
      <c r="AF88" s="252"/>
      <c r="AG88" s="252"/>
      <c r="AH88" s="125"/>
      <c r="AI88" s="254"/>
      <c r="AJ88" s="125"/>
      <c r="AK88" s="125"/>
    </row>
    <row r="89" spans="30:37" ht="12">
      <c r="AD89" s="252"/>
      <c r="AE89" s="252"/>
      <c r="AF89" s="252"/>
      <c r="AG89" s="252"/>
      <c r="AH89" s="252"/>
      <c r="AI89" s="252"/>
      <c r="AJ89" s="125"/>
      <c r="AK89" s="125"/>
    </row>
    <row r="90" spans="30:37" ht="12">
      <c r="AD90" s="252"/>
      <c r="AE90" s="252"/>
      <c r="AF90" s="252"/>
      <c r="AG90" s="252"/>
      <c r="AH90" s="252"/>
      <c r="AI90" s="252"/>
      <c r="AJ90" s="128"/>
      <c r="AK90" s="128"/>
    </row>
    <row r="91" spans="30:37" ht="12">
      <c r="AD91" s="252"/>
      <c r="AE91" s="252"/>
      <c r="AF91" s="252"/>
      <c r="AG91" s="252"/>
      <c r="AH91" s="252"/>
      <c r="AI91" s="252"/>
      <c r="AJ91" s="125"/>
      <c r="AK91" s="125"/>
    </row>
    <row r="92" spans="30:37" ht="12">
      <c r="AD92" s="252"/>
      <c r="AE92" s="252"/>
      <c r="AF92" s="252"/>
      <c r="AG92" s="252"/>
      <c r="AH92" s="252"/>
      <c r="AI92" s="252"/>
      <c r="AJ92" s="125"/>
      <c r="AK92" s="125"/>
    </row>
  </sheetData>
  <sheetProtection/>
  <mergeCells count="2">
    <mergeCell ref="AE54:AJ54"/>
    <mergeCell ref="AL6:AM6"/>
  </mergeCells>
  <printOptions/>
  <pageMargins left="0.5" right="0.42" top="1" bottom="1" header="0.5" footer="0.5"/>
  <pageSetup fitToHeight="1" fitToWidth="1" horizontalDpi="600" verticalDpi="600" orientation="landscape" paperSize="17" scale="24" r:id="rId3"/>
  <legacyDrawing r:id="rId2"/>
  <oleObjects>
    <oleObject progId="Word.Document.12" shapeId="2432719" r:id="rId1"/>
  </oleObjects>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80" zoomScaleNormal="80" zoomScalePageLayoutView="0" workbookViewId="0" topLeftCell="A1">
      <selection activeCell="I3" sqref="I3"/>
    </sheetView>
  </sheetViews>
  <sheetFormatPr defaultColWidth="9.140625" defaultRowHeight="12.75"/>
  <cols>
    <col min="1" max="1" width="10.00390625" style="153" bestFit="1" customWidth="1"/>
    <col min="2" max="2" width="12.00390625" style="153" bestFit="1" customWidth="1"/>
    <col min="3" max="3" width="51.7109375" style="154" bestFit="1" customWidth="1"/>
    <col min="4" max="4" width="21.28125" style="155" bestFit="1" customWidth="1"/>
    <col min="5" max="5" width="17.421875" style="155" bestFit="1" customWidth="1"/>
    <col min="6" max="6" width="15.7109375" style="155" bestFit="1" customWidth="1"/>
    <col min="7" max="7" width="23.8515625" style="154" bestFit="1" customWidth="1"/>
    <col min="8" max="8" width="13.140625" style="154" bestFit="1" customWidth="1"/>
    <col min="9" max="9" width="23.8515625" style="154" bestFit="1" customWidth="1"/>
    <col min="10" max="255" width="9.140625" style="154" customWidth="1"/>
    <col min="256" max="16384" width="8.57421875" style="154" customWidth="1"/>
  </cols>
  <sheetData>
    <row r="1" spans="1:9" ht="14.25">
      <c r="A1" s="154"/>
      <c r="I1" s="249" t="s">
        <v>113</v>
      </c>
    </row>
    <row r="2" ht="14.25">
      <c r="I2" s="250" t="s">
        <v>127</v>
      </c>
    </row>
    <row r="3" ht="14.25">
      <c r="I3" s="250" t="s">
        <v>114</v>
      </c>
    </row>
    <row r="4" ht="15">
      <c r="A4" s="152" t="s">
        <v>56</v>
      </c>
    </row>
    <row r="5" ht="15">
      <c r="A5" s="156" t="s">
        <v>57</v>
      </c>
    </row>
    <row r="6" ht="14.25">
      <c r="A6" s="153" t="s">
        <v>58</v>
      </c>
    </row>
    <row r="8" ht="15">
      <c r="A8" s="161"/>
    </row>
    <row r="9" spans="1:9" ht="15">
      <c r="A9" s="156"/>
      <c r="D9" s="195">
        <v>39783</v>
      </c>
      <c r="E9" s="195">
        <v>39784</v>
      </c>
      <c r="I9" s="154" t="s">
        <v>59</v>
      </c>
    </row>
    <row r="10" spans="1:9" ht="14.25">
      <c r="A10" s="162" t="s">
        <v>12</v>
      </c>
      <c r="B10" s="162" t="s">
        <v>75</v>
      </c>
      <c r="C10" s="163" t="s">
        <v>60</v>
      </c>
      <c r="D10" s="164" t="s">
        <v>61</v>
      </c>
      <c r="E10" s="164" t="s">
        <v>62</v>
      </c>
      <c r="F10" s="164" t="s">
        <v>63</v>
      </c>
      <c r="G10" s="165" t="s">
        <v>13</v>
      </c>
      <c r="H10" s="163" t="s">
        <v>5</v>
      </c>
      <c r="I10" s="164" t="s">
        <v>63</v>
      </c>
    </row>
    <row r="11" spans="1:9" ht="14.25">
      <c r="A11" s="153">
        <v>3301000</v>
      </c>
      <c r="B11" s="153" t="s">
        <v>74</v>
      </c>
      <c r="C11" s="154" t="s">
        <v>64</v>
      </c>
      <c r="D11" s="167">
        <v>104360.98</v>
      </c>
      <c r="E11" s="167">
        <v>0</v>
      </c>
      <c r="F11" s="167">
        <v>104360.98</v>
      </c>
      <c r="G11" s="157" t="s">
        <v>4</v>
      </c>
      <c r="H11" s="158">
        <v>0.4113042590825348</v>
      </c>
      <c r="I11" s="167">
        <f>F11*H11</f>
        <v>42924.11555602723</v>
      </c>
    </row>
    <row r="12" spans="1:9" ht="14.25">
      <c r="A12" s="153">
        <v>3302000</v>
      </c>
      <c r="B12" s="153" t="s">
        <v>74</v>
      </c>
      <c r="C12" s="154" t="s">
        <v>65</v>
      </c>
      <c r="D12" s="167">
        <v>14002.12</v>
      </c>
      <c r="E12" s="167">
        <v>-7966.04</v>
      </c>
      <c r="F12" s="167">
        <v>6036.08</v>
      </c>
      <c r="G12" s="157" t="s">
        <v>4</v>
      </c>
      <c r="H12" s="158">
        <v>0.4113042590825348</v>
      </c>
      <c r="I12" s="167">
        <f aca="true" t="shared" si="0" ref="I12:I19">F12*H12</f>
        <v>2482.6654121629067</v>
      </c>
    </row>
    <row r="13" spans="1:9" ht="14.25">
      <c r="A13" s="153">
        <v>3310000</v>
      </c>
      <c r="B13" s="153" t="s">
        <v>74</v>
      </c>
      <c r="C13" s="154" t="s">
        <v>66</v>
      </c>
      <c r="D13" s="167">
        <v>2841.83</v>
      </c>
      <c r="E13" s="167">
        <v>-202.33</v>
      </c>
      <c r="F13" s="167">
        <v>2639.5</v>
      </c>
      <c r="G13" s="157" t="s">
        <v>4</v>
      </c>
      <c r="H13" s="158">
        <v>0.4113042590825348</v>
      </c>
      <c r="I13" s="167">
        <f t="shared" si="0"/>
        <v>1085.6375918483507</v>
      </c>
    </row>
    <row r="14" spans="1:9" ht="14.25">
      <c r="A14" s="153">
        <v>3312000</v>
      </c>
      <c r="B14" s="153" t="s">
        <v>74</v>
      </c>
      <c r="C14" s="154" t="s">
        <v>67</v>
      </c>
      <c r="D14" s="167">
        <v>9635.61</v>
      </c>
      <c r="E14" s="167">
        <v>-2557.07</v>
      </c>
      <c r="F14" s="167">
        <v>7078.54</v>
      </c>
      <c r="G14" s="157" t="s">
        <v>4</v>
      </c>
      <c r="H14" s="158">
        <v>0.4113042590825348</v>
      </c>
      <c r="I14" s="167">
        <f t="shared" si="0"/>
        <v>2911.433650086086</v>
      </c>
    </row>
    <row r="15" spans="1:9" ht="14.25">
      <c r="A15" s="153">
        <v>3313000</v>
      </c>
      <c r="B15" s="153" t="s">
        <v>74</v>
      </c>
      <c r="C15" s="154" t="s">
        <v>68</v>
      </c>
      <c r="D15" s="167">
        <v>217746.51</v>
      </c>
      <c r="E15" s="167">
        <v>-75209.48</v>
      </c>
      <c r="F15" s="167">
        <v>142537.03</v>
      </c>
      <c r="G15" s="157" t="s">
        <v>4</v>
      </c>
      <c r="H15" s="158">
        <v>0.4113042590825348</v>
      </c>
      <c r="I15" s="167">
        <f t="shared" si="0"/>
        <v>58626.087515975036</v>
      </c>
    </row>
    <row r="16" spans="1:9" ht="14.25">
      <c r="A16" s="153">
        <v>3321000</v>
      </c>
      <c r="B16" s="153" t="s">
        <v>74</v>
      </c>
      <c r="C16" s="154" t="s">
        <v>69</v>
      </c>
      <c r="D16" s="167">
        <v>6769537.02</v>
      </c>
      <c r="E16" s="167">
        <v>-3202472.62</v>
      </c>
      <c r="F16" s="167">
        <v>3567064.4</v>
      </c>
      <c r="G16" s="157" t="s">
        <v>4</v>
      </c>
      <c r="H16" s="158">
        <v>0.4113042590825348</v>
      </c>
      <c r="I16" s="167">
        <f t="shared" si="0"/>
        <v>1467148.7801416866</v>
      </c>
    </row>
    <row r="17" spans="1:9" ht="14.25">
      <c r="A17" s="153">
        <v>3322000</v>
      </c>
      <c r="B17" s="153" t="s">
        <v>74</v>
      </c>
      <c r="C17" s="154" t="s">
        <v>70</v>
      </c>
      <c r="D17" s="167">
        <v>254916.85</v>
      </c>
      <c r="E17" s="167">
        <v>-165267.33</v>
      </c>
      <c r="F17" s="167">
        <v>89649.52</v>
      </c>
      <c r="G17" s="157" t="s">
        <v>4</v>
      </c>
      <c r="H17" s="158">
        <v>0.4113042590825348</v>
      </c>
      <c r="I17" s="167">
        <f t="shared" si="0"/>
        <v>36873.22940070489</v>
      </c>
    </row>
    <row r="18" spans="1:9" ht="14.25">
      <c r="A18" s="153">
        <v>3347000</v>
      </c>
      <c r="B18" s="153" t="s">
        <v>74</v>
      </c>
      <c r="C18" s="154" t="s">
        <v>71</v>
      </c>
      <c r="D18" s="167">
        <v>13492.71</v>
      </c>
      <c r="E18" s="167">
        <v>-4392.08</v>
      </c>
      <c r="F18" s="167">
        <v>9100.63</v>
      </c>
      <c r="G18" s="157" t="s">
        <v>4</v>
      </c>
      <c r="H18" s="158">
        <v>0.4113042590825348</v>
      </c>
      <c r="I18" s="167">
        <f t="shared" si="0"/>
        <v>3743.1278793342885</v>
      </c>
    </row>
    <row r="19" spans="1:9" ht="14.25">
      <c r="A19" s="153">
        <v>3360000</v>
      </c>
      <c r="B19" s="153" t="s">
        <v>74</v>
      </c>
      <c r="C19" s="154" t="s">
        <v>72</v>
      </c>
      <c r="D19" s="168">
        <v>110989.64</v>
      </c>
      <c r="E19" s="168">
        <v>-65083.48</v>
      </c>
      <c r="F19" s="168">
        <v>45906.16</v>
      </c>
      <c r="G19" s="165" t="s">
        <v>4</v>
      </c>
      <c r="H19" s="166">
        <v>0.4113042590825348</v>
      </c>
      <c r="I19" s="168">
        <f t="shared" si="0"/>
        <v>18881.3991261243</v>
      </c>
    </row>
    <row r="20" spans="3:9" ht="14.25">
      <c r="C20" s="154" t="s">
        <v>82</v>
      </c>
      <c r="D20" s="167">
        <f>SUM(D11:D19)</f>
        <v>7497523.269999999</v>
      </c>
      <c r="E20" s="167">
        <f>SUM(E11:E19)</f>
        <v>-3523150.43</v>
      </c>
      <c r="F20" s="167">
        <f>SUM(F11:F19)</f>
        <v>3974372.84</v>
      </c>
      <c r="G20" s="159"/>
      <c r="H20" s="159"/>
      <c r="I20" s="167">
        <f>SUM(I11:I19)</f>
        <v>1634676.4762739497</v>
      </c>
    </row>
    <row r="21" spans="4:6" ht="15" thickBot="1">
      <c r="D21" s="167"/>
      <c r="E21" s="167"/>
      <c r="F21" s="167"/>
    </row>
    <row r="22" spans="1:7" ht="15.75" thickBot="1">
      <c r="A22" s="169"/>
      <c r="C22" s="275" t="s">
        <v>112</v>
      </c>
      <c r="D22" s="276"/>
      <c r="E22" s="276"/>
      <c r="F22" s="276"/>
      <c r="G22" s="277"/>
    </row>
    <row r="23" spans="3:7" ht="14.25">
      <c r="C23" s="191"/>
      <c r="D23" s="157" t="s">
        <v>82</v>
      </c>
      <c r="E23" s="154"/>
      <c r="F23" s="154"/>
      <c r="G23" s="157" t="s">
        <v>46</v>
      </c>
    </row>
    <row r="24" spans="3:7" ht="14.25">
      <c r="C24" s="191"/>
      <c r="D24" s="195">
        <v>40330</v>
      </c>
      <c r="E24" s="154"/>
      <c r="F24" s="154"/>
      <c r="G24" s="203">
        <v>40330</v>
      </c>
    </row>
    <row r="25" spans="3:7" ht="14.25">
      <c r="C25" s="192"/>
      <c r="D25" s="164" t="s">
        <v>91</v>
      </c>
      <c r="E25" s="165" t="s">
        <v>13</v>
      </c>
      <c r="F25" s="165" t="s">
        <v>5</v>
      </c>
      <c r="G25" s="164" t="s">
        <v>91</v>
      </c>
    </row>
    <row r="26" spans="3:7" ht="14.25">
      <c r="C26" s="191" t="s">
        <v>88</v>
      </c>
      <c r="D26" s="194">
        <f>D20</f>
        <v>7497523.269999999</v>
      </c>
      <c r="E26" s="157" t="s">
        <v>4</v>
      </c>
      <c r="F26" s="160">
        <v>0.4113042590825348</v>
      </c>
      <c r="G26" s="167">
        <f>F26*D26</f>
        <v>3083763.253521413</v>
      </c>
    </row>
    <row r="27" spans="3:7" ht="14.25">
      <c r="C27" s="191" t="s">
        <v>89</v>
      </c>
      <c r="D27" s="168">
        <f>'7.7.3-4S Keno Dep_AD_Ret'!W19</f>
        <v>-3686485.133696208</v>
      </c>
      <c r="E27" s="165" t="s">
        <v>4</v>
      </c>
      <c r="F27" s="201">
        <v>0.4113042590825348</v>
      </c>
      <c r="G27" s="168">
        <f>F27*D27</f>
        <v>-1516267.036533698</v>
      </c>
    </row>
    <row r="28" spans="3:7" ht="14.25">
      <c r="C28" s="191" t="s">
        <v>90</v>
      </c>
      <c r="D28" s="193"/>
      <c r="E28" s="193"/>
      <c r="G28" s="202">
        <f>SUM(G26:G27)</f>
        <v>1567496.216987715</v>
      </c>
    </row>
    <row r="29" spans="3:5" ht="14.25">
      <c r="C29" s="191"/>
      <c r="D29" s="193"/>
      <c r="E29" s="193"/>
    </row>
    <row r="30" spans="3:5" ht="14.25">
      <c r="C30" s="191"/>
      <c r="D30" s="193"/>
      <c r="E30" s="193"/>
    </row>
  </sheetData>
  <sheetProtection/>
  <mergeCells count="1">
    <mergeCell ref="C22:G22"/>
  </mergeCells>
  <printOptions/>
  <pageMargins left="0.25" right="0.25" top="0.75" bottom="0.75" header="0.3" footer="0.3"/>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A1:AA28"/>
  <sheetViews>
    <sheetView zoomScale="70" zoomScaleNormal="70" zoomScalePageLayoutView="0" workbookViewId="0" topLeftCell="J1">
      <selection activeCell="AA3" sqref="AA3"/>
    </sheetView>
  </sheetViews>
  <sheetFormatPr defaultColWidth="9.140625" defaultRowHeight="12.75"/>
  <cols>
    <col min="1" max="1" width="15.00390625" style="170" bestFit="1" customWidth="1"/>
    <col min="2" max="2" width="14.00390625" style="170" bestFit="1" customWidth="1"/>
    <col min="3" max="3" width="11.00390625" style="170" bestFit="1" customWidth="1"/>
    <col min="4" max="5" width="11.140625" style="170" bestFit="1" customWidth="1"/>
    <col min="6" max="6" width="20.57421875" style="170" bestFit="1" customWidth="1"/>
    <col min="7" max="7" width="11.140625" style="170" bestFit="1" customWidth="1"/>
    <col min="8" max="10" width="10.8515625" style="170" bestFit="1" customWidth="1"/>
    <col min="11" max="15" width="11.140625" style="170" bestFit="1" customWidth="1"/>
    <col min="16" max="16" width="10.8515625" style="170" bestFit="1" customWidth="1"/>
    <col min="17" max="17" width="11.140625" style="170" bestFit="1" customWidth="1"/>
    <col min="18" max="19" width="10.8515625" style="170" bestFit="1" customWidth="1"/>
    <col min="20" max="20" width="11.140625" style="170" bestFit="1" customWidth="1"/>
    <col min="21" max="21" width="10.8515625" style="170" bestFit="1" customWidth="1"/>
    <col min="22" max="22" width="3.140625" style="170" customWidth="1"/>
    <col min="23" max="23" width="17.7109375" style="170" bestFit="1" customWidth="1"/>
    <col min="24" max="24" width="14.00390625" style="170" bestFit="1" customWidth="1"/>
    <col min="25" max="25" width="24.8515625" style="170" bestFit="1" customWidth="1"/>
    <col min="26" max="16384" width="9.140625" style="170" customWidth="1"/>
  </cols>
  <sheetData>
    <row r="1" spans="13:27" ht="15">
      <c r="M1" s="249" t="s">
        <v>113</v>
      </c>
      <c r="AA1" s="249" t="s">
        <v>113</v>
      </c>
    </row>
    <row r="2" spans="2:27" ht="15">
      <c r="B2" s="171"/>
      <c r="C2" s="171"/>
      <c r="L2" s="173"/>
      <c r="M2" s="250" t="s">
        <v>128</v>
      </c>
      <c r="AA2" s="250" t="s">
        <v>129</v>
      </c>
    </row>
    <row r="3" spans="2:27" ht="15">
      <c r="B3" s="171"/>
      <c r="C3" s="171"/>
      <c r="L3" s="173"/>
      <c r="M3" s="250" t="s">
        <v>114</v>
      </c>
      <c r="AA3" s="250" t="s">
        <v>114</v>
      </c>
    </row>
    <row r="4" spans="1:14" ht="15">
      <c r="A4" s="251" t="s">
        <v>116</v>
      </c>
      <c r="B4" s="171"/>
      <c r="C4" s="171"/>
      <c r="L4" s="173"/>
      <c r="N4" s="251" t="s">
        <v>116</v>
      </c>
    </row>
    <row r="5" spans="2:12" ht="15">
      <c r="B5" s="171"/>
      <c r="C5" s="171"/>
      <c r="L5" s="173"/>
    </row>
    <row r="6" spans="6:12" ht="15">
      <c r="F6" s="196" t="s">
        <v>76</v>
      </c>
      <c r="J6" s="176"/>
      <c r="L6" s="173"/>
    </row>
    <row r="7" spans="1:12" ht="15">
      <c r="A7" s="174" t="s">
        <v>87</v>
      </c>
      <c r="F7" s="175">
        <f>'7.7.2S Keno EPIS'!D20</f>
        <v>7497523.269999999</v>
      </c>
      <c r="J7" s="177"/>
      <c r="L7" s="173"/>
    </row>
    <row r="8" spans="1:12" ht="15">
      <c r="A8" s="257" t="s">
        <v>118</v>
      </c>
      <c r="F8" s="175">
        <f>F7</f>
        <v>7497523.269999999</v>
      </c>
      <c r="J8" s="177"/>
      <c r="L8" s="173"/>
    </row>
    <row r="9" spans="1:12" ht="15">
      <c r="A9" s="174" t="s">
        <v>77</v>
      </c>
      <c r="F9" s="177">
        <v>0.02178515461896085</v>
      </c>
      <c r="J9" s="178"/>
      <c r="L9" s="173"/>
    </row>
    <row r="10" spans="1:12" ht="15">
      <c r="A10" s="174" t="s">
        <v>78</v>
      </c>
      <c r="F10" s="178">
        <f>F9/12</f>
        <v>0.0018154295515800708</v>
      </c>
      <c r="L10" s="173"/>
    </row>
    <row r="11" spans="1:12" ht="15">
      <c r="A11" s="174" t="s">
        <v>79</v>
      </c>
      <c r="J11" s="176"/>
      <c r="L11" s="173"/>
    </row>
    <row r="12" spans="1:12" ht="15">
      <c r="A12" s="174" t="s">
        <v>80</v>
      </c>
      <c r="F12" s="176">
        <f>(F7+F7)/2*F10</f>
        <v>13611.225308017243</v>
      </c>
      <c r="J12" s="175"/>
      <c r="L12" s="171"/>
    </row>
    <row r="13" spans="1:12" ht="15">
      <c r="A13" s="174" t="s">
        <v>81</v>
      </c>
      <c r="F13" s="175">
        <f>F12</f>
        <v>13611.225308017243</v>
      </c>
      <c r="L13" s="171"/>
    </row>
    <row r="14" spans="9:23" ht="15">
      <c r="I14" s="170">
        <v>13</v>
      </c>
      <c r="J14" s="170">
        <v>12</v>
      </c>
      <c r="K14" s="170">
        <v>11</v>
      </c>
      <c r="L14" s="170">
        <v>10</v>
      </c>
      <c r="M14" s="170">
        <v>9</v>
      </c>
      <c r="N14" s="170">
        <v>8</v>
      </c>
      <c r="O14" s="170">
        <v>7</v>
      </c>
      <c r="P14" s="170">
        <v>6</v>
      </c>
      <c r="Q14" s="170">
        <v>5</v>
      </c>
      <c r="R14" s="170">
        <v>4</v>
      </c>
      <c r="S14" s="170">
        <v>3</v>
      </c>
      <c r="T14" s="170">
        <v>2</v>
      </c>
      <c r="U14" s="170">
        <v>1</v>
      </c>
      <c r="W14" s="185" t="s">
        <v>86</v>
      </c>
    </row>
    <row r="15" spans="2:23" ht="15">
      <c r="B15" s="172"/>
      <c r="C15" s="179">
        <v>39783</v>
      </c>
      <c r="D15" s="179">
        <v>39814</v>
      </c>
      <c r="E15" s="179">
        <v>39845</v>
      </c>
      <c r="F15" s="179">
        <v>39873</v>
      </c>
      <c r="G15" s="179">
        <v>39904</v>
      </c>
      <c r="H15" s="179">
        <v>39934</v>
      </c>
      <c r="I15" s="179">
        <v>39965</v>
      </c>
      <c r="J15" s="179">
        <v>39995</v>
      </c>
      <c r="K15" s="179">
        <v>40026</v>
      </c>
      <c r="L15" s="179">
        <v>40057</v>
      </c>
      <c r="M15" s="179">
        <v>40087</v>
      </c>
      <c r="N15" s="179">
        <v>40118</v>
      </c>
      <c r="O15" s="179">
        <v>40148</v>
      </c>
      <c r="P15" s="179">
        <v>40179</v>
      </c>
      <c r="Q15" s="179">
        <v>40210</v>
      </c>
      <c r="R15" s="179">
        <v>40238</v>
      </c>
      <c r="S15" s="179">
        <v>40269</v>
      </c>
      <c r="T15" s="179">
        <v>40299</v>
      </c>
      <c r="U15" s="179">
        <v>40330</v>
      </c>
      <c r="V15" s="180"/>
      <c r="W15" s="189" t="s">
        <v>85</v>
      </c>
    </row>
    <row r="16" spans="1:23" s="182" customFormat="1" ht="15">
      <c r="A16" s="182" t="s">
        <v>73</v>
      </c>
      <c r="D16" s="183">
        <f>F12</f>
        <v>13611.225308017243</v>
      </c>
      <c r="E16" s="184">
        <f aca="true" t="shared" si="0" ref="E16:U16">$F$13</f>
        <v>13611.225308017243</v>
      </c>
      <c r="F16" s="184">
        <f t="shared" si="0"/>
        <v>13611.225308017243</v>
      </c>
      <c r="G16" s="184">
        <f t="shared" si="0"/>
        <v>13611.225308017243</v>
      </c>
      <c r="H16" s="184">
        <f t="shared" si="0"/>
        <v>13611.225308017243</v>
      </c>
      <c r="I16" s="184">
        <f t="shared" si="0"/>
        <v>13611.225308017243</v>
      </c>
      <c r="J16" s="184">
        <f t="shared" si="0"/>
        <v>13611.225308017243</v>
      </c>
      <c r="K16" s="184">
        <f t="shared" si="0"/>
        <v>13611.225308017243</v>
      </c>
      <c r="L16" s="184">
        <f t="shared" si="0"/>
        <v>13611.225308017243</v>
      </c>
      <c r="M16" s="184">
        <f t="shared" si="0"/>
        <v>13611.225308017243</v>
      </c>
      <c r="N16" s="184">
        <f t="shared" si="0"/>
        <v>13611.225308017243</v>
      </c>
      <c r="O16" s="184">
        <f t="shared" si="0"/>
        <v>13611.225308017243</v>
      </c>
      <c r="P16" s="184">
        <f t="shared" si="0"/>
        <v>13611.225308017243</v>
      </c>
      <c r="Q16" s="184">
        <f t="shared" si="0"/>
        <v>13611.225308017243</v>
      </c>
      <c r="R16" s="184">
        <f t="shared" si="0"/>
        <v>13611.225308017243</v>
      </c>
      <c r="S16" s="184">
        <f t="shared" si="0"/>
        <v>13611.225308017243</v>
      </c>
      <c r="T16" s="184">
        <f t="shared" si="0"/>
        <v>13611.225308017243</v>
      </c>
      <c r="U16" s="184">
        <f t="shared" si="0"/>
        <v>13611.225308017243</v>
      </c>
      <c r="W16" s="184">
        <f>SUM(J16:U16)</f>
        <v>163334.7036962069</v>
      </c>
    </row>
    <row r="17" spans="4:23" s="182" customFormat="1" ht="15">
      <c r="D17" s="183"/>
      <c r="E17" s="184"/>
      <c r="F17" s="184"/>
      <c r="G17" s="184"/>
      <c r="H17" s="184"/>
      <c r="I17" s="184"/>
      <c r="J17" s="184"/>
      <c r="K17" s="184"/>
      <c r="L17" s="184"/>
      <c r="M17" s="184"/>
      <c r="N17" s="184"/>
      <c r="O17" s="184"/>
      <c r="P17" s="184"/>
      <c r="Q17" s="184"/>
      <c r="R17" s="184"/>
      <c r="S17" s="184"/>
      <c r="T17" s="184"/>
      <c r="U17" s="184"/>
      <c r="W17" s="184"/>
    </row>
    <row r="18" spans="3:23" s="182" customFormat="1" ht="15">
      <c r="C18" s="179">
        <v>39783</v>
      </c>
      <c r="D18" s="179">
        <v>39814</v>
      </c>
      <c r="E18" s="179">
        <v>39845</v>
      </c>
      <c r="F18" s="179">
        <v>39873</v>
      </c>
      <c r="G18" s="179">
        <v>39904</v>
      </c>
      <c r="H18" s="179">
        <v>39934</v>
      </c>
      <c r="I18" s="179">
        <v>39965</v>
      </c>
      <c r="J18" s="179">
        <v>39995</v>
      </c>
      <c r="K18" s="179">
        <v>40026</v>
      </c>
      <c r="L18" s="179">
        <v>40057</v>
      </c>
      <c r="M18" s="179">
        <v>40087</v>
      </c>
      <c r="N18" s="179">
        <v>40118</v>
      </c>
      <c r="O18" s="179">
        <v>40148</v>
      </c>
      <c r="P18" s="179">
        <v>40179</v>
      </c>
      <c r="Q18" s="179">
        <v>40210</v>
      </c>
      <c r="R18" s="179">
        <v>40238</v>
      </c>
      <c r="S18" s="179">
        <v>40269</v>
      </c>
      <c r="T18" s="179">
        <v>40299</v>
      </c>
      <c r="U18" s="179">
        <v>40330</v>
      </c>
      <c r="V18" s="180"/>
      <c r="W18" s="190" t="s">
        <v>83</v>
      </c>
    </row>
    <row r="19" spans="1:23" ht="15">
      <c r="A19" s="170" t="s">
        <v>84</v>
      </c>
      <c r="B19" s="176"/>
      <c r="C19" s="181">
        <f>'7.7.2S Keno EPIS'!E20</f>
        <v>-3523150.43</v>
      </c>
      <c r="D19" s="176">
        <f aca="true" t="shared" si="1" ref="D19:U19">C19+-D16</f>
        <v>-3536761.6553080175</v>
      </c>
      <c r="E19" s="176">
        <f t="shared" si="1"/>
        <v>-3550372.880616035</v>
      </c>
      <c r="F19" s="176">
        <f t="shared" si="1"/>
        <v>-3563984.105924052</v>
      </c>
      <c r="G19" s="176">
        <f t="shared" si="1"/>
        <v>-3577595.3312320695</v>
      </c>
      <c r="H19" s="176">
        <f t="shared" si="1"/>
        <v>-3591206.556540087</v>
      </c>
      <c r="I19" s="176">
        <f t="shared" si="1"/>
        <v>-3604817.781848104</v>
      </c>
      <c r="J19" s="176">
        <f t="shared" si="1"/>
        <v>-3618429.0071561215</v>
      </c>
      <c r="K19" s="176">
        <f t="shared" si="1"/>
        <v>-3632040.232464139</v>
      </c>
      <c r="L19" s="176">
        <f t="shared" si="1"/>
        <v>-3645651.457772156</v>
      </c>
      <c r="M19" s="176">
        <f t="shared" si="1"/>
        <v>-3659262.6830801736</v>
      </c>
      <c r="N19" s="176">
        <f t="shared" si="1"/>
        <v>-3672873.908388191</v>
      </c>
      <c r="O19" s="176">
        <f t="shared" si="1"/>
        <v>-3686485.1336962082</v>
      </c>
      <c r="P19" s="176">
        <f t="shared" si="1"/>
        <v>-3700096.3590042256</v>
      </c>
      <c r="Q19" s="176">
        <f t="shared" si="1"/>
        <v>-3713707.584312243</v>
      </c>
      <c r="R19" s="176">
        <f t="shared" si="1"/>
        <v>-3727318.8096202603</v>
      </c>
      <c r="S19" s="176">
        <f t="shared" si="1"/>
        <v>-3740930.0349282776</v>
      </c>
      <c r="T19" s="176">
        <f t="shared" si="1"/>
        <v>-3754541.260236295</v>
      </c>
      <c r="U19" s="176">
        <f t="shared" si="1"/>
        <v>-3768152.4855443123</v>
      </c>
      <c r="W19" s="176">
        <f>AVERAGE(I19:U19)</f>
        <v>-3686485.133696208</v>
      </c>
    </row>
    <row r="20" spans="21:24" ht="15">
      <c r="U20" s="182"/>
      <c r="V20" s="186"/>
      <c r="W20" s="187"/>
      <c r="X20" s="182"/>
    </row>
    <row r="21" spans="1:24" ht="15">
      <c r="A21" s="182"/>
      <c r="B21" s="182"/>
      <c r="C21" s="228"/>
      <c r="D21" s="228"/>
      <c r="E21" s="228"/>
      <c r="F21" s="228"/>
      <c r="G21" s="228"/>
      <c r="H21" s="228"/>
      <c r="I21" s="228"/>
      <c r="J21" s="228"/>
      <c r="K21" s="228"/>
      <c r="L21" s="228"/>
      <c r="M21" s="228"/>
      <c r="N21" s="228"/>
      <c r="O21" s="228"/>
      <c r="P21" s="228"/>
      <c r="Q21" s="228"/>
      <c r="R21" s="228"/>
      <c r="S21" s="228"/>
      <c r="T21" s="228"/>
      <c r="U21" s="228"/>
      <c r="V21" s="182"/>
      <c r="W21" s="229"/>
      <c r="X21" s="182"/>
    </row>
    <row r="22" spans="1:24" s="197" customFormat="1" ht="15">
      <c r="A22" s="198"/>
      <c r="B22" s="198"/>
      <c r="C22" s="198"/>
      <c r="D22" s="198"/>
      <c r="E22" s="198"/>
      <c r="F22" s="198"/>
      <c r="G22" s="198"/>
      <c r="H22" s="198"/>
      <c r="I22" s="198"/>
      <c r="J22" s="198"/>
      <c r="K22" s="198"/>
      <c r="L22" s="198"/>
      <c r="M22" s="198"/>
      <c r="N22" s="198"/>
      <c r="O22" s="198"/>
      <c r="P22" s="198"/>
      <c r="Q22" s="198"/>
      <c r="R22" s="198"/>
      <c r="S22" s="198"/>
      <c r="T22" s="198"/>
      <c r="U22" s="198"/>
      <c r="V22" s="199"/>
      <c r="W22" s="200"/>
      <c r="X22" s="198"/>
    </row>
    <row r="23" spans="1:24" ht="15">
      <c r="A23" s="182"/>
      <c r="B23" s="182"/>
      <c r="C23" s="182"/>
      <c r="D23" s="182"/>
      <c r="E23" s="182"/>
      <c r="F23" s="182"/>
      <c r="G23" s="182"/>
      <c r="H23" s="182"/>
      <c r="I23" s="182"/>
      <c r="J23" s="182"/>
      <c r="K23" s="182"/>
      <c r="L23" s="182"/>
      <c r="M23" s="182"/>
      <c r="N23" s="182"/>
      <c r="O23" s="182"/>
      <c r="P23" s="182"/>
      <c r="Q23" s="182"/>
      <c r="R23" s="182"/>
      <c r="S23" s="182"/>
      <c r="T23" s="182"/>
      <c r="U23" s="182"/>
      <c r="V23" s="186"/>
      <c r="W23" s="183"/>
      <c r="X23" s="182"/>
    </row>
    <row r="24" spans="1:24" ht="15">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row>
    <row r="25" spans="21:24" ht="15">
      <c r="U25" s="182"/>
      <c r="V25" s="188"/>
      <c r="W25" s="183"/>
      <c r="X25" s="182"/>
    </row>
    <row r="26" spans="21:24" ht="15">
      <c r="U26" s="182"/>
      <c r="V26" s="182"/>
      <c r="W26" s="182"/>
      <c r="X26" s="182"/>
    </row>
    <row r="27" spans="21:24" ht="15">
      <c r="U27" s="182"/>
      <c r="V27" s="182"/>
      <c r="W27" s="182"/>
      <c r="X27" s="182"/>
    </row>
    <row r="28" spans="21:24" ht="15">
      <c r="U28" s="182"/>
      <c r="V28" s="182"/>
      <c r="W28" s="182"/>
      <c r="X28" s="182"/>
    </row>
  </sheetData>
  <sheetProtection/>
  <printOptions/>
  <pageMargins left="0.25" right="0.25" top="0.75" bottom="0.75" header="0.3" footer="0.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PSC</cp:lastModifiedBy>
  <cp:lastPrinted>2009-10-29T22:15:15Z</cp:lastPrinted>
  <dcterms:created xsi:type="dcterms:W3CDTF">2009-09-25T22:26:23Z</dcterms:created>
  <dcterms:modified xsi:type="dcterms:W3CDTF">2009-11-02T20:13:08Z</dcterms:modified>
  <cp:category/>
  <cp:version/>
  <cp:contentType/>
  <cp:contentStatus/>
</cp:coreProperties>
</file>