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11250" activeTab="0"/>
  </bookViews>
  <sheets>
    <sheet name="08 Decoupling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<sst xmlns="http://schemas.openxmlformats.org/spreadsheetml/2006/main" count="88" uniqueCount="56">
  <si>
    <t>Residential</t>
  </si>
  <si>
    <t>Revenue Per</t>
  </si>
  <si>
    <t>% of Annual</t>
  </si>
  <si>
    <t>Allowed</t>
  </si>
  <si>
    <t>Hypoth. Actual</t>
  </si>
  <si>
    <t>Hypoth Actual</t>
  </si>
  <si>
    <t>Acrual into</t>
  </si>
  <si>
    <t>Actual</t>
  </si>
  <si>
    <t>Revenue</t>
  </si>
  <si>
    <t>No. of Customers</t>
  </si>
  <si>
    <t>Customer</t>
  </si>
  <si>
    <t>Rev/Cust.</t>
  </si>
  <si>
    <t>Revenue per Cust.</t>
  </si>
  <si>
    <t>kWh</t>
  </si>
  <si>
    <t>Balancing Acct.</t>
  </si>
  <si>
    <t>Total</t>
  </si>
  <si>
    <t>July</t>
  </si>
  <si>
    <t>Auguat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</si>
  <si>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</si>
  <si>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</si>
  <si>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</si>
  <si>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</si>
  <si>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</si>
  <si>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</si>
  <si>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</si>
  <si>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</si>
  <si>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</si>
  <si>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</si>
  <si>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Dist. Total Fixed</t>
  </si>
  <si>
    <t>Fixed Cost</t>
  </si>
  <si>
    <t xml:space="preserve">Net MWh % </t>
  </si>
  <si>
    <t>Total Customer</t>
  </si>
  <si>
    <t>Number of</t>
  </si>
  <si>
    <t>Dist. Total Fixed Cost</t>
  </si>
  <si>
    <t>Cost Per Customer</t>
  </si>
  <si>
    <t>Collection Thru</t>
  </si>
  <si>
    <t>to be collected</t>
  </si>
  <si>
    <t>Sch 1</t>
  </si>
  <si>
    <t>Sch 2</t>
  </si>
  <si>
    <t>Sch 3</t>
  </si>
  <si>
    <t>Reduction</t>
  </si>
  <si>
    <t>Rev. Req.</t>
  </si>
  <si>
    <t>Customers</t>
  </si>
  <si>
    <t>Per Customer</t>
  </si>
  <si>
    <t>Less Cust. Charge</t>
  </si>
  <si>
    <t>Customer Charge</t>
  </si>
  <si>
    <t>Volumetrically</t>
  </si>
  <si>
    <t>Forecast MWh</t>
  </si>
  <si>
    <t>Recovery / kWh</t>
  </si>
  <si>
    <t>2nd 6 Months</t>
  </si>
  <si>
    <t>3rd 6 Months</t>
  </si>
  <si>
    <t>Under Collection</t>
  </si>
  <si>
    <t>Forecast kWh</t>
  </si>
  <si>
    <t>Amortization / kWh</t>
  </si>
  <si>
    <t>An Example of Monthly Collections and True-Up for the 08 Test Year</t>
  </si>
  <si>
    <t>Residental Distribution Fixed Cost Decoupling Mechanism: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</si>
</sst>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00000_);_(&quot;$&quot;* \(#,##0.000000\);_(&quot;$&quot;* &quot;-&quot;??_);_(@_)"/>
    <numFmt numFmtId="167" formatCode="_(&quot;$&quot;* #,##0.00000000_);_(&quot;$&quot;* \(#,##0.00000000\);_(&quot;$&quot;* &quot;-&quot;??_);_(@_)"/>
  </numFmts>
  <fonts count="28">
    <font>
      <sz val="11"/>
      <color indexed="8"/>
      <name val="Calibri"/>
      <family val="2"/>
    </font>
    <font>
      <sz val="10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0"/>
      <color indexed="1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2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164" fontId="2" fillId="0" borderId="0" xfId="44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44" fontId="2" fillId="0" borderId="0" xfId="44" applyNumberFormat="1" applyFont="1" applyBorder="1" applyAlignment="1">
      <alignment wrapText="1"/>
    </xf>
    <xf numFmtId="164" fontId="3" fillId="0" borderId="0" xfId="44" applyNumberFormat="1" applyFont="1" applyBorder="1" applyAlignment="1">
      <alignment wrapText="1"/>
    </xf>
    <xf numFmtId="164" fontId="3" fillId="0" borderId="0" xfId="0" applyNumberFormat="1" applyFont="1" applyBorder="1" applyAlignment="1">
      <alignment wrapText="1"/>
    </xf>
    <xf numFmtId="165" fontId="1" fillId="0" borderId="0" xfId="42" applyNumberFormat="1" applyFont="1" applyAlignment="1">
      <alignment wrapText="1"/>
    </xf>
    <xf numFmtId="166" fontId="1" fillId="0" borderId="0" xfId="44" applyNumberFormat="1" applyFont="1" applyAlignment="1">
      <alignment wrapText="1"/>
    </xf>
    <xf numFmtId="166" fontId="1" fillId="0" borderId="10" xfId="44" applyNumberFormat="1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16" fontId="7" fillId="0" borderId="12" xfId="0" applyNumberFormat="1" applyFont="1" applyBorder="1" applyAlignment="1">
      <alignment/>
    </xf>
    <xf numFmtId="164" fontId="7" fillId="0" borderId="13" xfId="0" applyNumberFormat="1" applyFont="1" applyBorder="1" applyAlignment="1">
      <alignment/>
    </xf>
    <xf numFmtId="41" fontId="7" fillId="0" borderId="13" xfId="0" applyNumberFormat="1" applyFont="1" applyBorder="1" applyAlignment="1">
      <alignment/>
    </xf>
    <xf numFmtId="10" fontId="7" fillId="0" borderId="15" xfId="57" applyNumberFormat="1" applyFont="1" applyBorder="1" applyAlignment="1">
      <alignment/>
    </xf>
    <xf numFmtId="44" fontId="7" fillId="0" borderId="17" xfId="44" applyNumberFormat="1" applyFont="1" applyBorder="1" applyAlignment="1">
      <alignment/>
    </xf>
    <xf numFmtId="165" fontId="7" fillId="0" borderId="11" xfId="42" applyNumberFormat="1" applyFont="1" applyBorder="1" applyAlignment="1">
      <alignment/>
    </xf>
    <xf numFmtId="164" fontId="7" fillId="0" borderId="29" xfId="42" applyNumberFormat="1" applyFont="1" applyBorder="1" applyAlignment="1">
      <alignment/>
    </xf>
    <xf numFmtId="0" fontId="7" fillId="0" borderId="30" xfId="0" applyFont="1" applyBorder="1" applyAlignment="1">
      <alignment/>
    </xf>
    <xf numFmtId="164" fontId="7" fillId="0" borderId="25" xfId="0" applyNumberFormat="1" applyFont="1" applyBorder="1" applyAlignment="1">
      <alignment/>
    </xf>
    <xf numFmtId="41" fontId="7" fillId="0" borderId="25" xfId="0" applyNumberFormat="1" applyFont="1" applyBorder="1" applyAlignment="1">
      <alignment/>
    </xf>
    <xf numFmtId="10" fontId="7" fillId="0" borderId="27" xfId="57" applyNumberFormat="1" applyFont="1" applyBorder="1" applyAlignment="1">
      <alignment/>
    </xf>
    <xf numFmtId="44" fontId="7" fillId="0" borderId="31" xfId="57" applyNumberFormat="1" applyFont="1" applyBorder="1" applyAlignment="1">
      <alignment/>
    </xf>
    <xf numFmtId="165" fontId="7" fillId="0" borderId="0" xfId="42" applyNumberFormat="1" applyFont="1" applyBorder="1" applyAlignment="1">
      <alignment/>
    </xf>
    <xf numFmtId="164" fontId="7" fillId="0" borderId="28" xfId="42" applyNumberFormat="1" applyFont="1" applyBorder="1" applyAlignment="1">
      <alignment/>
    </xf>
    <xf numFmtId="0" fontId="7" fillId="0" borderId="32" xfId="0" applyFont="1" applyBorder="1" applyAlignment="1">
      <alignment/>
    </xf>
    <xf numFmtId="0" fontId="7" fillId="11" borderId="30" xfId="0" applyFont="1" applyFill="1" applyBorder="1" applyAlignment="1">
      <alignment/>
    </xf>
    <xf numFmtId="164" fontId="7" fillId="11" borderId="25" xfId="0" applyNumberFormat="1" applyFont="1" applyFill="1" applyBorder="1" applyAlignment="1">
      <alignment/>
    </xf>
    <xf numFmtId="41" fontId="7" fillId="11" borderId="25" xfId="0" applyNumberFormat="1" applyFont="1" applyFill="1" applyBorder="1" applyAlignment="1">
      <alignment/>
    </xf>
    <xf numFmtId="10" fontId="7" fillId="11" borderId="27" xfId="57" applyNumberFormat="1" applyFont="1" applyFill="1" applyBorder="1" applyAlignment="1">
      <alignment/>
    </xf>
    <xf numFmtId="44" fontId="7" fillId="11" borderId="31" xfId="57" applyNumberFormat="1" applyFont="1" applyFill="1" applyBorder="1" applyAlignment="1">
      <alignment/>
    </xf>
    <xf numFmtId="165" fontId="7" fillId="11" borderId="0" xfId="42" applyNumberFormat="1" applyFont="1" applyFill="1" applyBorder="1" applyAlignment="1">
      <alignment/>
    </xf>
    <xf numFmtId="164" fontId="7" fillId="11" borderId="28" xfId="42" applyNumberFormat="1" applyFont="1" applyFill="1" applyBorder="1" applyAlignment="1">
      <alignment/>
    </xf>
    <xf numFmtId="0" fontId="2" fillId="0" borderId="33" xfId="0" applyFont="1" applyBorder="1" applyAlignment="1">
      <alignment wrapText="1"/>
    </xf>
    <xf numFmtId="164" fontId="2" fillId="0" borderId="34" xfId="0" applyNumberFormat="1" applyFont="1" applyBorder="1" applyAlignment="1">
      <alignment wrapText="1"/>
    </xf>
    <xf numFmtId="41" fontId="2" fillId="0" borderId="34" xfId="0" applyNumberFormat="1" applyFont="1" applyBorder="1" applyAlignment="1">
      <alignment wrapText="1"/>
    </xf>
    <xf numFmtId="10" fontId="2" fillId="0" borderId="35" xfId="0" applyNumberFormat="1" applyFont="1" applyBorder="1" applyAlignment="1">
      <alignment wrapText="1"/>
    </xf>
    <xf numFmtId="44" fontId="2" fillId="0" borderId="36" xfId="0" applyNumberFormat="1" applyFont="1" applyBorder="1" applyAlignment="1">
      <alignment wrapText="1"/>
    </xf>
    <xf numFmtId="165" fontId="2" fillId="0" borderId="37" xfId="42" applyNumberFormat="1" applyFont="1" applyBorder="1" applyAlignment="1">
      <alignment wrapText="1"/>
    </xf>
    <xf numFmtId="165" fontId="2" fillId="17" borderId="38" xfId="42" applyNumberFormat="1" applyFont="1" applyFill="1" applyBorder="1" applyAlignment="1">
      <alignment wrapText="1"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 wrapText="1"/>
    </xf>
    <xf numFmtId="0" fontId="1" fillId="0" borderId="39" xfId="0" applyFont="1" applyBorder="1" applyAlignment="1">
      <alignment wrapText="1"/>
    </xf>
    <xf numFmtId="0" fontId="1" fillId="0" borderId="40" xfId="0" applyFont="1" applyBorder="1" applyAlignment="1">
      <alignment wrapText="1"/>
    </xf>
    <xf numFmtId="0" fontId="1" fillId="0" borderId="41" xfId="0" applyFont="1" applyBorder="1" applyAlignment="1">
      <alignment wrapText="1"/>
    </xf>
    <xf numFmtId="0" fontId="26" fillId="0" borderId="40" xfId="0" applyFont="1" applyBorder="1" applyAlignment="1">
      <alignment horizontal="center"/>
    </xf>
    <xf numFmtId="0" fontId="1" fillId="0" borderId="42" xfId="0" applyFont="1" applyBorder="1" applyAlignment="1">
      <alignment wrapText="1"/>
    </xf>
    <xf numFmtId="0" fontId="4" fillId="0" borderId="42" xfId="0" applyFont="1" applyBorder="1" applyAlignment="1">
      <alignment horizontal="center" wrapText="1"/>
    </xf>
    <xf numFmtId="0" fontId="5" fillId="0" borderId="40" xfId="0" applyFont="1" applyBorder="1" applyAlignment="1">
      <alignment wrapText="1"/>
    </xf>
    <xf numFmtId="0" fontId="5" fillId="0" borderId="41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4" fillId="0" borderId="25" xfId="0" applyFont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41" fontId="6" fillId="24" borderId="22" xfId="0" applyNumberFormat="1" applyFont="1" applyFill="1" applyBorder="1" applyAlignment="1">
      <alignment horizontal="center"/>
    </xf>
    <xf numFmtId="41" fontId="2" fillId="24" borderId="23" xfId="0" applyNumberFormat="1" applyFont="1" applyFill="1" applyBorder="1" applyAlignment="1">
      <alignment horizontal="center"/>
    </xf>
    <xf numFmtId="41" fontId="2" fillId="24" borderId="10" xfId="0" applyNumberFormat="1" applyFont="1" applyFill="1" applyBorder="1" applyAlignment="1">
      <alignment horizontal="center"/>
    </xf>
    <xf numFmtId="41" fontId="2" fillId="24" borderId="44" xfId="0" applyNumberFormat="1" applyFont="1" applyFill="1" applyBorder="1" applyAlignment="1">
      <alignment horizontal="center"/>
    </xf>
    <xf numFmtId="0" fontId="2" fillId="0" borderId="45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26" fillId="0" borderId="25" xfId="0" applyFont="1" applyBorder="1" applyAlignment="1">
      <alignment horizontal="center"/>
    </xf>
    <xf numFmtId="0" fontId="4" fillId="0" borderId="47" xfId="0" applyFont="1" applyBorder="1" applyAlignment="1">
      <alignment horizontal="center" wrapText="1"/>
    </xf>
    <xf numFmtId="0" fontId="4" fillId="0" borderId="48" xfId="0" applyFont="1" applyBorder="1" applyAlignment="1">
      <alignment horizontal="center" wrapText="1"/>
    </xf>
    <xf numFmtId="17" fontId="7" fillId="24" borderId="13" xfId="0" applyNumberFormat="1" applyFont="1" applyFill="1" applyBorder="1" applyAlignment="1">
      <alignment horizontal="right"/>
    </xf>
    <xf numFmtId="41" fontId="8" fillId="24" borderId="11" xfId="0" applyNumberFormat="1" applyFont="1" applyFill="1" applyBorder="1" applyAlignment="1">
      <alignment/>
    </xf>
    <xf numFmtId="41" fontId="8" fillId="24" borderId="49" xfId="0" applyNumberFormat="1" applyFont="1" applyFill="1" applyBorder="1" applyAlignment="1">
      <alignment/>
    </xf>
    <xf numFmtId="9" fontId="2" fillId="0" borderId="40" xfId="0" applyNumberFormat="1" applyFont="1" applyBorder="1" applyAlignment="1">
      <alignment wrapText="1"/>
    </xf>
    <xf numFmtId="164" fontId="2" fillId="0" borderId="50" xfId="44" applyNumberFormat="1" applyFont="1" applyBorder="1" applyAlignment="1">
      <alignment wrapText="1"/>
    </xf>
    <xf numFmtId="165" fontId="2" fillId="0" borderId="50" xfId="42" applyNumberFormat="1" applyFont="1" applyBorder="1" applyAlignment="1">
      <alignment wrapText="1"/>
    </xf>
    <xf numFmtId="44" fontId="2" fillId="0" borderId="50" xfId="44" applyNumberFormat="1" applyFont="1" applyBorder="1" applyAlignment="1">
      <alignment wrapText="1"/>
    </xf>
    <xf numFmtId="44" fontId="7" fillId="0" borderId="46" xfId="0" applyNumberFormat="1" applyFont="1" applyBorder="1" applyAlignment="1">
      <alignment/>
    </xf>
    <xf numFmtId="164" fontId="3" fillId="0" borderId="51" xfId="44" applyNumberFormat="1" applyFont="1" applyBorder="1" applyAlignment="1">
      <alignment wrapText="1"/>
    </xf>
    <xf numFmtId="164" fontId="4" fillId="25" borderId="52" xfId="0" applyNumberFormat="1" applyFont="1" applyFill="1" applyBorder="1" applyAlignment="1">
      <alignment wrapText="1"/>
    </xf>
    <xf numFmtId="165" fontId="3" fillId="0" borderId="50" xfId="42" applyNumberFormat="1" applyFont="1" applyBorder="1" applyAlignment="1">
      <alignment wrapText="1"/>
    </xf>
    <xf numFmtId="167" fontId="3" fillId="0" borderId="52" xfId="44" applyNumberFormat="1" applyFont="1" applyBorder="1" applyAlignment="1">
      <alignment wrapText="1"/>
    </xf>
    <xf numFmtId="17" fontId="7" fillId="24" borderId="25" xfId="0" applyNumberFormat="1" applyFont="1" applyFill="1" applyBorder="1" applyAlignment="1">
      <alignment horizontal="right"/>
    </xf>
    <xf numFmtId="41" fontId="8" fillId="24" borderId="0" xfId="0" applyNumberFormat="1" applyFont="1" applyFill="1" applyBorder="1" applyAlignment="1">
      <alignment/>
    </xf>
    <xf numFmtId="41" fontId="8" fillId="24" borderId="43" xfId="0" applyNumberFormat="1" applyFont="1" applyFill="1" applyBorder="1" applyAlignment="1">
      <alignment/>
    </xf>
    <xf numFmtId="9" fontId="2" fillId="0" borderId="25" xfId="0" applyNumberFormat="1" applyFont="1" applyBorder="1" applyAlignment="1">
      <alignment wrapText="1"/>
    </xf>
    <xf numFmtId="165" fontId="3" fillId="0" borderId="0" xfId="42" applyNumberFormat="1" applyFont="1" applyAlignment="1">
      <alignment wrapText="1"/>
    </xf>
    <xf numFmtId="44" fontId="1" fillId="0" borderId="0" xfId="0" applyNumberFormat="1" applyFont="1" applyAlignment="1">
      <alignment wrapText="1"/>
    </xf>
    <xf numFmtId="0" fontId="2" fillId="0" borderId="53" xfId="0" applyFont="1" applyBorder="1" applyAlignment="1">
      <alignment wrapText="1"/>
    </xf>
    <xf numFmtId="44" fontId="2" fillId="0" borderId="53" xfId="0" applyNumberFormat="1" applyFont="1" applyBorder="1" applyAlignment="1">
      <alignment wrapText="1"/>
    </xf>
    <xf numFmtId="0" fontId="3" fillId="0" borderId="54" xfId="0" applyFont="1" applyBorder="1" applyAlignment="1">
      <alignment wrapText="1"/>
    </xf>
    <xf numFmtId="164" fontId="3" fillId="0" borderId="53" xfId="0" applyNumberFormat="1" applyFont="1" applyBorder="1" applyAlignment="1">
      <alignment wrapText="1"/>
    </xf>
    <xf numFmtId="164" fontId="27" fillId="0" borderId="53" xfId="0" applyNumberFormat="1" applyFont="1" applyBorder="1" applyAlignment="1">
      <alignment/>
    </xf>
    <xf numFmtId="165" fontId="3" fillId="0" borderId="53" xfId="42" applyNumberFormat="1" applyFont="1" applyBorder="1" applyAlignment="1">
      <alignment wrapText="1"/>
    </xf>
    <xf numFmtId="165" fontId="27" fillId="0" borderId="53" xfId="0" applyNumberFormat="1" applyFont="1" applyBorder="1" applyAlignment="1">
      <alignment/>
    </xf>
    <xf numFmtId="164" fontId="0" fillId="0" borderId="0" xfId="44" applyNumberFormat="1" applyFont="1" applyAlignment="1">
      <alignment/>
    </xf>
    <xf numFmtId="166" fontId="3" fillId="0" borderId="53" xfId="44" applyNumberFormat="1" applyFont="1" applyBorder="1" applyAlignment="1">
      <alignment wrapText="1"/>
    </xf>
    <xf numFmtId="166" fontId="3" fillId="0" borderId="55" xfId="44" applyNumberFormat="1" applyFont="1" applyBorder="1" applyAlignment="1">
      <alignment wrapText="1"/>
    </xf>
    <xf numFmtId="167" fontId="27" fillId="0" borderId="0" xfId="0" applyNumberFormat="1" applyFont="1" applyAlignment="1">
      <alignment/>
    </xf>
    <xf numFmtId="17" fontId="7" fillId="0" borderId="46" xfId="0" applyNumberFormat="1" applyFont="1" applyFill="1" applyBorder="1" applyAlignment="1">
      <alignment horizontal="right"/>
    </xf>
    <xf numFmtId="41" fontId="8" fillId="24" borderId="47" xfId="0" applyNumberFormat="1" applyFont="1" applyFill="1" applyBorder="1" applyAlignment="1">
      <alignment/>
    </xf>
    <xf numFmtId="41" fontId="8" fillId="24" borderId="48" xfId="0" applyNumberFormat="1" applyFont="1" applyFill="1" applyBorder="1" applyAlignment="1">
      <alignment/>
    </xf>
    <xf numFmtId="9" fontId="2" fillId="0" borderId="46" xfId="0" applyNumberFormat="1" applyFont="1" applyBorder="1" applyAlignment="1">
      <alignment wrapText="1"/>
    </xf>
    <xf numFmtId="165" fontId="7" fillId="0" borderId="18" xfId="42" applyNumberFormat="1" applyFont="1" applyBorder="1" applyAlignment="1">
      <alignment/>
    </xf>
    <xf numFmtId="164" fontId="2" fillId="0" borderId="44" xfId="42" applyNumberFormat="1" applyFont="1" applyFill="1" applyBorder="1" applyAlignment="1">
      <alignment wrapText="1"/>
    </xf>
    <xf numFmtId="165" fontId="2" fillId="0" borderId="22" xfId="42" applyNumberFormat="1" applyFont="1" applyFill="1" applyBorder="1" applyAlignment="1">
      <alignment wrapText="1"/>
    </xf>
    <xf numFmtId="165" fontId="7" fillId="20" borderId="12" xfId="42" applyNumberFormat="1" applyFont="1" applyFill="1" applyBorder="1" applyAlignment="1">
      <alignment/>
    </xf>
    <xf numFmtId="164" fontId="7" fillId="0" borderId="13" xfId="42" applyNumberFormat="1" applyFont="1" applyBorder="1" applyAlignment="1">
      <alignment/>
    </xf>
    <xf numFmtId="0" fontId="0" fillId="0" borderId="13" xfId="0" applyBorder="1" applyAlignment="1">
      <alignment/>
    </xf>
    <xf numFmtId="165" fontId="7" fillId="20" borderId="30" xfId="42" applyNumberFormat="1" applyFont="1" applyFill="1" applyBorder="1" applyAlignment="1">
      <alignment/>
    </xf>
    <xf numFmtId="164" fontId="7" fillId="0" borderId="25" xfId="42" applyNumberFormat="1" applyFont="1" applyBorder="1" applyAlignment="1">
      <alignment/>
    </xf>
    <xf numFmtId="0" fontId="0" fillId="0" borderId="25" xfId="0" applyBorder="1" applyAlignment="1">
      <alignment/>
    </xf>
    <xf numFmtId="165" fontId="7" fillId="0" borderId="30" xfId="42" applyNumberFormat="1" applyFont="1" applyFill="1" applyBorder="1" applyAlignment="1">
      <alignment/>
    </xf>
    <xf numFmtId="165" fontId="7" fillId="20" borderId="25" xfId="42" applyNumberFormat="1" applyFont="1" applyFill="1" applyBorder="1" applyAlignment="1">
      <alignment/>
    </xf>
    <xf numFmtId="165" fontId="7" fillId="11" borderId="30" xfId="42" applyNumberFormat="1" applyFont="1" applyFill="1" applyBorder="1" applyAlignment="1">
      <alignment/>
    </xf>
    <xf numFmtId="164" fontId="7" fillId="11" borderId="25" xfId="42" applyNumberFormat="1" applyFont="1" applyFill="1" applyBorder="1" applyAlignment="1">
      <alignment/>
    </xf>
    <xf numFmtId="165" fontId="7" fillId="11" borderId="25" xfId="42" applyNumberFormat="1" applyFont="1" applyFill="1" applyBorder="1" applyAlignment="1">
      <alignment/>
    </xf>
    <xf numFmtId="0" fontId="0" fillId="11" borderId="25" xfId="0" applyFill="1" applyBorder="1" applyAlignment="1">
      <alignment/>
    </xf>
    <xf numFmtId="44" fontId="7" fillId="0" borderId="25" xfId="0" applyNumberFormat="1" applyFont="1" applyBorder="1" applyAlignment="1">
      <alignment/>
    </xf>
    <xf numFmtId="164" fontId="7" fillId="0" borderId="46" xfId="42" applyNumberFormat="1" applyFont="1" applyBorder="1" applyAlignment="1">
      <alignment/>
    </xf>
    <xf numFmtId="41" fontId="7" fillId="20" borderId="25" xfId="0" applyNumberFormat="1" applyFont="1" applyFill="1" applyBorder="1" applyAlignment="1">
      <alignment/>
    </xf>
    <xf numFmtId="165" fontId="7" fillId="0" borderId="32" xfId="42" applyNumberFormat="1" applyFont="1" applyFill="1" applyBorder="1" applyAlignment="1">
      <alignment/>
    </xf>
    <xf numFmtId="165" fontId="7" fillId="20" borderId="46" xfId="42" applyNumberFormat="1" applyFont="1" applyFill="1" applyBorder="1" applyAlignment="1">
      <alignment/>
    </xf>
    <xf numFmtId="41" fontId="7" fillId="20" borderId="46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0" fillId="0" borderId="27" xfId="0" applyBorder="1" applyAlignment="1">
      <alignment/>
    </xf>
    <xf numFmtId="0" fontId="0" fillId="11" borderId="27" xfId="0" applyFill="1" applyBorder="1" applyAlignment="1">
      <alignment/>
    </xf>
    <xf numFmtId="164" fontId="7" fillId="0" borderId="27" xfId="0" applyNumberFormat="1" applyFont="1" applyBorder="1" applyAlignment="1">
      <alignment/>
    </xf>
    <xf numFmtId="0" fontId="0" fillId="0" borderId="56" xfId="0" applyBorder="1" applyAlignment="1">
      <alignment/>
    </xf>
    <xf numFmtId="164" fontId="2" fillId="0" borderId="57" xfId="42" applyNumberFormat="1" applyFont="1" applyFill="1" applyBorder="1" applyAlignment="1">
      <alignment wrapText="1"/>
    </xf>
    <xf numFmtId="165" fontId="7" fillId="0" borderId="57" xfId="0" applyNumberFormat="1" applyFont="1" applyBorder="1" applyAlignment="1">
      <alignment/>
    </xf>
    <xf numFmtId="44" fontId="7" fillId="0" borderId="57" xfId="0" applyNumberFormat="1" applyFont="1" applyBorder="1" applyAlignment="1">
      <alignment/>
    </xf>
    <xf numFmtId="164" fontId="0" fillId="0" borderId="57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54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Abdulle\Desktop\Decoupling%20Mechanism%20-%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HOME\DPU\DPUDocs\2009\09-035-RMP\09-035-23%20RMP-GRC\Testimony\RMP\Paice\Rebuttal\09-035-23%20Paice%20Prefiled%20Rebuttal%20Testimony%20for%20RMP%20-%20Exhibit%20RMP-CCP%203R%20-%20Workpaper\Tabs%202%20&amp;%203%20(COS)\COS%20UT%20Jun%202010%20(MSP)_Rebutt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MP DR to DPU DR 72.3"/>
      <sheetName val="Decoupling Mechanism - 08"/>
    </sheetNames>
    <sheetDataSet>
      <sheetData sheetId="0">
        <row r="9">
          <cell r="I9">
            <v>51799709.576666676</v>
          </cell>
          <cell r="J9">
            <v>668909.3333333334</v>
          </cell>
        </row>
        <row r="10">
          <cell r="I10">
            <v>61072470.68666667</v>
          </cell>
          <cell r="J10">
            <v>669074.3333333334</v>
          </cell>
        </row>
        <row r="11">
          <cell r="I11">
            <v>47793072.190000005</v>
          </cell>
          <cell r="J11">
            <v>669791</v>
          </cell>
        </row>
        <row r="12">
          <cell r="I12">
            <v>32218009.849999998</v>
          </cell>
          <cell r="J12">
            <v>670964.3333333334</v>
          </cell>
        </row>
        <row r="13">
          <cell r="I13">
            <v>31076567.22333333</v>
          </cell>
          <cell r="J13">
            <v>674079.6666666666</v>
          </cell>
        </row>
        <row r="14">
          <cell r="I14">
            <v>41301217.63333333</v>
          </cell>
          <cell r="J14">
            <v>675517.6666666666</v>
          </cell>
        </row>
        <row r="15">
          <cell r="I15">
            <v>45283501.403333336</v>
          </cell>
          <cell r="J15">
            <v>677360.6666666666</v>
          </cell>
        </row>
        <row r="16">
          <cell r="I16">
            <v>38834834.803333335</v>
          </cell>
          <cell r="J16">
            <v>679057.6666666666</v>
          </cell>
        </row>
        <row r="17">
          <cell r="I17">
            <v>35760104.196666665</v>
          </cell>
          <cell r="J17">
            <v>679602.3333333334</v>
          </cell>
        </row>
        <row r="18">
          <cell r="I18">
            <v>31946161.78</v>
          </cell>
          <cell r="J18">
            <v>680343</v>
          </cell>
        </row>
        <row r="19">
          <cell r="I19">
            <v>31395730.98666667</v>
          </cell>
          <cell r="J19">
            <v>680623</v>
          </cell>
        </row>
        <row r="20">
          <cell r="I20">
            <v>39635498.77666666</v>
          </cell>
          <cell r="J20">
            <v>680695.3333333334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NPC Factors"/>
      <sheetName val="Revenues"/>
      <sheetName val="TransInvest"/>
      <sheetName val="DistInvest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28">
          <cell r="F28">
            <v>39995</v>
          </cell>
        </row>
        <row r="29">
          <cell r="F29">
            <v>40026</v>
          </cell>
        </row>
        <row r="30">
          <cell r="F30">
            <v>40057</v>
          </cell>
        </row>
        <row r="31">
          <cell r="F31">
            <v>40087</v>
          </cell>
        </row>
        <row r="32">
          <cell r="F32">
            <v>40118</v>
          </cell>
        </row>
        <row r="33">
          <cell r="F33">
            <v>40148</v>
          </cell>
        </row>
        <row r="34">
          <cell r="F34">
            <v>40179</v>
          </cell>
        </row>
        <row r="35">
          <cell r="F35">
            <v>40210</v>
          </cell>
        </row>
        <row r="36">
          <cell r="F36">
            <v>40238</v>
          </cell>
        </row>
        <row r="37">
          <cell r="F37">
            <v>40269</v>
          </cell>
        </row>
        <row r="38">
          <cell r="F38">
            <v>40299</v>
          </cell>
        </row>
        <row r="39">
          <cell r="F39">
            <v>40330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9"/>
  <sheetViews>
    <sheetView tabSelected="1" workbookViewId="0" topLeftCell="A1">
      <selection activeCell="C1" sqref="C1:Q1"/>
    </sheetView>
  </sheetViews>
  <sheetFormatPr defaultColWidth="9.140625" defaultRowHeight="15"/>
  <cols>
    <col min="1" max="1" width="2.28125" style="0" customWidth="1"/>
    <col min="2" max="3" width="11.28125" style="0" bestFit="1" customWidth="1"/>
    <col min="4" max="4" width="15.140625" style="0" bestFit="1" customWidth="1"/>
    <col min="5" max="5" width="13.57421875" style="0" bestFit="1" customWidth="1"/>
    <col min="6" max="6" width="12.57421875" style="0" bestFit="1" customWidth="1"/>
    <col min="7" max="7" width="14.00390625" style="0" bestFit="1" customWidth="1"/>
    <col min="8" max="8" width="12.57421875" style="0" bestFit="1" customWidth="1"/>
    <col min="9" max="9" width="11.140625" style="0" bestFit="1" customWidth="1"/>
    <col min="10" max="10" width="12.00390625" style="0" bestFit="1" customWidth="1"/>
    <col min="11" max="11" width="10.7109375" style="0" bestFit="1" customWidth="1"/>
    <col min="12" max="12" width="10.421875" style="0" bestFit="1" customWidth="1"/>
    <col min="13" max="13" width="11.7109375" style="0" bestFit="1" customWidth="1"/>
    <col min="14" max="14" width="10.7109375" style="0" bestFit="1" customWidth="1"/>
    <col min="15" max="15" width="9.8515625" style="0" bestFit="1" customWidth="1"/>
    <col min="16" max="16" width="12.00390625" style="0" bestFit="1" customWidth="1"/>
    <col min="17" max="17" width="12.8515625" style="0" bestFit="1" customWidth="1"/>
    <col min="18" max="18" width="11.57421875" style="0" bestFit="1" customWidth="1"/>
    <col min="22" max="22" width="10.28125" style="0" bestFit="1" customWidth="1"/>
    <col min="23" max="23" width="6.7109375" style="0" bestFit="1" customWidth="1"/>
    <col min="25" max="25" width="10.57421875" style="0" bestFit="1" customWidth="1"/>
  </cols>
  <sheetData>
    <row r="1" spans="3:17" ht="18">
      <c r="C1" s="157" t="s">
        <v>55</v>
      </c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</row>
    <row r="2" spans="2:17" ht="18.75" thickBot="1">
      <c r="B2" s="2"/>
      <c r="C2" s="159" t="s">
        <v>54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</row>
    <row r="3" spans="2:18" ht="18">
      <c r="B3" s="4"/>
      <c r="C3" s="5"/>
      <c r="D3" s="6"/>
      <c r="E3" s="6"/>
      <c r="F3" s="6"/>
      <c r="G3" s="6"/>
      <c r="H3" s="6"/>
      <c r="I3" s="6"/>
      <c r="J3" s="6"/>
      <c r="K3" s="6"/>
      <c r="L3" s="7"/>
      <c r="M3" s="8"/>
      <c r="N3" s="8"/>
      <c r="O3" s="8"/>
      <c r="P3" s="153"/>
      <c r="Q3" s="153"/>
      <c r="R3" s="153"/>
    </row>
    <row r="4" spans="2:15" ht="15.75" thickBot="1">
      <c r="B4" s="1"/>
      <c r="C4" s="9"/>
      <c r="D4" s="9"/>
      <c r="E4" s="10"/>
      <c r="F4" s="10"/>
      <c r="G4" s="11"/>
      <c r="H4" s="12"/>
      <c r="I4" s="13"/>
      <c r="J4" s="13"/>
      <c r="K4" s="14"/>
      <c r="L4" s="15"/>
      <c r="M4" s="16"/>
      <c r="N4" s="3"/>
      <c r="O4" s="1"/>
    </row>
    <row r="5" spans="2:18" ht="15">
      <c r="B5" s="17"/>
      <c r="C5" s="18" t="s">
        <v>0</v>
      </c>
      <c r="D5" s="18" t="s">
        <v>0</v>
      </c>
      <c r="E5" s="18" t="s">
        <v>1</v>
      </c>
      <c r="F5" s="19" t="s">
        <v>2</v>
      </c>
      <c r="G5" s="20" t="s">
        <v>3</v>
      </c>
      <c r="H5" s="18" t="s">
        <v>0</v>
      </c>
      <c r="I5" s="21" t="s">
        <v>3</v>
      </c>
      <c r="J5" s="20" t="s">
        <v>4</v>
      </c>
      <c r="K5" s="21" t="s">
        <v>5</v>
      </c>
      <c r="L5" s="22" t="s">
        <v>6</v>
      </c>
      <c r="M5" s="22" t="s">
        <v>7</v>
      </c>
      <c r="N5" s="23" t="s">
        <v>7</v>
      </c>
      <c r="O5" s="22" t="s">
        <v>6</v>
      </c>
      <c r="P5" s="22" t="s">
        <v>7</v>
      </c>
      <c r="Q5" s="23" t="s">
        <v>7</v>
      </c>
      <c r="R5" s="22" t="s">
        <v>6</v>
      </c>
    </row>
    <row r="6" spans="2:18" ht="27" thickBot="1">
      <c r="B6" s="24"/>
      <c r="C6" s="25" t="s">
        <v>8</v>
      </c>
      <c r="D6" s="25" t="s">
        <v>9</v>
      </c>
      <c r="E6" s="25" t="s">
        <v>10</v>
      </c>
      <c r="F6" s="26" t="s">
        <v>11</v>
      </c>
      <c r="G6" s="27" t="s">
        <v>12</v>
      </c>
      <c r="H6" s="25" t="s">
        <v>9</v>
      </c>
      <c r="I6" s="28" t="s">
        <v>8</v>
      </c>
      <c r="J6" s="27" t="s">
        <v>13</v>
      </c>
      <c r="K6" s="28" t="s">
        <v>8</v>
      </c>
      <c r="L6" s="29" t="s">
        <v>14</v>
      </c>
      <c r="M6" s="29" t="s">
        <v>13</v>
      </c>
      <c r="N6" s="30" t="s">
        <v>8</v>
      </c>
      <c r="O6" s="29" t="s">
        <v>14</v>
      </c>
      <c r="P6" s="29" t="s">
        <v>13</v>
      </c>
      <c r="Q6" s="30" t="s">
        <v>8</v>
      </c>
      <c r="R6" s="29" t="s">
        <v>14</v>
      </c>
    </row>
    <row r="7" spans="2:15" ht="15.75" thickBot="1">
      <c r="B7" s="31"/>
      <c r="C7" s="32"/>
      <c r="D7" s="32"/>
      <c r="E7" s="32"/>
      <c r="F7" s="33"/>
      <c r="G7" s="27"/>
      <c r="H7" s="32"/>
      <c r="I7" s="34"/>
      <c r="J7" s="35"/>
      <c r="K7" s="36"/>
      <c r="L7" s="35"/>
      <c r="M7" s="35"/>
      <c r="N7" s="35"/>
      <c r="O7" s="35"/>
    </row>
    <row r="8" spans="2:18" ht="15">
      <c r="B8" s="37" t="s">
        <v>16</v>
      </c>
      <c r="C8" s="38">
        <f>'[1]RMP DR to DPU DR 72.3'!I9</f>
        <v>51799709.576666676</v>
      </c>
      <c r="D8" s="39">
        <f>'[1]RMP DR to DPU DR 72.3'!J9</f>
        <v>668909.3333333334</v>
      </c>
      <c r="E8" s="39">
        <f>C8/D8</f>
        <v>77.43905936928175</v>
      </c>
      <c r="F8" s="40">
        <f>E8/$E$33</f>
        <v>0.10706261128450194</v>
      </c>
      <c r="G8" s="41">
        <f>F8*$E$39</f>
        <v>27.213309444015174</v>
      </c>
      <c r="H8" s="42">
        <f>$C$39*(D8/$D$33)</f>
        <v>708358.0331364495</v>
      </c>
      <c r="I8" s="43">
        <f>G8*H8</f>
        <v>19276766.352896154</v>
      </c>
      <c r="J8" s="126">
        <v>867328138.3421268</v>
      </c>
      <c r="K8" s="127">
        <f aca="true" t="shared" si="0" ref="K8:K13">J8*$I$39</f>
        <v>23844274.739964586</v>
      </c>
      <c r="L8" s="127">
        <f aca="true" t="shared" si="1" ref="L8:L13">I8-K8</f>
        <v>-4567508.387068432</v>
      </c>
      <c r="M8" s="127"/>
      <c r="N8" s="127"/>
      <c r="O8" s="127"/>
      <c r="P8" s="128"/>
      <c r="Q8" s="128"/>
      <c r="R8" s="144"/>
    </row>
    <row r="9" spans="2:18" ht="15">
      <c r="B9" s="44" t="s">
        <v>17</v>
      </c>
      <c r="C9" s="45">
        <f>'[1]RMP DR to DPU DR 72.3'!I10</f>
        <v>61072470.68666667</v>
      </c>
      <c r="D9" s="46">
        <f>'[1]RMP DR to DPU DR 72.3'!J10</f>
        <v>669074.3333333334</v>
      </c>
      <c r="E9" s="46">
        <f>C9/D9</f>
        <v>91.27905173466027</v>
      </c>
      <c r="F9" s="47">
        <f>E9/$E$33</f>
        <v>0.12619695685718033</v>
      </c>
      <c r="G9" s="48">
        <f>F9*$E$39</f>
        <v>32.07690151253214</v>
      </c>
      <c r="H9" s="49">
        <f>$C$39*(D9/$D$33)</f>
        <v>708532.7639551766</v>
      </c>
      <c r="I9" s="50">
        <f>G9*H9</f>
        <v>22727535.68779238</v>
      </c>
      <c r="J9" s="129">
        <v>721397002.684258</v>
      </c>
      <c r="K9" s="130">
        <f t="shared" si="0"/>
        <v>19832388.191013843</v>
      </c>
      <c r="L9" s="130">
        <f t="shared" si="1"/>
        <v>2895147.4967785366</v>
      </c>
      <c r="M9" s="130"/>
      <c r="N9" s="130"/>
      <c r="O9" s="130"/>
      <c r="P9" s="131"/>
      <c r="Q9" s="131"/>
      <c r="R9" s="145"/>
    </row>
    <row r="10" spans="2:18" ht="15">
      <c r="B10" s="44" t="s">
        <v>18</v>
      </c>
      <c r="C10" s="45">
        <f>'[1]RMP DR to DPU DR 72.3'!I11</f>
        <v>47793072.190000005</v>
      </c>
      <c r="D10" s="46">
        <f>'[1]RMP DR to DPU DR 72.3'!J11</f>
        <v>669791</v>
      </c>
      <c r="E10" s="46">
        <f aca="true" t="shared" si="2" ref="E10:E19">C10/D10</f>
        <v>71.35520213021675</v>
      </c>
      <c r="F10" s="47">
        <f aca="true" t="shared" si="3" ref="F10:F19">E10/$E$33</f>
        <v>0.0986514341860002</v>
      </c>
      <c r="G10" s="48">
        <f aca="true" t="shared" si="4" ref="G10:G19">F10*$E$39</f>
        <v>25.075345850341126</v>
      </c>
      <c r="H10" s="49">
        <f aca="true" t="shared" si="5" ref="H10:H19">$C$39*(D10/$D$33)</f>
        <v>709291.695794092</v>
      </c>
      <c r="I10" s="50">
        <f aca="true" t="shared" si="6" ref="I10:I19">G10*H10</f>
        <v>17785734.580811806</v>
      </c>
      <c r="J10" s="129">
        <v>461906093.127082</v>
      </c>
      <c r="K10" s="130">
        <f t="shared" si="0"/>
        <v>12698556.984024994</v>
      </c>
      <c r="L10" s="130">
        <f t="shared" si="1"/>
        <v>5087177.596786812</v>
      </c>
      <c r="M10" s="130"/>
      <c r="N10" s="130"/>
      <c r="O10" s="130"/>
      <c r="P10" s="131"/>
      <c r="Q10" s="131"/>
      <c r="R10" s="145"/>
    </row>
    <row r="11" spans="2:18" ht="15">
      <c r="B11" s="44" t="s">
        <v>19</v>
      </c>
      <c r="C11" s="45">
        <f>'[1]RMP DR to DPU DR 72.3'!I12</f>
        <v>32218009.849999998</v>
      </c>
      <c r="D11" s="46">
        <f>'[1]RMP DR to DPU DR 72.3'!J12</f>
        <v>670964.3333333334</v>
      </c>
      <c r="E11" s="46">
        <f t="shared" si="2"/>
        <v>48.01747015365446</v>
      </c>
      <c r="F11" s="47">
        <f t="shared" si="3"/>
        <v>0.06638608195653194</v>
      </c>
      <c r="G11" s="48">
        <f t="shared" si="4"/>
        <v>16.87409796364991</v>
      </c>
      <c r="H11" s="49">
        <f t="shared" si="5"/>
        <v>710534.2260605958</v>
      </c>
      <c r="I11" s="50">
        <f t="shared" si="6"/>
        <v>11989624.137072664</v>
      </c>
      <c r="J11" s="129">
        <v>436760238.9664691</v>
      </c>
      <c r="K11" s="130">
        <f t="shared" si="0"/>
        <v>12007256.16179775</v>
      </c>
      <c r="L11" s="130">
        <f t="shared" si="1"/>
        <v>-17632.024725086987</v>
      </c>
      <c r="M11" s="130"/>
      <c r="N11" s="130"/>
      <c r="O11" s="130"/>
      <c r="P11" s="131"/>
      <c r="Q11" s="131"/>
      <c r="R11" s="145"/>
    </row>
    <row r="12" spans="2:18" ht="15">
      <c r="B12" s="44" t="s">
        <v>20</v>
      </c>
      <c r="C12" s="45">
        <f>'[1]RMP DR to DPU DR 72.3'!I13</f>
        <v>31076567.22333333</v>
      </c>
      <c r="D12" s="46">
        <f>'[1]RMP DR to DPU DR 72.3'!J13</f>
        <v>674079.6666666666</v>
      </c>
      <c r="E12" s="46">
        <f t="shared" si="2"/>
        <v>46.10221723050539</v>
      </c>
      <c r="F12" s="47">
        <f t="shared" si="3"/>
        <v>0.06373816783034417</v>
      </c>
      <c r="G12" s="48">
        <f t="shared" si="4"/>
        <v>16.20104781446531</v>
      </c>
      <c r="H12" s="49">
        <f t="shared" si="5"/>
        <v>713833.285114784</v>
      </c>
      <c r="I12" s="50">
        <f t="shared" si="6"/>
        <v>11564847.183701463</v>
      </c>
      <c r="J12" s="129">
        <v>493909037.10646266</v>
      </c>
      <c r="K12" s="130">
        <f t="shared" si="0"/>
        <v>13578370.465218706</v>
      </c>
      <c r="L12" s="130">
        <f t="shared" si="1"/>
        <v>-2013523.281517243</v>
      </c>
      <c r="M12" s="130"/>
      <c r="N12" s="130"/>
      <c r="O12" s="130"/>
      <c r="P12" s="131"/>
      <c r="Q12" s="131"/>
      <c r="R12" s="145"/>
    </row>
    <row r="13" spans="2:18" ht="15">
      <c r="B13" s="44" t="s">
        <v>21</v>
      </c>
      <c r="C13" s="45">
        <f>'[1]RMP DR to DPU DR 72.3'!I14</f>
        <v>41301217.63333333</v>
      </c>
      <c r="D13" s="46">
        <f>'[1]RMP DR to DPU DR 72.3'!J14</f>
        <v>675517.6666666666</v>
      </c>
      <c r="E13" s="46">
        <f t="shared" si="2"/>
        <v>61.14009991349844</v>
      </c>
      <c r="F13" s="47">
        <f t="shared" si="3"/>
        <v>0.08452864490152971</v>
      </c>
      <c r="G13" s="48">
        <f t="shared" si="4"/>
        <v>21.48559747413511</v>
      </c>
      <c r="H13" s="49">
        <f t="shared" si="5"/>
        <v>715356.090674357</v>
      </c>
      <c r="I13" s="50">
        <f t="shared" si="6"/>
        <v>15369853.014900131</v>
      </c>
      <c r="J13" s="129">
        <v>632336839.251506</v>
      </c>
      <c r="K13" s="130">
        <f t="shared" si="0"/>
        <v>17383978.054873396</v>
      </c>
      <c r="L13" s="130">
        <f t="shared" si="1"/>
        <v>-2014125.0399732646</v>
      </c>
      <c r="M13" s="130"/>
      <c r="N13" s="130"/>
      <c r="O13" s="130"/>
      <c r="P13" s="131"/>
      <c r="Q13" s="131"/>
      <c r="R13" s="145"/>
    </row>
    <row r="14" spans="2:18" ht="15">
      <c r="B14" s="44" t="s">
        <v>22</v>
      </c>
      <c r="C14" s="45">
        <f>'[1]RMP DR to DPU DR 72.3'!I15</f>
        <v>45283501.403333336</v>
      </c>
      <c r="D14" s="46">
        <f>'[1]RMP DR to DPU DR 72.3'!J15</f>
        <v>677360.6666666666</v>
      </c>
      <c r="E14" s="46">
        <f t="shared" si="2"/>
        <v>66.8528652928376</v>
      </c>
      <c r="F14" s="47">
        <f t="shared" si="3"/>
        <v>0.09242677259250688</v>
      </c>
      <c r="G14" s="48">
        <f t="shared" si="4"/>
        <v>23.493153522919993</v>
      </c>
      <c r="H14" s="49">
        <f t="shared" si="5"/>
        <v>717307.7809708054</v>
      </c>
      <c r="I14" s="50">
        <f t="shared" si="6"/>
        <v>16851821.8215322</v>
      </c>
      <c r="J14" s="132"/>
      <c r="K14" s="130"/>
      <c r="L14" s="130"/>
      <c r="M14" s="133">
        <v>600897379.9043413</v>
      </c>
      <c r="N14" s="130">
        <f aca="true" t="shared" si="7" ref="N14:N19">M14*($I$39+$E$44)</f>
        <v>16461513.377877316</v>
      </c>
      <c r="O14" s="130">
        <f aca="true" t="shared" si="8" ref="O14:O19">I14-N14</f>
        <v>390308.4436548855</v>
      </c>
      <c r="P14" s="131"/>
      <c r="Q14" s="131"/>
      <c r="R14" s="145"/>
    </row>
    <row r="15" spans="2:18" ht="15">
      <c r="B15" s="44" t="s">
        <v>23</v>
      </c>
      <c r="C15" s="45">
        <f>'[1]RMP DR to DPU DR 72.3'!I16</f>
        <v>38834834.803333335</v>
      </c>
      <c r="D15" s="46">
        <f>'[1]RMP DR to DPU DR 72.3'!J16</f>
        <v>679057.6666666666</v>
      </c>
      <c r="E15" s="46">
        <f t="shared" si="2"/>
        <v>57.18930322068868</v>
      </c>
      <c r="F15" s="47">
        <f t="shared" si="3"/>
        <v>0.07906650972024709</v>
      </c>
      <c r="G15" s="48">
        <f t="shared" si="4"/>
        <v>20.09722507101586</v>
      </c>
      <c r="H15" s="49">
        <f t="shared" si="5"/>
        <v>719104.8609670469</v>
      </c>
      <c r="I15" s="50">
        <f t="shared" si="6"/>
        <v>14452012.24051631</v>
      </c>
      <c r="J15" s="132"/>
      <c r="K15" s="130"/>
      <c r="L15" s="130"/>
      <c r="M15" s="133">
        <v>442284790.9262765</v>
      </c>
      <c r="N15" s="130">
        <f t="shared" si="7"/>
        <v>12116340.070951225</v>
      </c>
      <c r="O15" s="130">
        <f t="shared" si="8"/>
        <v>2335672.1695650853</v>
      </c>
      <c r="P15" s="131"/>
      <c r="Q15" s="131"/>
      <c r="R15" s="145"/>
    </row>
    <row r="16" spans="2:18" ht="15">
      <c r="B16" s="44" t="s">
        <v>24</v>
      </c>
      <c r="C16" s="45">
        <f>'[1]RMP DR to DPU DR 72.3'!I17</f>
        <v>35760104.196666665</v>
      </c>
      <c r="D16" s="46">
        <f>'[1]RMP DR to DPU DR 72.3'!J17</f>
        <v>679602.3333333334</v>
      </c>
      <c r="E16" s="46">
        <f t="shared" si="2"/>
        <v>52.619160415870645</v>
      </c>
      <c r="F16" s="47">
        <f t="shared" si="3"/>
        <v>0.07274810365214618</v>
      </c>
      <c r="G16" s="48">
        <f t="shared" si="4"/>
        <v>18.491204654913197</v>
      </c>
      <c r="H16" s="49">
        <f t="shared" si="5"/>
        <v>719681.6491646228</v>
      </c>
      <c r="I16" s="50">
        <f t="shared" si="6"/>
        <v>13307780.66108848</v>
      </c>
      <c r="J16" s="132"/>
      <c r="K16" s="130"/>
      <c r="L16" s="130"/>
      <c r="M16" s="133">
        <v>510953549.1827595</v>
      </c>
      <c r="N16" s="130">
        <f t="shared" si="7"/>
        <v>13997512.664616501</v>
      </c>
      <c r="O16" s="130">
        <f t="shared" si="8"/>
        <v>-689732.0035280213</v>
      </c>
      <c r="P16" s="131"/>
      <c r="Q16" s="131"/>
      <c r="R16" s="145"/>
    </row>
    <row r="17" spans="2:18" ht="15">
      <c r="B17" s="44" t="s">
        <v>25</v>
      </c>
      <c r="C17" s="45">
        <f>'[1]RMP DR to DPU DR 72.3'!I18</f>
        <v>31946161.78</v>
      </c>
      <c r="D17" s="46">
        <f>'[1]RMP DR to DPU DR 72.3'!J18</f>
        <v>680343</v>
      </c>
      <c r="E17" s="46">
        <f t="shared" si="2"/>
        <v>46.955964535535756</v>
      </c>
      <c r="F17" s="47">
        <f t="shared" si="3"/>
        <v>0.06491850778537615</v>
      </c>
      <c r="G17" s="48">
        <f t="shared" si="4"/>
        <v>16.501068111561036</v>
      </c>
      <c r="H17" s="49">
        <f t="shared" si="5"/>
        <v>720465.9963953532</v>
      </c>
      <c r="I17" s="50">
        <f t="shared" si="6"/>
        <v>11888458.478583412</v>
      </c>
      <c r="J17" s="132"/>
      <c r="K17" s="130"/>
      <c r="L17" s="130"/>
      <c r="M17" s="133">
        <v>431227285.0365166</v>
      </c>
      <c r="N17" s="130">
        <f t="shared" si="7"/>
        <v>11813420.991558306</v>
      </c>
      <c r="O17" s="130">
        <f t="shared" si="8"/>
        <v>75037.48702510633</v>
      </c>
      <c r="P17" s="131"/>
      <c r="Q17" s="131"/>
      <c r="R17" s="145"/>
    </row>
    <row r="18" spans="2:18" ht="15">
      <c r="B18" s="44" t="s">
        <v>26</v>
      </c>
      <c r="C18" s="45">
        <f>'[1]RMP DR to DPU DR 72.3'!I19</f>
        <v>31395730.98666667</v>
      </c>
      <c r="D18" s="46">
        <f>'[1]RMP DR to DPU DR 72.3'!J19</f>
        <v>680623</v>
      </c>
      <c r="E18" s="46">
        <f t="shared" si="2"/>
        <v>46.12793130215504</v>
      </c>
      <c r="F18" s="47">
        <f t="shared" si="3"/>
        <v>0.0637737185676593</v>
      </c>
      <c r="G18" s="48">
        <f t="shared" si="4"/>
        <v>16.210084145672933</v>
      </c>
      <c r="H18" s="49">
        <f t="shared" si="5"/>
        <v>720762.5092998598</v>
      </c>
      <c r="I18" s="50">
        <f t="shared" si="6"/>
        <v>11683620.924797097</v>
      </c>
      <c r="J18" s="132"/>
      <c r="K18" s="130"/>
      <c r="L18" s="130"/>
      <c r="M18" s="133">
        <v>453332622.8355123</v>
      </c>
      <c r="N18" s="130">
        <f t="shared" si="7"/>
        <v>12418994.13278018</v>
      </c>
      <c r="O18" s="130">
        <f t="shared" si="8"/>
        <v>-735373.2079830822</v>
      </c>
      <c r="P18" s="131"/>
      <c r="Q18" s="131"/>
      <c r="R18" s="145"/>
    </row>
    <row r="19" spans="2:18" ht="15">
      <c r="B19" s="51" t="s">
        <v>27</v>
      </c>
      <c r="C19" s="45">
        <f>'[1]RMP DR to DPU DR 72.3'!I20</f>
        <v>39635498.77666666</v>
      </c>
      <c r="D19" s="46">
        <f>'[1]RMP DR to DPU DR 72.3'!J20</f>
        <v>680695.3333333334</v>
      </c>
      <c r="E19" s="46">
        <f t="shared" si="2"/>
        <v>58.227957260370026</v>
      </c>
      <c r="F19" s="47">
        <f t="shared" si="3"/>
        <v>0.0805024906659763</v>
      </c>
      <c r="G19" s="48">
        <f t="shared" si="4"/>
        <v>20.462224517255738</v>
      </c>
      <c r="H19" s="49">
        <f t="shared" si="5"/>
        <v>720839.1084668573</v>
      </c>
      <c r="I19" s="50">
        <f t="shared" si="6"/>
        <v>14749971.678267296</v>
      </c>
      <c r="J19" s="132"/>
      <c r="K19" s="130"/>
      <c r="L19" s="130"/>
      <c r="M19" s="133">
        <v>561523260.0001818</v>
      </c>
      <c r="N19" s="130">
        <f t="shared" si="7"/>
        <v>15382863.972470272</v>
      </c>
      <c r="O19" s="130">
        <f t="shared" si="8"/>
        <v>-632892.2942029759</v>
      </c>
      <c r="P19" s="131"/>
      <c r="Q19" s="131"/>
      <c r="R19" s="145"/>
    </row>
    <row r="20" spans="2:18" ht="15.75" thickBot="1">
      <c r="B20" s="52"/>
      <c r="C20" s="53"/>
      <c r="D20" s="54"/>
      <c r="E20" s="54"/>
      <c r="F20" s="55"/>
      <c r="G20" s="56"/>
      <c r="H20" s="57"/>
      <c r="I20" s="58"/>
      <c r="J20" s="134"/>
      <c r="K20" s="135"/>
      <c r="L20" s="135"/>
      <c r="M20" s="136"/>
      <c r="N20" s="135"/>
      <c r="O20" s="135"/>
      <c r="P20" s="137"/>
      <c r="Q20" s="137"/>
      <c r="R20" s="146"/>
    </row>
    <row r="21" spans="2:18" ht="15">
      <c r="B21" s="37" t="s">
        <v>16</v>
      </c>
      <c r="C21" s="45">
        <f aca="true" t="shared" si="9" ref="C21:I32">C8</f>
        <v>51799709.576666676</v>
      </c>
      <c r="D21" s="46">
        <f t="shared" si="9"/>
        <v>668909.3333333334</v>
      </c>
      <c r="E21" s="46">
        <f t="shared" si="9"/>
        <v>77.43905936928175</v>
      </c>
      <c r="F21" s="47">
        <f t="shared" si="9"/>
        <v>0.10706261128450194</v>
      </c>
      <c r="G21" s="48">
        <f t="shared" si="9"/>
        <v>27.213309444015174</v>
      </c>
      <c r="H21" s="49">
        <f>$C$40*(D21/$D$33)</f>
        <v>703551.4031430557</v>
      </c>
      <c r="I21" s="50">
        <f>I8</f>
        <v>19276766.352896154</v>
      </c>
      <c r="J21" s="132"/>
      <c r="K21" s="130"/>
      <c r="L21" s="130"/>
      <c r="M21" s="133">
        <f aca="true" t="shared" si="10" ref="M21:M26">SUM(L38:N38)*1000</f>
        <v>735924962.1320481</v>
      </c>
      <c r="N21" s="130"/>
      <c r="O21" s="130"/>
      <c r="P21" s="133">
        <f aca="true" t="shared" si="11" ref="P21:P32">SUM(L38:N38)*1000</f>
        <v>735924962.1320481</v>
      </c>
      <c r="Q21" s="138">
        <f aca="true" t="shared" si="12" ref="Q21:Q26">P21*($I$39+$F$44)</f>
        <v>20314610.508942172</v>
      </c>
      <c r="R21" s="147">
        <f aca="true" t="shared" si="13" ref="R21:R26">I21-Q21</f>
        <v>-1037844.156046018</v>
      </c>
    </row>
    <row r="22" spans="2:18" ht="15">
      <c r="B22" s="44" t="s">
        <v>17</v>
      </c>
      <c r="C22" s="45">
        <f t="shared" si="9"/>
        <v>61072470.68666667</v>
      </c>
      <c r="D22" s="46">
        <f t="shared" si="9"/>
        <v>669074.3333333334</v>
      </c>
      <c r="E22" s="46">
        <f t="shared" si="9"/>
        <v>91.27905173466027</v>
      </c>
      <c r="F22" s="47">
        <f t="shared" si="9"/>
        <v>0.12619695685718033</v>
      </c>
      <c r="G22" s="48">
        <f t="shared" si="9"/>
        <v>32.07690151253214</v>
      </c>
      <c r="H22" s="49">
        <f aca="true" t="shared" si="14" ref="H22:H32">$C$40*(D22/$D$33)</f>
        <v>703724.9483093941</v>
      </c>
      <c r="I22" s="50">
        <f>I9</f>
        <v>22727535.68779238</v>
      </c>
      <c r="J22" s="132"/>
      <c r="K22" s="130"/>
      <c r="L22" s="130"/>
      <c r="M22" s="133">
        <f t="shared" si="10"/>
        <v>709280723.8325242</v>
      </c>
      <c r="N22" s="130"/>
      <c r="O22" s="130"/>
      <c r="P22" s="133">
        <f t="shared" si="11"/>
        <v>709280723.8325242</v>
      </c>
      <c r="Q22" s="138">
        <f t="shared" si="12"/>
        <v>19579117.963894967</v>
      </c>
      <c r="R22" s="147">
        <f t="shared" si="13"/>
        <v>3148417.7238974124</v>
      </c>
    </row>
    <row r="23" spans="2:18" ht="15">
      <c r="B23" s="44" t="s">
        <v>18</v>
      </c>
      <c r="C23" s="45">
        <f t="shared" si="9"/>
        <v>47793072.190000005</v>
      </c>
      <c r="D23" s="46">
        <f t="shared" si="9"/>
        <v>669791</v>
      </c>
      <c r="E23" s="46">
        <f t="shared" si="9"/>
        <v>71.35520213021675</v>
      </c>
      <c r="F23" s="47">
        <f t="shared" si="9"/>
        <v>0.0986514341860002</v>
      </c>
      <c r="G23" s="48">
        <f t="shared" si="9"/>
        <v>25.075345850341126</v>
      </c>
      <c r="H23" s="49">
        <f t="shared" si="14"/>
        <v>704478.7303450049</v>
      </c>
      <c r="I23" s="50">
        <f t="shared" si="9"/>
        <v>17785734.580811806</v>
      </c>
      <c r="J23" s="132"/>
      <c r="K23" s="130"/>
      <c r="L23" s="130"/>
      <c r="M23" s="133">
        <f t="shared" si="10"/>
        <v>513518519.8746442</v>
      </c>
      <c r="N23" s="130"/>
      <c r="O23" s="130"/>
      <c r="P23" s="133">
        <f t="shared" si="11"/>
        <v>513518519.8746442</v>
      </c>
      <c r="Q23" s="138">
        <f t="shared" si="12"/>
        <v>14175261.41545673</v>
      </c>
      <c r="R23" s="147">
        <f t="shared" si="13"/>
        <v>3610473.165355075</v>
      </c>
    </row>
    <row r="24" spans="2:18" ht="15">
      <c r="B24" s="44" t="s">
        <v>19</v>
      </c>
      <c r="C24" s="45">
        <f t="shared" si="9"/>
        <v>32218009.849999998</v>
      </c>
      <c r="D24" s="46">
        <f t="shared" si="9"/>
        <v>670964.3333333334</v>
      </c>
      <c r="E24" s="46">
        <f t="shared" si="9"/>
        <v>48.01747015365446</v>
      </c>
      <c r="F24" s="47">
        <f t="shared" si="9"/>
        <v>0.06638608195653194</v>
      </c>
      <c r="G24" s="48">
        <f t="shared" si="9"/>
        <v>16.87409796364991</v>
      </c>
      <c r="H24" s="49">
        <f t="shared" si="14"/>
        <v>705712.8293056333</v>
      </c>
      <c r="I24" s="50">
        <f t="shared" si="9"/>
        <v>11989624.137072664</v>
      </c>
      <c r="J24" s="132"/>
      <c r="K24" s="130"/>
      <c r="L24" s="130"/>
      <c r="M24" s="133">
        <f t="shared" si="10"/>
        <v>459642196.7899353</v>
      </c>
      <c r="N24" s="130"/>
      <c r="O24" s="130"/>
      <c r="P24" s="133">
        <f t="shared" si="11"/>
        <v>459642196.7899353</v>
      </c>
      <c r="Q24" s="138">
        <f t="shared" si="12"/>
        <v>12688049.3008561</v>
      </c>
      <c r="R24" s="147">
        <f t="shared" si="13"/>
        <v>-698425.1637834366</v>
      </c>
    </row>
    <row r="25" spans="2:18" ht="15">
      <c r="B25" s="44" t="s">
        <v>20</v>
      </c>
      <c r="C25" s="45">
        <f t="shared" si="9"/>
        <v>31076567.22333333</v>
      </c>
      <c r="D25" s="46">
        <f t="shared" si="9"/>
        <v>674079.6666666666</v>
      </c>
      <c r="E25" s="46">
        <f t="shared" si="9"/>
        <v>46.10221723050539</v>
      </c>
      <c r="F25" s="47">
        <f t="shared" si="9"/>
        <v>0.06373816783034417</v>
      </c>
      <c r="G25" s="48">
        <f t="shared" si="9"/>
        <v>16.20104781446531</v>
      </c>
      <c r="H25" s="49">
        <f t="shared" si="14"/>
        <v>708989.5022846194</v>
      </c>
      <c r="I25" s="50">
        <f t="shared" si="9"/>
        <v>11564847.183701463</v>
      </c>
      <c r="J25" s="132"/>
      <c r="K25" s="130"/>
      <c r="L25" s="130"/>
      <c r="M25" s="133">
        <f t="shared" si="10"/>
        <v>498483002.2740186</v>
      </c>
      <c r="N25" s="130"/>
      <c r="O25" s="130"/>
      <c r="P25" s="133">
        <f t="shared" si="11"/>
        <v>498483002.2740186</v>
      </c>
      <c r="Q25" s="138">
        <f t="shared" si="12"/>
        <v>13760218.171139862</v>
      </c>
      <c r="R25" s="147">
        <f t="shared" si="13"/>
        <v>-2195370.9874383993</v>
      </c>
    </row>
    <row r="26" spans="2:18" ht="15">
      <c r="B26" s="44" t="s">
        <v>21</v>
      </c>
      <c r="C26" s="45">
        <f t="shared" si="9"/>
        <v>41301217.63333333</v>
      </c>
      <c r="D26" s="46">
        <f t="shared" si="9"/>
        <v>675517.6666666666</v>
      </c>
      <c r="E26" s="46">
        <f t="shared" si="9"/>
        <v>61.14009991349844</v>
      </c>
      <c r="F26" s="47">
        <f t="shared" si="9"/>
        <v>0.08452864490152971</v>
      </c>
      <c r="G26" s="48">
        <f t="shared" si="9"/>
        <v>21.48559747413511</v>
      </c>
      <c r="H26" s="49">
        <f t="shared" si="14"/>
        <v>710501.9747039803</v>
      </c>
      <c r="I26" s="50">
        <f t="shared" si="9"/>
        <v>15369853.014900131</v>
      </c>
      <c r="J26" s="132"/>
      <c r="K26" s="130"/>
      <c r="L26" s="130"/>
      <c r="M26" s="133">
        <f t="shared" si="10"/>
        <v>598736215.311697</v>
      </c>
      <c r="N26" s="139"/>
      <c r="O26" s="130"/>
      <c r="P26" s="133">
        <f t="shared" si="11"/>
        <v>598736215.311697</v>
      </c>
      <c r="Q26" s="138">
        <f t="shared" si="12"/>
        <v>16527626.64337077</v>
      </c>
      <c r="R26" s="147">
        <f t="shared" si="13"/>
        <v>-1157773.6284706388</v>
      </c>
    </row>
    <row r="27" spans="2:18" ht="15">
      <c r="B27" s="44" t="s">
        <v>22</v>
      </c>
      <c r="C27" s="45">
        <f t="shared" si="9"/>
        <v>45283501.403333336</v>
      </c>
      <c r="D27" s="46">
        <f t="shared" si="9"/>
        <v>677360.6666666666</v>
      </c>
      <c r="E27" s="46">
        <f t="shared" si="9"/>
        <v>66.8528652928376</v>
      </c>
      <c r="F27" s="47">
        <f t="shared" si="9"/>
        <v>0.09242677259250688</v>
      </c>
      <c r="G27" s="48">
        <f t="shared" si="9"/>
        <v>23.493153522919993</v>
      </c>
      <c r="H27" s="49">
        <f t="shared" si="14"/>
        <v>712440.4216225351</v>
      </c>
      <c r="I27" s="50">
        <f t="shared" si="9"/>
        <v>16851821.8215322</v>
      </c>
      <c r="J27" s="132"/>
      <c r="K27" s="130"/>
      <c r="L27" s="130"/>
      <c r="M27" s="133"/>
      <c r="N27" s="130"/>
      <c r="O27" s="130"/>
      <c r="P27" s="140">
        <f t="shared" si="11"/>
        <v>598970360.315992</v>
      </c>
      <c r="Q27" s="138"/>
      <c r="R27" s="145"/>
    </row>
    <row r="28" spans="2:18" ht="15">
      <c r="B28" s="44" t="s">
        <v>23</v>
      </c>
      <c r="C28" s="45">
        <f t="shared" si="9"/>
        <v>38834834.803333335</v>
      </c>
      <c r="D28" s="46">
        <f t="shared" si="9"/>
        <v>679057.6666666666</v>
      </c>
      <c r="E28" s="46">
        <f t="shared" si="9"/>
        <v>57.18930322068868</v>
      </c>
      <c r="F28" s="47">
        <f t="shared" si="9"/>
        <v>0.07906650972024709</v>
      </c>
      <c r="G28" s="48">
        <f t="shared" si="9"/>
        <v>20.09722507101586</v>
      </c>
      <c r="H28" s="49">
        <f t="shared" si="14"/>
        <v>714225.3073636029</v>
      </c>
      <c r="I28" s="50">
        <f t="shared" si="9"/>
        <v>14452012.24051631</v>
      </c>
      <c r="J28" s="132"/>
      <c r="K28" s="130"/>
      <c r="L28" s="130"/>
      <c r="M28" s="133"/>
      <c r="N28" s="130"/>
      <c r="O28" s="130"/>
      <c r="P28" s="140">
        <f t="shared" si="11"/>
        <v>499628128.74337494</v>
      </c>
      <c r="Q28" s="138"/>
      <c r="R28" s="145"/>
    </row>
    <row r="29" spans="2:18" ht="15">
      <c r="B29" s="44" t="s">
        <v>24</v>
      </c>
      <c r="C29" s="45">
        <f t="shared" si="9"/>
        <v>35760104.196666665</v>
      </c>
      <c r="D29" s="46">
        <f t="shared" si="9"/>
        <v>679602.3333333334</v>
      </c>
      <c r="E29" s="46">
        <f t="shared" si="9"/>
        <v>52.619160415870645</v>
      </c>
      <c r="F29" s="47">
        <f t="shared" si="9"/>
        <v>0.07274810365214618</v>
      </c>
      <c r="G29" s="48">
        <f t="shared" si="9"/>
        <v>18.491204654913197</v>
      </c>
      <c r="H29" s="49">
        <f t="shared" si="14"/>
        <v>714798.1817106672</v>
      </c>
      <c r="I29" s="50">
        <f t="shared" si="9"/>
        <v>13307780.66108848</v>
      </c>
      <c r="J29" s="132"/>
      <c r="K29" s="130"/>
      <c r="L29" s="130"/>
      <c r="M29" s="133"/>
      <c r="N29" s="130"/>
      <c r="O29" s="130"/>
      <c r="P29" s="140">
        <f t="shared" si="11"/>
        <v>497085926.3196083</v>
      </c>
      <c r="Q29" s="138"/>
      <c r="R29" s="145"/>
    </row>
    <row r="30" spans="2:18" ht="15">
      <c r="B30" s="44" t="s">
        <v>25</v>
      </c>
      <c r="C30" s="45">
        <f t="shared" si="9"/>
        <v>31946161.78</v>
      </c>
      <c r="D30" s="46">
        <f t="shared" si="9"/>
        <v>680343</v>
      </c>
      <c r="E30" s="46">
        <f t="shared" si="9"/>
        <v>46.955964535535756</v>
      </c>
      <c r="F30" s="47">
        <f t="shared" si="9"/>
        <v>0.06491850778537615</v>
      </c>
      <c r="G30" s="48">
        <f t="shared" si="9"/>
        <v>16.501068111561036</v>
      </c>
      <c r="H30" s="49">
        <f t="shared" si="14"/>
        <v>715577.2066795639</v>
      </c>
      <c r="I30" s="50">
        <f t="shared" si="9"/>
        <v>11888458.478583412</v>
      </c>
      <c r="J30" s="132"/>
      <c r="K30" s="130"/>
      <c r="L30" s="130"/>
      <c r="M30" s="133"/>
      <c r="N30" s="130"/>
      <c r="O30" s="130"/>
      <c r="P30" s="140">
        <f t="shared" si="11"/>
        <v>445029969.08696777</v>
      </c>
      <c r="Q30" s="138"/>
      <c r="R30" s="145"/>
    </row>
    <row r="31" spans="2:18" ht="15">
      <c r="B31" s="44" t="s">
        <v>26</v>
      </c>
      <c r="C31" s="45">
        <f t="shared" si="9"/>
        <v>31395730.98666667</v>
      </c>
      <c r="D31" s="46">
        <f t="shared" si="9"/>
        <v>680623</v>
      </c>
      <c r="E31" s="46">
        <f t="shared" si="9"/>
        <v>46.12793130215504</v>
      </c>
      <c r="F31" s="47">
        <f t="shared" si="9"/>
        <v>0.0637737185676593</v>
      </c>
      <c r="G31" s="48">
        <f t="shared" si="9"/>
        <v>16.210084145672933</v>
      </c>
      <c r="H31" s="49">
        <f t="shared" si="14"/>
        <v>715871.7075678955</v>
      </c>
      <c r="I31" s="50">
        <f t="shared" si="9"/>
        <v>11683620.924797097</v>
      </c>
      <c r="J31" s="132"/>
      <c r="K31" s="130"/>
      <c r="L31" s="130"/>
      <c r="M31" s="133"/>
      <c r="N31" s="130"/>
      <c r="O31" s="130"/>
      <c r="P31" s="140">
        <f t="shared" si="11"/>
        <v>474095983.48340654</v>
      </c>
      <c r="Q31" s="138"/>
      <c r="R31" s="145"/>
    </row>
    <row r="32" spans="2:18" ht="15">
      <c r="B32" s="51" t="s">
        <v>27</v>
      </c>
      <c r="C32" s="45">
        <f t="shared" si="9"/>
        <v>39635498.77666666</v>
      </c>
      <c r="D32" s="46">
        <f t="shared" si="9"/>
        <v>680695.3333333334</v>
      </c>
      <c r="E32" s="46">
        <f t="shared" si="9"/>
        <v>58.227957260370026</v>
      </c>
      <c r="F32" s="47">
        <f t="shared" si="9"/>
        <v>0.0805024906659763</v>
      </c>
      <c r="G32" s="48">
        <f t="shared" si="9"/>
        <v>20.462224517255738</v>
      </c>
      <c r="H32" s="49">
        <f t="shared" si="14"/>
        <v>715947.7869640479</v>
      </c>
      <c r="I32" s="50">
        <f t="shared" si="9"/>
        <v>14749971.678267296</v>
      </c>
      <c r="J32" s="141"/>
      <c r="K32" s="139"/>
      <c r="L32" s="139"/>
      <c r="M32" s="142"/>
      <c r="N32" s="139"/>
      <c r="O32" s="139"/>
      <c r="P32" s="143">
        <f t="shared" si="11"/>
        <v>571576227.8575305</v>
      </c>
      <c r="Q32" s="97"/>
      <c r="R32" s="148"/>
    </row>
    <row r="33" spans="2:18" ht="15.75" thickBot="1">
      <c r="B33" s="59" t="s">
        <v>15</v>
      </c>
      <c r="C33" s="60">
        <f>SUM(C8:C19)</f>
        <v>488116879.1066667</v>
      </c>
      <c r="D33" s="61">
        <f>AVERAGE(D8:D19)</f>
        <v>675501.5277777778</v>
      </c>
      <c r="E33" s="61">
        <f>SUM(E8:E19)</f>
        <v>723.3062825592747</v>
      </c>
      <c r="F33" s="62">
        <f>SUM(F8:F19)</f>
        <v>1.0000000000000002</v>
      </c>
      <c r="G33" s="63">
        <f>SUM(G8:G19)</f>
        <v>254.18126008247754</v>
      </c>
      <c r="H33" s="64">
        <f>AVERAGE(H8:H19)</f>
        <v>715339</v>
      </c>
      <c r="I33" s="65">
        <f>SUM(I8:I19)</f>
        <v>181648026.76195937</v>
      </c>
      <c r="J33" s="123">
        <f>SUM(J8:J13)</f>
        <v>3613637349.4779043</v>
      </c>
      <c r="K33" s="124">
        <f>SUM(K8:K19)</f>
        <v>99344824.59689328</v>
      </c>
      <c r="L33" s="124">
        <f>SUM(L8:L19)</f>
        <v>-630463.6397186778</v>
      </c>
      <c r="M33" s="125">
        <f>SUM(M14:M26)</f>
        <v>6515804508.100455</v>
      </c>
      <c r="N33" s="124">
        <f>SUM(N14:N26)</f>
        <v>82190645.2102538</v>
      </c>
      <c r="O33" s="149">
        <f>SUM(O14:O19)</f>
        <v>743020.5945309978</v>
      </c>
      <c r="P33" s="150">
        <f>SUM(P21:P32)</f>
        <v>6601972216.021748</v>
      </c>
      <c r="Q33" s="151">
        <f>SUM(Q21:Q32)</f>
        <v>97044884.00366059</v>
      </c>
      <c r="R33" s="152">
        <f>SUM(R21:R26)</f>
        <v>1669476.9535139948</v>
      </c>
    </row>
    <row r="34" spans="2:15" ht="15">
      <c r="B34" s="1"/>
      <c r="C34" s="1"/>
      <c r="D34" s="1"/>
      <c r="E34" s="1"/>
      <c r="F34" s="1"/>
      <c r="G34" s="1"/>
      <c r="H34" s="1"/>
      <c r="I34" s="67"/>
      <c r="J34" s="67"/>
      <c r="K34" s="67"/>
      <c r="L34" s="67"/>
      <c r="M34" s="67"/>
      <c r="N34" s="67"/>
      <c r="O34" s="67"/>
    </row>
    <row r="35" ht="15.75" thickBot="1">
      <c r="K35" s="1"/>
    </row>
    <row r="36" spans="2:15" ht="15.75" thickBot="1">
      <c r="B36" s="68"/>
      <c r="C36" s="69"/>
      <c r="D36" s="70"/>
      <c r="E36" s="71" t="s">
        <v>28</v>
      </c>
      <c r="F36" s="72"/>
      <c r="G36" s="73" t="s">
        <v>29</v>
      </c>
      <c r="H36" s="74"/>
      <c r="I36" s="75"/>
      <c r="J36" s="1"/>
      <c r="K36" s="76"/>
      <c r="L36" s="154" t="s">
        <v>0</v>
      </c>
      <c r="M36" s="155"/>
      <c r="N36" s="156"/>
      <c r="O36" s="22" t="s">
        <v>30</v>
      </c>
    </row>
    <row r="37" spans="2:15" ht="15.75" thickBot="1">
      <c r="B37" s="77" t="s">
        <v>31</v>
      </c>
      <c r="C37" s="77" t="s">
        <v>32</v>
      </c>
      <c r="D37" s="77" t="s">
        <v>33</v>
      </c>
      <c r="E37" s="78" t="s">
        <v>34</v>
      </c>
      <c r="F37" s="79" t="s">
        <v>35</v>
      </c>
      <c r="G37" s="80" t="s">
        <v>36</v>
      </c>
      <c r="H37" s="77" t="s">
        <v>0</v>
      </c>
      <c r="I37" s="80" t="s">
        <v>29</v>
      </c>
      <c r="J37" s="1"/>
      <c r="K37" s="81"/>
      <c r="L37" s="82" t="s">
        <v>37</v>
      </c>
      <c r="M37" s="83" t="s">
        <v>38</v>
      </c>
      <c r="N37" s="84" t="s">
        <v>39</v>
      </c>
      <c r="O37" s="85" t="s">
        <v>40</v>
      </c>
    </row>
    <row r="38" spans="2:15" ht="15">
      <c r="B38" s="86" t="s">
        <v>41</v>
      </c>
      <c r="C38" s="86" t="s">
        <v>42</v>
      </c>
      <c r="D38" s="77" t="s">
        <v>43</v>
      </c>
      <c r="E38" s="87" t="s">
        <v>44</v>
      </c>
      <c r="F38" s="88" t="s">
        <v>45</v>
      </c>
      <c r="G38" s="89" t="s">
        <v>46</v>
      </c>
      <c r="H38" s="86" t="s">
        <v>47</v>
      </c>
      <c r="I38" s="89" t="s">
        <v>48</v>
      </c>
      <c r="J38" s="1"/>
      <c r="K38" s="90">
        <f>+'[2]Inputs'!$F$28</f>
        <v>39995</v>
      </c>
      <c r="L38" s="91">
        <v>717249.1824278974</v>
      </c>
      <c r="M38" s="91">
        <v>292.2462513872188</v>
      </c>
      <c r="N38" s="92">
        <v>18383.533452763597</v>
      </c>
      <c r="O38" s="93">
        <v>-0.03</v>
      </c>
    </row>
    <row r="39" spans="2:15" ht="15">
      <c r="B39" s="94">
        <v>207577972.40613934</v>
      </c>
      <c r="C39" s="95">
        <v>715339</v>
      </c>
      <c r="D39" s="96">
        <f>B39/C39</f>
        <v>290.1812600824775</v>
      </c>
      <c r="E39" s="97">
        <f>D39-3*12</f>
        <v>254.18126008247748</v>
      </c>
      <c r="F39" s="98">
        <f>3*C39*12</f>
        <v>25752204</v>
      </c>
      <c r="G39" s="99">
        <f>B39-F39</f>
        <v>181825768.40613934</v>
      </c>
      <c r="H39" s="100">
        <v>6613856237.363493</v>
      </c>
      <c r="I39" s="101">
        <f>G39/H39</f>
        <v>0.027491642073947054</v>
      </c>
      <c r="J39" s="1"/>
      <c r="K39" s="102">
        <f>+'[2]Inputs'!$F$29</f>
        <v>40026</v>
      </c>
      <c r="L39" s="103">
        <v>691843.2472118391</v>
      </c>
      <c r="M39" s="103">
        <v>271.73139113692463</v>
      </c>
      <c r="N39" s="104">
        <v>17165.7452295482</v>
      </c>
      <c r="O39" s="105">
        <v>-0.03</v>
      </c>
    </row>
    <row r="40" spans="2:15" ht="15.75" thickBot="1">
      <c r="B40" s="1"/>
      <c r="C40" s="106">
        <v>710485</v>
      </c>
      <c r="D40" s="107"/>
      <c r="E40" s="1"/>
      <c r="F40" s="1"/>
      <c r="G40" s="1"/>
      <c r="H40" s="1"/>
      <c r="I40" s="1"/>
      <c r="J40" s="1"/>
      <c r="K40" s="102">
        <f>+'[2]Inputs'!$F$30</f>
        <v>40057</v>
      </c>
      <c r="L40" s="103">
        <v>500129.74154361035</v>
      </c>
      <c r="M40" s="103">
        <v>200.19520846665324</v>
      </c>
      <c r="N40" s="104">
        <v>13188.5831225672</v>
      </c>
      <c r="O40" s="105">
        <v>-0.01</v>
      </c>
    </row>
    <row r="41" spans="2:15" ht="15.75" thickBot="1">
      <c r="B41" s="1"/>
      <c r="C41" s="1"/>
      <c r="D41" s="1"/>
      <c r="E41" s="108" t="s">
        <v>49</v>
      </c>
      <c r="F41" s="109" t="s">
        <v>50</v>
      </c>
      <c r="G41" s="1"/>
      <c r="H41" s="1"/>
      <c r="I41" s="1"/>
      <c r="K41" s="102">
        <f>+'[2]Inputs'!$F$31</f>
        <v>40087</v>
      </c>
      <c r="L41" s="103">
        <v>446580.7137202878</v>
      </c>
      <c r="M41" s="103">
        <v>185.77610589985622</v>
      </c>
      <c r="N41" s="104">
        <v>12875.7069637477</v>
      </c>
      <c r="O41" s="105">
        <v>-0.01</v>
      </c>
    </row>
    <row r="42" spans="4:15" ht="15.75" thickBot="1">
      <c r="D42" s="110" t="s">
        <v>51</v>
      </c>
      <c r="E42" s="111">
        <f>L33</f>
        <v>-630463.6397186778</v>
      </c>
      <c r="F42" s="112">
        <f>O33</f>
        <v>743020.5945309978</v>
      </c>
      <c r="K42" s="102">
        <f>+'[2]Inputs'!$F$32</f>
        <v>40118</v>
      </c>
      <c r="L42" s="103">
        <v>483686.9730528401</v>
      </c>
      <c r="M42" s="103">
        <v>216.27642192067944</v>
      </c>
      <c r="N42" s="104">
        <v>14579.7527992578</v>
      </c>
      <c r="O42" s="105">
        <v>-0.01</v>
      </c>
    </row>
    <row r="43" spans="4:15" ht="15.75" thickBot="1">
      <c r="D43" s="110" t="s">
        <v>52</v>
      </c>
      <c r="E43" s="113">
        <f>M33</f>
        <v>6515804508.100455</v>
      </c>
      <c r="F43" s="114">
        <f>P33</f>
        <v>6601972216.021748</v>
      </c>
      <c r="H43" s="115"/>
      <c r="I43" s="115"/>
      <c r="K43" s="102">
        <f>+'[2]Inputs'!$F$33</f>
        <v>40148</v>
      </c>
      <c r="L43" s="103">
        <v>580623.9070896758</v>
      </c>
      <c r="M43" s="103">
        <v>252.8026867481099</v>
      </c>
      <c r="N43" s="104">
        <v>17859.5055352731</v>
      </c>
      <c r="O43" s="105">
        <v>-0.01</v>
      </c>
    </row>
    <row r="44" spans="4:15" ht="15.75" thickBot="1">
      <c r="D44" s="110" t="s">
        <v>53</v>
      </c>
      <c r="E44" s="116">
        <f>E42/E43</f>
        <v>-9.675913986291098E-05</v>
      </c>
      <c r="F44" s="117">
        <f>F42/F43</f>
        <v>0.00011254524711991763</v>
      </c>
      <c r="H44" s="66"/>
      <c r="I44" s="66"/>
      <c r="K44" s="102">
        <f>+'[2]Inputs'!$F$34</f>
        <v>40179</v>
      </c>
      <c r="L44" s="103">
        <v>580266.4137105201</v>
      </c>
      <c r="M44" s="103">
        <v>261.71862055299346</v>
      </c>
      <c r="N44" s="104">
        <v>18442.2279849189</v>
      </c>
      <c r="O44" s="105"/>
    </row>
    <row r="45" spans="3:15" ht="15">
      <c r="C45" s="1"/>
      <c r="G45" s="107"/>
      <c r="H45" s="66"/>
      <c r="I45" s="66"/>
      <c r="K45" s="102">
        <f>+'[2]Inputs'!$F$35</f>
        <v>40210</v>
      </c>
      <c r="L45" s="103">
        <v>482166.50684383244</v>
      </c>
      <c r="M45" s="103">
        <v>222.90009538825655</v>
      </c>
      <c r="N45" s="104">
        <v>17238.7218041543</v>
      </c>
      <c r="O45" s="105"/>
    </row>
    <row r="46" spans="3:15" ht="15">
      <c r="C46" s="1"/>
      <c r="E46" s="118"/>
      <c r="F46" s="118"/>
      <c r="G46" s="107"/>
      <c r="K46" s="102">
        <f>+'[2]Inputs'!$F$36</f>
        <v>40238</v>
      </c>
      <c r="L46" s="103">
        <v>478975.9494753995</v>
      </c>
      <c r="M46" s="103">
        <v>211.8780846074689</v>
      </c>
      <c r="N46" s="104">
        <v>17898.0987596013</v>
      </c>
      <c r="O46" s="105"/>
    </row>
    <row r="47" spans="11:15" ht="15">
      <c r="K47" s="102">
        <f>+'[2]Inputs'!$F$37</f>
        <v>40269</v>
      </c>
      <c r="L47" s="103">
        <v>427850.946298096</v>
      </c>
      <c r="M47" s="103">
        <v>184.1735916479868</v>
      </c>
      <c r="N47" s="104">
        <v>16994.8491972238</v>
      </c>
      <c r="O47" s="105"/>
    </row>
    <row r="48" spans="11:15" ht="15">
      <c r="K48" s="102">
        <f>+'[2]Inputs'!$F$38</f>
        <v>40299</v>
      </c>
      <c r="L48" s="103">
        <v>456447.35470831994</v>
      </c>
      <c r="M48" s="103">
        <v>205.3617796843434</v>
      </c>
      <c r="N48" s="104">
        <v>17443.2669954023</v>
      </c>
      <c r="O48" s="105"/>
    </row>
    <row r="49" spans="11:15" ht="15">
      <c r="K49" s="119">
        <f>+'[2]Inputs'!$F$39</f>
        <v>40330</v>
      </c>
      <c r="L49" s="120">
        <v>553292.1879684991</v>
      </c>
      <c r="M49" s="120">
        <v>234.95247588368278</v>
      </c>
      <c r="N49" s="121">
        <v>18049.0874131477</v>
      </c>
      <c r="O49" s="122"/>
    </row>
  </sheetData>
  <sheetProtection/>
  <mergeCells count="3">
    <mergeCell ref="L36:N36"/>
    <mergeCell ref="C1:Q1"/>
    <mergeCell ref="C2:Q2"/>
  </mergeCells>
  <printOptions/>
  <pageMargins left="0.7" right="0.7" top="0.75" bottom="0.75" header="0.3" footer="0.3"/>
  <pageSetup fitToHeight="1" fitToWidth="1" horizontalDpi="600" verticalDpi="600" orientation="landscape" scale="59" r:id="rId1"/>
  <headerFooter alignWithMargins="0">
    <oddHeader>&amp;R&amp;8 Docket No. 09-035-23
DPU Exhibit 15.4 Phase II</oddHeader>
    <oddFooter>&amp;L&amp;8February 22, 2010&amp;R&amp;8Abdinasir Abdulle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Aabdulle</dc:creator>
  <cp:keywords/>
  <dc:description/>
  <cp:lastModifiedBy>PSC</cp:lastModifiedBy>
  <cp:lastPrinted>2010-02-18T00:10:56Z</cp:lastPrinted>
  <dcterms:created xsi:type="dcterms:W3CDTF">2010-02-17T22:25:43Z</dcterms:created>
  <dcterms:modified xsi:type="dcterms:W3CDTF">2010-02-23T21:23:44Z</dcterms:modified>
  <cp:category/>
  <cp:version/>
  <cp:contentType/>
  <cp:contentStatus/>
</cp:coreProperties>
</file>