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Sch 23 BI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<sst xmlns="http://schemas.openxmlformats.org/spreadsheetml/2006/main" count="43" uniqueCount="26">
  <si>
    <t>Rocky Mountain Power</t>
  </si>
  <si>
    <t>Monthly Billing Comparison</t>
  </si>
  <si>
    <t>Schedule 23 - State of Utah</t>
  </si>
  <si>
    <t>General Service - Distribution Voltage</t>
  </si>
  <si>
    <t>Summer</t>
  </si>
  <si>
    <t>Winter</t>
  </si>
  <si>
    <t>kW</t>
  </si>
  <si>
    <r>
      <t>Monthly Billing</t>
    </r>
    <r>
      <rPr>
        <vertAlign val="superscript"/>
        <sz val="10"/>
        <rFont val="Arial Narrow"/>
        <family val="2"/>
      </rPr>
      <t>1</t>
    </r>
  </si>
  <si>
    <t>Change</t>
  </si>
  <si>
    <t>Load Size</t>
  </si>
  <si>
    <t>kWh</t>
  </si>
  <si>
    <t>Present</t>
  </si>
  <si>
    <t>Proposed</t>
  </si>
  <si>
    <t>$</t>
  </si>
  <si>
    <t>%</t>
  </si>
  <si>
    <t>0 to 15</t>
  </si>
  <si>
    <t>Sch 23</t>
  </si>
  <si>
    <t>Basic Charge</t>
  </si>
  <si>
    <t>Demand</t>
  </si>
  <si>
    <t>Voltage</t>
  </si>
  <si>
    <t>kWh-1st 1,500</t>
  </si>
  <si>
    <t>All other kWh</t>
  </si>
  <si>
    <t>HELP Charge</t>
  </si>
  <si>
    <t>Surcharge</t>
  </si>
  <si>
    <t>Table A Price Change</t>
  </si>
  <si>
    <r>
      <t>1</t>
    </r>
    <r>
      <rPr>
        <sz val="10"/>
        <rFont val="Arial Narrow"/>
        <family val="2"/>
      </rPr>
      <t xml:space="preserve">  Including HELP, DSM and applicable adjustment.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</si>
</sst>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i/>
      <sz val="13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name val="Arial Narrow"/>
      <family val="2"/>
    </font>
    <font>
      <b/>
      <i/>
      <u val="single"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2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164" fontId="3" fillId="0" borderId="0" xfId="55" applyNumberFormat="1" applyFont="1" applyAlignment="1">
      <alignment horizontal="centerContinuous"/>
      <protection/>
    </xf>
    <xf numFmtId="0" fontId="3" fillId="0" borderId="0" xfId="55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4" fillId="0" borderId="0" xfId="55" applyNumberFormat="1" applyFont="1" applyBorder="1" applyAlignment="1">
      <alignment horizontal="left"/>
      <protection/>
    </xf>
    <xf numFmtId="0" fontId="3" fillId="0" borderId="0" xfId="55" applyFont="1" applyBorder="1" applyAlignment="1">
      <alignment horizontal="centerContinuous"/>
      <protection/>
    </xf>
    <xf numFmtId="0" fontId="3" fillId="0" borderId="0" xfId="55" applyFont="1" applyBorder="1">
      <alignment/>
      <protection/>
    </xf>
    <xf numFmtId="164" fontId="5" fillId="0" borderId="0" xfId="55" applyNumberFormat="1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Continuous"/>
      <protection/>
    </xf>
    <xf numFmtId="3" fontId="3" fillId="0" borderId="0" xfId="55" applyNumberFormat="1" applyFont="1">
      <alignment/>
      <protection/>
    </xf>
    <xf numFmtId="164" fontId="3" fillId="0" borderId="0" xfId="55" applyNumberFormat="1" applyFont="1" applyBorder="1" applyAlignment="1">
      <alignment horizontal="centerContinuous"/>
      <protection/>
    </xf>
    <xf numFmtId="164" fontId="5" fillId="0" borderId="10" xfId="55" applyNumberFormat="1" applyFont="1" applyBorder="1" applyAlignment="1">
      <alignment horizontal="centerContinuous"/>
      <protection/>
    </xf>
    <xf numFmtId="0" fontId="3" fillId="0" borderId="10" xfId="55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7" fontId="3" fillId="0" borderId="10" xfId="55" applyNumberFormat="1" applyFont="1" applyBorder="1" applyAlignment="1">
      <alignment horizontal="centerContinuous"/>
      <protection/>
    </xf>
    <xf numFmtId="3" fontId="3" fillId="0" borderId="0" xfId="55" applyNumberFormat="1" applyFont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1" xfId="55" applyNumberFormat="1" applyFont="1" applyBorder="1" applyAlignment="1">
      <alignment horizontal="centerContinuous"/>
      <protection/>
    </xf>
    <xf numFmtId="164" fontId="3" fillId="0" borderId="11" xfId="55" applyNumberFormat="1" applyFont="1" applyBorder="1" applyAlignment="1">
      <alignment horizontal="centerContinuous" wrapText="1"/>
      <protection/>
    </xf>
    <xf numFmtId="7" fontId="3" fillId="0" borderId="10" xfId="55" applyNumberFormat="1" applyFont="1" applyBorder="1" applyAlignment="1">
      <alignment horizontal="center"/>
      <protection/>
    </xf>
    <xf numFmtId="3" fontId="3" fillId="0" borderId="0" xfId="55" applyNumberFormat="1" applyFont="1" applyAlignment="1">
      <alignment horizontal="right"/>
      <protection/>
    </xf>
    <xf numFmtId="164" fontId="3" fillId="0" borderId="0" xfId="55" applyNumberFormat="1" applyFont="1">
      <alignment/>
      <protection/>
    </xf>
    <xf numFmtId="7" fontId="3" fillId="0" borderId="0" xfId="55" applyNumberFormat="1" applyFont="1">
      <alignment/>
      <protection/>
    </xf>
    <xf numFmtId="165" fontId="3" fillId="0" borderId="0" xfId="58" applyNumberFormat="1" applyFont="1" applyAlignment="1">
      <alignment/>
    </xf>
    <xf numFmtId="164" fontId="5" fillId="0" borderId="12" xfId="55" applyNumberFormat="1" applyFont="1" applyBorder="1" applyAlignment="1">
      <alignment horizontal="left"/>
      <protection/>
    </xf>
    <xf numFmtId="0" fontId="5" fillId="0" borderId="11" xfId="55" applyFont="1" applyBorder="1">
      <alignment/>
      <protection/>
    </xf>
    <xf numFmtId="0" fontId="5" fillId="0" borderId="13" xfId="55" applyFont="1" applyBorder="1">
      <alignment/>
      <protection/>
    </xf>
    <xf numFmtId="0" fontId="8" fillId="0" borderId="14" xfId="55" applyFont="1" applyBorder="1" applyAlignment="1">
      <alignment horizontal="left"/>
      <protection/>
    </xf>
    <xf numFmtId="0" fontId="3" fillId="0" borderId="15" xfId="55" applyFont="1" applyBorder="1">
      <alignment/>
      <protection/>
    </xf>
    <xf numFmtId="0" fontId="3" fillId="0" borderId="14" xfId="55" applyFont="1" applyBorder="1">
      <alignment/>
      <protection/>
    </xf>
    <xf numFmtId="10" fontId="3" fillId="0" borderId="0" xfId="58" applyNumberFormat="1" applyFont="1" applyAlignment="1">
      <alignment/>
    </xf>
    <xf numFmtId="3" fontId="9" fillId="0" borderId="0" xfId="55" applyNumberFormat="1" applyFont="1">
      <alignment/>
      <protection/>
    </xf>
    <xf numFmtId="39" fontId="3" fillId="0" borderId="0" xfId="55" applyNumberFormat="1" applyFont="1">
      <alignment/>
      <protection/>
    </xf>
    <xf numFmtId="7" fontId="3" fillId="0" borderId="0" xfId="55" applyNumberFormat="1" applyFont="1" applyBorder="1">
      <alignment/>
      <protection/>
    </xf>
    <xf numFmtId="7" fontId="3" fillId="0" borderId="15" xfId="55" applyNumberFormat="1" applyFont="1" applyBorder="1">
      <alignment/>
      <protection/>
    </xf>
    <xf numFmtId="0" fontId="9" fillId="0" borderId="0" xfId="55" applyFont="1">
      <alignment/>
      <protection/>
    </xf>
    <xf numFmtId="0" fontId="3" fillId="0" borderId="16" xfId="55" applyFont="1" applyBorder="1">
      <alignment/>
      <protection/>
    </xf>
    <xf numFmtId="10" fontId="3" fillId="0" borderId="10" xfId="55" applyNumberFormat="1" applyFont="1" applyBorder="1">
      <alignment/>
      <protection/>
    </xf>
    <xf numFmtId="10" fontId="3" fillId="0" borderId="17" xfId="55" applyNumberFormat="1" applyFont="1" applyBorder="1">
      <alignment/>
      <protection/>
    </xf>
    <xf numFmtId="10" fontId="3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164" fontId="26" fillId="0" borderId="15" xfId="0" applyNumberFormat="1" applyFont="1" applyBorder="1" applyAlignment="1">
      <alignment/>
    </xf>
    <xf numFmtId="166" fontId="26" fillId="0" borderId="15" xfId="0" applyNumberFormat="1" applyFont="1" applyBorder="1" applyAlignment="1">
      <alignment/>
    </xf>
    <xf numFmtId="10" fontId="3" fillId="0" borderId="0" xfId="55" applyNumberFormat="1" applyFont="1" applyBorder="1">
      <alignment/>
      <protection/>
    </xf>
    <xf numFmtId="10" fontId="3" fillId="0" borderId="15" xfId="55" applyNumberFormat="1" applyFont="1" applyBorder="1">
      <alignment/>
      <protection/>
    </xf>
    <xf numFmtId="7" fontId="5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ll Comp Settlement with New DS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9\09-035-RMP\09-035-23%20RMP-GRC\Testimony\RMP\Griffith\Rebuttal\09-035-23%20Griffith%20Prefiled%20Rebuttal%20Testimony%20for%20RMP%20-%2011-12-2009%20-%20Workpapers\Griffith%20Rebuttal%20Work%20Pap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G-1R(Table A)"/>
      <sheetName val="WRG-2R(Res Cust Charge)"/>
      <sheetName val="WRG-3R(Sch1)"/>
      <sheetName val="WRG-3R(Sch6)"/>
      <sheetName val="WRG-3R(Sch8)"/>
      <sheetName val="WRG-3R(Sch9)"/>
      <sheetName val="WRG-3R(Sch10)"/>
      <sheetName val="WRG-3R(Sch23)"/>
      <sheetName val="WRG-4R(Blocking)"/>
      <sheetName val="RateSpread"/>
    </sheetNames>
    <sheetDataSet>
      <sheetData sheetId="0">
        <row r="33">
          <cell r="S33">
            <v>0.03855299713928428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workbookViewId="0" topLeftCell="A1">
      <selection activeCell="L6" sqref="L6"/>
    </sheetView>
  </sheetViews>
  <sheetFormatPr defaultColWidth="9.140625" defaultRowHeight="15"/>
  <cols>
    <col min="1" max="1" width="2.140625" style="0" customWidth="1"/>
    <col min="3" max="3" width="1.28515625" style="0" customWidth="1"/>
    <col min="4" max="4" width="5.7109375" style="0" bestFit="1" customWidth="1"/>
    <col min="5" max="5" width="1.28515625" style="0" customWidth="1"/>
    <col min="6" max="6" width="7.8515625" style="0" bestFit="1" customWidth="1"/>
    <col min="7" max="7" width="1.28515625" style="0" customWidth="1"/>
    <col min="8" max="8" width="7.8515625" style="0" bestFit="1" customWidth="1"/>
    <col min="9" max="9" width="1.1484375" style="0" customWidth="1"/>
    <col min="10" max="10" width="5.421875" style="0" bestFit="1" customWidth="1"/>
    <col min="11" max="11" width="1.1484375" style="0" customWidth="1"/>
    <col min="12" max="12" width="5.57421875" style="0" bestFit="1" customWidth="1"/>
    <col min="13" max="13" width="1.1484375" style="0" customWidth="1"/>
    <col min="14" max="14" width="6.57421875" style="0" bestFit="1" customWidth="1"/>
    <col min="15" max="15" width="1.1484375" style="0" customWidth="1"/>
    <col min="16" max="16" width="7.57421875" style="0" bestFit="1" customWidth="1"/>
    <col min="17" max="17" width="1.28515625" style="0" customWidth="1"/>
    <col min="18" max="18" width="5.421875" style="0" bestFit="1" customWidth="1"/>
    <col min="19" max="19" width="1.28515625" style="0" customWidth="1"/>
    <col min="20" max="20" width="5.57421875" style="0" bestFit="1" customWidth="1"/>
    <col min="22" max="22" width="12.28125" style="0" customWidth="1"/>
  </cols>
  <sheetData>
    <row r="1" spans="2:24" ht="17.25">
      <c r="B1" s="1" t="s">
        <v>0</v>
      </c>
      <c r="C1" s="1"/>
      <c r="D1" s="1"/>
      <c r="E1" s="2"/>
      <c r="F1" s="3"/>
      <c r="G1" s="2"/>
      <c r="H1" s="3"/>
      <c r="I1" s="2"/>
      <c r="J1" s="2"/>
      <c r="K1" s="2"/>
      <c r="L1" s="2"/>
      <c r="M1" s="2"/>
      <c r="N1" s="3"/>
      <c r="O1" s="2"/>
      <c r="P1" s="3"/>
      <c r="Q1" s="2"/>
      <c r="R1" s="2"/>
      <c r="S1" s="2"/>
      <c r="T1" s="2"/>
      <c r="U1" s="4"/>
      <c r="V1" s="4"/>
      <c r="W1" s="4"/>
      <c r="X1" s="4"/>
    </row>
    <row r="2" spans="2:24" ht="17.25">
      <c r="B2" s="1" t="s">
        <v>1</v>
      </c>
      <c r="C2" s="1"/>
      <c r="D2" s="1"/>
      <c r="E2" s="2"/>
      <c r="F2" s="3"/>
      <c r="G2" s="2"/>
      <c r="H2" s="3"/>
      <c r="I2" s="2"/>
      <c r="J2" s="2"/>
      <c r="K2" s="2"/>
      <c r="L2" s="2"/>
      <c r="M2" s="2"/>
      <c r="N2" s="3"/>
      <c r="O2" s="2"/>
      <c r="P2" s="3"/>
      <c r="Q2" s="2"/>
      <c r="R2" s="2"/>
      <c r="S2" s="2"/>
      <c r="T2" s="2"/>
      <c r="U2" s="4"/>
      <c r="V2" s="4"/>
      <c r="W2" s="4"/>
      <c r="X2" s="4"/>
    </row>
    <row r="3" spans="2:24" ht="17.25">
      <c r="B3" s="1" t="s">
        <v>2</v>
      </c>
      <c r="C3" s="1"/>
      <c r="D3" s="1"/>
      <c r="E3" s="2"/>
      <c r="F3" s="3"/>
      <c r="G3" s="2"/>
      <c r="H3" s="3"/>
      <c r="I3" s="2"/>
      <c r="J3" s="2"/>
      <c r="K3" s="2"/>
      <c r="L3" s="2"/>
      <c r="M3" s="2"/>
      <c r="N3" s="3"/>
      <c r="O3" s="2"/>
      <c r="P3" s="3"/>
      <c r="Q3" s="2"/>
      <c r="R3" s="2"/>
      <c r="S3" s="2"/>
      <c r="T3" s="2"/>
      <c r="U3" s="4"/>
      <c r="V3" s="4"/>
      <c r="W3" s="4"/>
      <c r="X3" s="4"/>
    </row>
    <row r="4" spans="2:24" ht="17.25">
      <c r="B4" s="1" t="s">
        <v>3</v>
      </c>
      <c r="C4" s="1"/>
      <c r="D4" s="1"/>
      <c r="E4" s="2"/>
      <c r="F4" s="3"/>
      <c r="G4" s="2"/>
      <c r="H4" s="3"/>
      <c r="I4" s="2"/>
      <c r="J4" s="2"/>
      <c r="K4" s="2"/>
      <c r="L4" s="2"/>
      <c r="M4" s="2"/>
      <c r="N4" s="3"/>
      <c r="O4" s="2"/>
      <c r="P4" s="3"/>
      <c r="Q4" s="2"/>
      <c r="R4" s="2"/>
      <c r="S4" s="2"/>
      <c r="T4" s="2"/>
      <c r="U4" s="4"/>
      <c r="V4" s="4"/>
      <c r="W4" s="4"/>
      <c r="X4" s="4"/>
    </row>
    <row r="5" spans="2:24" ht="15">
      <c r="B5" s="5"/>
      <c r="C5" s="5"/>
      <c r="D5" s="5"/>
      <c r="E5" s="2"/>
      <c r="F5" s="3"/>
      <c r="G5" s="2"/>
      <c r="H5" s="3"/>
      <c r="I5" s="2"/>
      <c r="J5" s="4"/>
      <c r="K5" s="2"/>
      <c r="L5" s="4"/>
      <c r="M5" s="2"/>
      <c r="N5" s="3"/>
      <c r="O5" s="2"/>
      <c r="P5" s="3"/>
      <c r="Q5" s="2"/>
      <c r="R5" s="4"/>
      <c r="S5" s="2"/>
      <c r="T5" s="4"/>
      <c r="U5" s="4"/>
      <c r="V5" s="4"/>
      <c r="W5" s="4"/>
      <c r="X5" s="4"/>
    </row>
    <row r="6" spans="2:24" ht="17.25">
      <c r="B6" s="6"/>
      <c r="C6" s="7"/>
      <c r="D6" s="8"/>
      <c r="E6" s="8"/>
      <c r="F6" s="9"/>
      <c r="G6" s="10"/>
      <c r="H6" s="9"/>
      <c r="I6" s="10"/>
      <c r="J6" s="10"/>
      <c r="K6" s="10"/>
      <c r="L6" s="10"/>
      <c r="M6" s="8"/>
      <c r="N6" s="9"/>
      <c r="O6" s="10"/>
      <c r="P6" s="9"/>
      <c r="Q6" s="10"/>
      <c r="R6" s="10"/>
      <c r="S6" s="10"/>
      <c r="T6" s="10"/>
      <c r="U6" s="4"/>
      <c r="V6" s="4"/>
      <c r="W6" s="4"/>
      <c r="X6" s="4"/>
    </row>
    <row r="7" spans="2:24" ht="15">
      <c r="B7" s="11"/>
      <c r="C7" s="11"/>
      <c r="D7" s="11"/>
      <c r="E7" s="4"/>
      <c r="F7" s="12"/>
      <c r="G7" s="7"/>
      <c r="H7" s="12"/>
      <c r="I7" s="8"/>
      <c r="J7" s="49"/>
      <c r="K7" s="49"/>
      <c r="L7" s="49"/>
      <c r="M7" s="8"/>
      <c r="N7" s="12"/>
      <c r="O7" s="7"/>
      <c r="P7" s="12"/>
      <c r="Q7" s="8"/>
      <c r="R7" s="49"/>
      <c r="S7" s="49"/>
      <c r="T7" s="49"/>
      <c r="U7" s="4"/>
      <c r="V7" s="4"/>
      <c r="W7" s="4"/>
      <c r="X7" s="4"/>
    </row>
    <row r="8" spans="2:24" ht="15">
      <c r="B8" s="11"/>
      <c r="C8" s="11"/>
      <c r="D8" s="11"/>
      <c r="E8" s="4"/>
      <c r="F8" s="13" t="s">
        <v>4</v>
      </c>
      <c r="G8" s="14"/>
      <c r="H8" s="15"/>
      <c r="I8" s="14"/>
      <c r="J8" s="16"/>
      <c r="K8" s="14"/>
      <c r="L8" s="14"/>
      <c r="M8" s="4"/>
      <c r="N8" s="13" t="s">
        <v>5</v>
      </c>
      <c r="O8" s="14"/>
      <c r="P8" s="15"/>
      <c r="Q8" s="14"/>
      <c r="R8" s="16"/>
      <c r="S8" s="14"/>
      <c r="T8" s="14"/>
      <c r="U8" s="4"/>
      <c r="V8" s="4"/>
      <c r="W8" s="4"/>
      <c r="X8" s="4"/>
    </row>
    <row r="9" spans="2:24" ht="15.75">
      <c r="B9" s="17" t="s">
        <v>6</v>
      </c>
      <c r="C9" s="11"/>
      <c r="D9" s="11"/>
      <c r="E9" s="4"/>
      <c r="F9" s="15" t="s">
        <v>7</v>
      </c>
      <c r="G9" s="14"/>
      <c r="H9" s="15"/>
      <c r="I9" s="4"/>
      <c r="J9" s="15" t="s">
        <v>8</v>
      </c>
      <c r="K9" s="14"/>
      <c r="L9" s="15"/>
      <c r="M9" s="4"/>
      <c r="N9" s="15" t="s">
        <v>7</v>
      </c>
      <c r="O9" s="14"/>
      <c r="P9" s="15"/>
      <c r="Q9" s="4"/>
      <c r="R9" s="15" t="s">
        <v>8</v>
      </c>
      <c r="S9" s="14"/>
      <c r="T9" s="15"/>
      <c r="U9" s="4"/>
      <c r="V9" s="4"/>
      <c r="W9" s="4"/>
      <c r="X9" s="4"/>
    </row>
    <row r="10" spans="2:24" ht="15">
      <c r="B10" s="18" t="s">
        <v>9</v>
      </c>
      <c r="C10" s="19"/>
      <c r="D10" s="20" t="s">
        <v>10</v>
      </c>
      <c r="E10" s="4"/>
      <c r="F10" s="21" t="s">
        <v>11</v>
      </c>
      <c r="G10" s="4"/>
      <c r="H10" s="22" t="s">
        <v>12</v>
      </c>
      <c r="I10" s="4"/>
      <c r="J10" s="23" t="s">
        <v>13</v>
      </c>
      <c r="K10" s="4"/>
      <c r="L10" s="18" t="s">
        <v>14</v>
      </c>
      <c r="M10" s="4"/>
      <c r="N10" s="21" t="s">
        <v>11</v>
      </c>
      <c r="O10" s="4"/>
      <c r="P10" s="22" t="s">
        <v>12</v>
      </c>
      <c r="Q10" s="4"/>
      <c r="R10" s="23" t="s">
        <v>13</v>
      </c>
      <c r="S10" s="4"/>
      <c r="T10" s="18" t="s">
        <v>14</v>
      </c>
      <c r="U10" s="4"/>
      <c r="V10" s="4"/>
      <c r="W10" s="4"/>
      <c r="X10" s="4"/>
    </row>
    <row r="11" spans="2:24" ht="15">
      <c r="B11" s="24" t="s">
        <v>15</v>
      </c>
      <c r="C11" s="11"/>
      <c r="D11" s="11">
        <v>0</v>
      </c>
      <c r="E11" s="4"/>
      <c r="F11" s="25">
        <f aca="true" t="shared" si="0" ref="F11:F16">ROUND($W$13+(MIN(1500,$D11)*$W$16/100+MAX(0,$D11-1500)*$W$17/100)*(1+$W$19)+$W$18,2)</f>
        <v>6.42</v>
      </c>
      <c r="G11" s="4"/>
      <c r="H11" s="25">
        <f aca="true" t="shared" si="1" ref="H11:H16">ROUND($X$13+(MIN(1500,$D11)*$X$16/100+MAX(0,$D11-1500)*$X$17/100)*(1+$X$19)+$X$18,2)</f>
        <v>7.42</v>
      </c>
      <c r="I11" s="4"/>
      <c r="J11" s="26">
        <f aca="true" t="shared" si="2" ref="J11:J16">IF(H11="","",H11-F11)</f>
        <v>1</v>
      </c>
      <c r="K11" s="4"/>
      <c r="L11" s="27">
        <f aca="true" t="shared" si="3" ref="L11:L16">IF(F11="","",H11/F11-1)</f>
        <v>0.15576323987538943</v>
      </c>
      <c r="M11" s="4"/>
      <c r="N11" s="25">
        <f aca="true" t="shared" si="4" ref="N11:N16">ROUND($W$21+(MIN(1500,$D11)*$W$24/100+MAX(0,$D11-1500)*$W$25/100)*(1+$W$27)+$W$26,2)</f>
        <v>6.42</v>
      </c>
      <c r="O11" s="4"/>
      <c r="P11" s="25">
        <f aca="true" t="shared" si="5" ref="P11:P16">ROUND($X$21+(MIN(1500,$D11)*$X$24/100+MAX(0,$D11-1500)*$X$25/100)*(1+$X$27)+$X$26,2)</f>
        <v>7.42</v>
      </c>
      <c r="Q11" s="4"/>
      <c r="R11" s="26">
        <f aca="true" t="shared" si="6" ref="R11:R20">IF(P11="","",P11-N11)</f>
        <v>1</v>
      </c>
      <c r="S11" s="4"/>
      <c r="T11" s="27">
        <f aca="true" t="shared" si="7" ref="T11:T16">IF(N11="","",P11/N11-1)</f>
        <v>0.15576323987538943</v>
      </c>
      <c r="U11" s="4"/>
      <c r="V11" s="28" t="s">
        <v>16</v>
      </c>
      <c r="W11" s="29" t="s">
        <v>11</v>
      </c>
      <c r="X11" s="30" t="s">
        <v>12</v>
      </c>
    </row>
    <row r="12" spans="2:24" ht="15">
      <c r="B12" s="11"/>
      <c r="C12" s="11"/>
      <c r="D12" s="11">
        <v>25</v>
      </c>
      <c r="E12" s="4"/>
      <c r="F12" s="25">
        <f t="shared" si="0"/>
        <v>8.98</v>
      </c>
      <c r="G12" s="4"/>
      <c r="H12" s="25">
        <f t="shared" si="1"/>
        <v>9.99</v>
      </c>
      <c r="I12" s="4"/>
      <c r="J12" s="26">
        <f t="shared" si="2"/>
        <v>1.0099999999999998</v>
      </c>
      <c r="K12" s="4"/>
      <c r="L12" s="27">
        <f t="shared" si="3"/>
        <v>0.11247216035634744</v>
      </c>
      <c r="M12" s="4"/>
      <c r="N12" s="25">
        <f t="shared" si="4"/>
        <v>8.78</v>
      </c>
      <c r="O12" s="4"/>
      <c r="P12" s="25">
        <f t="shared" si="5"/>
        <v>9.79</v>
      </c>
      <c r="Q12" s="4"/>
      <c r="R12" s="26">
        <f t="shared" si="6"/>
        <v>1.0099999999999998</v>
      </c>
      <c r="S12" s="4"/>
      <c r="T12" s="27">
        <f t="shared" si="7"/>
        <v>0.11503416856492032</v>
      </c>
      <c r="U12" s="4"/>
      <c r="V12" s="31" t="s">
        <v>4</v>
      </c>
      <c r="W12" s="8"/>
      <c r="X12" s="32"/>
    </row>
    <row r="13" spans="2:24" ht="15">
      <c r="B13" s="11"/>
      <c r="C13" s="11"/>
      <c r="D13" s="11">
        <v>100</v>
      </c>
      <c r="E13" s="4"/>
      <c r="F13" s="25">
        <f t="shared" si="0"/>
        <v>16.67</v>
      </c>
      <c r="G13" s="4"/>
      <c r="H13" s="25">
        <f t="shared" si="1"/>
        <v>17.72</v>
      </c>
      <c r="I13" s="4"/>
      <c r="J13" s="26">
        <f t="shared" si="2"/>
        <v>1.0499999999999972</v>
      </c>
      <c r="K13" s="4"/>
      <c r="L13" s="27">
        <f t="shared" si="3"/>
        <v>0.06298740251949586</v>
      </c>
      <c r="M13" s="4"/>
      <c r="N13" s="25">
        <f t="shared" si="4"/>
        <v>15.86</v>
      </c>
      <c r="O13" s="4"/>
      <c r="P13" s="25">
        <f t="shared" si="5"/>
        <v>16.9</v>
      </c>
      <c r="Q13" s="4"/>
      <c r="R13" s="26">
        <f t="shared" si="6"/>
        <v>1.0399999999999991</v>
      </c>
      <c r="S13" s="4"/>
      <c r="T13" s="27">
        <f t="shared" si="7"/>
        <v>0.06557377049180313</v>
      </c>
      <c r="U13" s="4"/>
      <c r="V13" s="33" t="s">
        <v>17</v>
      </c>
      <c r="W13" s="37">
        <v>6</v>
      </c>
      <c r="X13" s="38">
        <v>7</v>
      </c>
    </row>
    <row r="14" spans="2:24" ht="15">
      <c r="B14" s="11"/>
      <c r="C14" s="11"/>
      <c r="D14" s="11">
        <v>500</v>
      </c>
      <c r="E14" s="4"/>
      <c r="F14" s="25">
        <f t="shared" si="0"/>
        <v>57.68</v>
      </c>
      <c r="G14" s="4"/>
      <c r="H14" s="25">
        <f t="shared" si="1"/>
        <v>58.91</v>
      </c>
      <c r="I14" s="4"/>
      <c r="J14" s="26">
        <f t="shared" si="2"/>
        <v>1.2299999999999969</v>
      </c>
      <c r="K14" s="4"/>
      <c r="L14" s="27">
        <f t="shared" si="3"/>
        <v>0.02132454923717053</v>
      </c>
      <c r="M14" s="4"/>
      <c r="N14" s="25">
        <f t="shared" si="4"/>
        <v>53.6</v>
      </c>
      <c r="O14" s="4"/>
      <c r="P14" s="25">
        <f t="shared" si="5"/>
        <v>54.82</v>
      </c>
      <c r="Q14" s="4"/>
      <c r="R14" s="26">
        <f t="shared" si="6"/>
        <v>1.2199999999999989</v>
      </c>
      <c r="S14" s="4"/>
      <c r="T14" s="27">
        <f t="shared" si="7"/>
        <v>0.022761194029850662</v>
      </c>
      <c r="U14" s="4"/>
      <c r="V14" s="33" t="s">
        <v>18</v>
      </c>
      <c r="W14" s="37">
        <v>7.22</v>
      </c>
      <c r="X14" s="45">
        <v>7.2527631073997165</v>
      </c>
    </row>
    <row r="15" spans="2:24" ht="15">
      <c r="B15" s="11"/>
      <c r="C15" s="11"/>
      <c r="D15" s="11">
        <v>1000</v>
      </c>
      <c r="E15" s="4"/>
      <c r="F15" s="25">
        <f t="shared" si="0"/>
        <v>108.94</v>
      </c>
      <c r="G15" s="4"/>
      <c r="H15" s="25">
        <f t="shared" si="1"/>
        <v>110.41</v>
      </c>
      <c r="I15" s="4"/>
      <c r="J15" s="26">
        <f t="shared" si="2"/>
        <v>1.4699999999999989</v>
      </c>
      <c r="K15" s="4"/>
      <c r="L15" s="27">
        <f t="shared" si="3"/>
        <v>0.013493666238296287</v>
      </c>
      <c r="M15" s="4"/>
      <c r="N15" s="25">
        <f t="shared" si="4"/>
        <v>100.78</v>
      </c>
      <c r="O15" s="4"/>
      <c r="P15" s="25">
        <f t="shared" si="5"/>
        <v>102.21</v>
      </c>
      <c r="Q15" s="4"/>
      <c r="R15" s="26">
        <f t="shared" si="6"/>
        <v>1.4299999999999926</v>
      </c>
      <c r="S15" s="4"/>
      <c r="T15" s="27">
        <f t="shared" si="7"/>
        <v>0.014189323278428256</v>
      </c>
      <c r="U15" s="4"/>
      <c r="V15" s="33" t="s">
        <v>19</v>
      </c>
      <c r="W15" s="37">
        <v>-0.41</v>
      </c>
      <c r="X15" s="45">
        <v>-0.411860508868959</v>
      </c>
    </row>
    <row r="16" spans="2:24" ht="15">
      <c r="B16" s="11"/>
      <c r="C16" s="11"/>
      <c r="D16" s="11">
        <v>2000</v>
      </c>
      <c r="E16" s="4"/>
      <c r="F16" s="25">
        <f t="shared" si="0"/>
        <v>188.94</v>
      </c>
      <c r="G16" s="4"/>
      <c r="H16" s="25">
        <f t="shared" si="1"/>
        <v>190.77</v>
      </c>
      <c r="I16" s="4"/>
      <c r="J16" s="26">
        <f t="shared" si="2"/>
        <v>1.8300000000000125</v>
      </c>
      <c r="K16" s="4"/>
      <c r="L16" s="27">
        <f t="shared" si="3"/>
        <v>0.00968561448078753</v>
      </c>
      <c r="M16" s="4"/>
      <c r="N16" s="25">
        <f t="shared" si="4"/>
        <v>174.42</v>
      </c>
      <c r="O16" s="4"/>
      <c r="P16" s="25">
        <f t="shared" si="5"/>
        <v>176.18</v>
      </c>
      <c r="Q16" s="4"/>
      <c r="R16" s="26">
        <f t="shared" si="6"/>
        <v>1.7600000000000193</v>
      </c>
      <c r="S16" s="4"/>
      <c r="T16" s="27">
        <f t="shared" si="7"/>
        <v>0.010090585941979313</v>
      </c>
      <c r="U16" s="4"/>
      <c r="V16" s="33" t="s">
        <v>20</v>
      </c>
      <c r="W16" s="8">
        <v>9.777</v>
      </c>
      <c r="X16" s="46">
        <v>9.821366329784906</v>
      </c>
    </row>
    <row r="17" spans="2:24" ht="15">
      <c r="B17" s="11"/>
      <c r="C17" s="11"/>
      <c r="D17" s="11"/>
      <c r="E17" s="4"/>
      <c r="F17" s="25"/>
      <c r="G17" s="4"/>
      <c r="H17" s="25"/>
      <c r="I17" s="4"/>
      <c r="J17" s="26"/>
      <c r="K17" s="4"/>
      <c r="L17" s="34"/>
      <c r="M17" s="4"/>
      <c r="N17" s="25"/>
      <c r="O17" s="4"/>
      <c r="P17" s="25"/>
      <c r="Q17" s="4"/>
      <c r="R17" s="26">
        <f t="shared" si="6"/>
      </c>
      <c r="S17" s="4"/>
      <c r="T17" s="34"/>
      <c r="U17" s="4"/>
      <c r="V17" s="33" t="s">
        <v>21</v>
      </c>
      <c r="W17" s="8">
        <v>5.4814</v>
      </c>
      <c r="X17" s="46">
        <v>5.5062736422300285</v>
      </c>
    </row>
    <row r="18" spans="2:24" ht="15">
      <c r="B18" s="11">
        <v>20</v>
      </c>
      <c r="C18" s="11"/>
      <c r="D18" s="11">
        <v>5000</v>
      </c>
      <c r="E18" s="4"/>
      <c r="F18" s="25">
        <f>ROUND($W$13+(($B$18-15)*$W$14+MIN(1500,$D18)*$W$16/100+MAX(0,$D18-1500)*$W$17/100)*(1+$W$19)+$W$18,2)</f>
        <v>399.23</v>
      </c>
      <c r="G18" s="4"/>
      <c r="H18" s="25">
        <f>ROUND($X$13+(($B$18-15)*$X$14+MIN(1500,$D18)*$X$16/100+MAX(0,$D18-1500)*$X$17/100)*(1+$X$19)+$X$18,2)</f>
        <v>402.01</v>
      </c>
      <c r="I18" s="4"/>
      <c r="J18" s="26">
        <f>IF(H18="","",H18-F18)</f>
        <v>2.7799999999999727</v>
      </c>
      <c r="K18" s="4"/>
      <c r="L18" s="27">
        <f>IF(F18="","",H18/F18-1)</f>
        <v>0.006963404553765873</v>
      </c>
      <c r="M18" s="4"/>
      <c r="N18" s="25">
        <f>ROUND($W$21+(($B$18-15)*$W$22+MIN(1500,$D18)*$W$24/100+MAX(0,$D18-1500)*$W$25/100)*(1+$W$27)+$W$26,2)</f>
        <v>371.25</v>
      </c>
      <c r="O18" s="4"/>
      <c r="P18" s="25">
        <f>ROUND($X$21+(($B$18-15)*$X$22+MIN(1500,$D18)*$X$24/100+MAX(0,$D18-1500)*$X$25/100)*(1+$X$27)+$X$26,2)</f>
        <v>373.9</v>
      </c>
      <c r="Q18" s="4"/>
      <c r="R18" s="26">
        <f t="shared" si="6"/>
        <v>2.6499999999999773</v>
      </c>
      <c r="S18" s="4"/>
      <c r="T18" s="27">
        <f>IF(N18="","",P18/N18-1)</f>
        <v>0.00713804713804711</v>
      </c>
      <c r="U18" s="4"/>
      <c r="V18" s="33" t="s">
        <v>22</v>
      </c>
      <c r="W18" s="37">
        <v>0.42</v>
      </c>
      <c r="X18" s="38">
        <v>0.42</v>
      </c>
    </row>
    <row r="19" spans="2:24" ht="15">
      <c r="B19" s="35"/>
      <c r="C19" s="4"/>
      <c r="D19" s="11">
        <v>7500</v>
      </c>
      <c r="E19" s="4"/>
      <c r="F19" s="25">
        <f>ROUND($W$13+(($B$18-15)*$W$14+MIN(1500,$D19)*$W$16/100+MAX(0,$D19-1500)*$W$17/100)*(1+$W$19)+$W$18,2)</f>
        <v>542.92</v>
      </c>
      <c r="G19" s="4"/>
      <c r="H19" s="25">
        <f>ROUND($X$13+(($B$18-15)*$X$14+MIN(1500,$D19)*$X$16/100+MAX(0,$D19-1500)*$X$17/100)*(1+$X$19)+$X$18,2)</f>
        <v>546.36</v>
      </c>
      <c r="I19" s="4"/>
      <c r="J19" s="26">
        <f>IF(H19="","",H19-F19)</f>
        <v>3.4400000000000546</v>
      </c>
      <c r="K19" s="4"/>
      <c r="L19" s="27">
        <f>IF(F19="","",H19/F19-1)</f>
        <v>0.006336108450600619</v>
      </c>
      <c r="M19" s="4"/>
      <c r="N19" s="25">
        <f>ROUND($W$21+(($B$18-15)*$W$22+MIN(1500,$D19)*$W$24/100+MAX(0,$D19-1500)*$W$25/100)*(1+$W$27)+$W$26,2)</f>
        <v>503.51</v>
      </c>
      <c r="O19" s="4"/>
      <c r="P19" s="25">
        <f>ROUND($X$21+(($B$18-15)*$X$22+MIN(1500,$D19)*$X$24/100+MAX(0,$D19-1500)*$X$25/100)*(1+$X$27)+$X$26,2)</f>
        <v>506.76</v>
      </c>
      <c r="Q19" s="4"/>
      <c r="R19" s="26">
        <f t="shared" si="6"/>
        <v>3.25</v>
      </c>
      <c r="S19" s="4"/>
      <c r="T19" s="27">
        <f>IF(N19="","",P19/N19-1)</f>
        <v>0.006454688089611027</v>
      </c>
      <c r="U19" s="4"/>
      <c r="V19" s="33" t="s">
        <v>23</v>
      </c>
      <c r="W19" s="47">
        <v>0.0486</v>
      </c>
      <c r="X19" s="48">
        <v>0.0486</v>
      </c>
    </row>
    <row r="20" spans="2:24" ht="15">
      <c r="B20" s="35"/>
      <c r="C20" s="4"/>
      <c r="D20" s="11">
        <v>10000</v>
      </c>
      <c r="E20" s="4"/>
      <c r="F20" s="25">
        <f>ROUND($W$13+(($B$18-15)*$W$14+MIN(1500,$D20)*$W$16/100+MAX(0,$D20-1500)*$W$17/100)*(1+$W$19)+$W$18,2)</f>
        <v>686.62</v>
      </c>
      <c r="G20" s="4"/>
      <c r="H20" s="25">
        <f>ROUND($X$13+(($B$18-15)*$X$14+MIN(1500,$D20)*$X$16/100+MAX(0,$D20-1500)*$X$17/100)*(1+$X$19)+$X$18,2)</f>
        <v>690.71</v>
      </c>
      <c r="I20" s="4"/>
      <c r="J20" s="26">
        <f>IF(H20="","",H20-F20)</f>
        <v>4.090000000000032</v>
      </c>
      <c r="K20" s="4"/>
      <c r="L20" s="27">
        <f>IF(F20="","",H20/F20-1)</f>
        <v>0.005956715504937371</v>
      </c>
      <c r="M20" s="4"/>
      <c r="N20" s="25">
        <f>ROUND($W$21+(($B$18-15)*$W$22+MIN(1500,$D20)*$W$24/100+MAX(0,$D20-1500)*$W$25/100)*(1+$W$27)+$W$26,2)</f>
        <v>635.77</v>
      </c>
      <c r="O20" s="4"/>
      <c r="P20" s="25">
        <f>ROUND($X$21+(($B$18-15)*$X$22+MIN(1500,$D20)*$X$24/100+MAX(0,$D20-1500)*$X$25/100)*(1+$X$27)+$X$26,2)</f>
        <v>639.62</v>
      </c>
      <c r="Q20" s="4"/>
      <c r="R20" s="26">
        <f t="shared" si="6"/>
        <v>3.8500000000000227</v>
      </c>
      <c r="S20" s="4"/>
      <c r="T20" s="27">
        <f>IF(N20="","",P20/N20-1)</f>
        <v>0.0060556490554761755</v>
      </c>
      <c r="U20" s="4"/>
      <c r="V20" s="31" t="s">
        <v>5</v>
      </c>
      <c r="W20" s="8"/>
      <c r="X20" s="32"/>
    </row>
    <row r="21" spans="2:24" ht="15">
      <c r="B21" s="4"/>
      <c r="C21" s="4"/>
      <c r="D21" s="4"/>
      <c r="E21" s="4"/>
      <c r="F21" s="25"/>
      <c r="G21" s="4"/>
      <c r="H21" s="25"/>
      <c r="I21" s="4"/>
      <c r="J21" s="26"/>
      <c r="K21" s="4"/>
      <c r="L21" s="27"/>
      <c r="M21" s="4"/>
      <c r="N21" s="25"/>
      <c r="O21" s="4"/>
      <c r="P21" s="25"/>
      <c r="Q21" s="4"/>
      <c r="R21" s="26"/>
      <c r="S21" s="4"/>
      <c r="T21" s="36"/>
      <c r="U21" s="4"/>
      <c r="V21" s="33" t="s">
        <v>17</v>
      </c>
      <c r="W21" s="37">
        <v>6</v>
      </c>
      <c r="X21" s="38">
        <v>7</v>
      </c>
    </row>
    <row r="22" spans="2:24" ht="15">
      <c r="B22" s="11">
        <v>25</v>
      </c>
      <c r="C22" s="11"/>
      <c r="D22" s="11">
        <v>7500</v>
      </c>
      <c r="E22" s="39"/>
      <c r="F22" s="25">
        <f>ROUND($W$13+(($B$22-15)*$W$14+MIN(1500,$D22)*$W$16/100+MAX(0,$D22-1500)*$W$17/100)*(1+$W$19)+$W$18,2)</f>
        <v>580.78</v>
      </c>
      <c r="G22" s="4"/>
      <c r="H22" s="25">
        <f>ROUND($X$13+(($B$22-15)*$X$14+MIN(1500,$D22)*$X$16/100+MAX(0,$D22-1500)*$X$17/100)*(1+$X$19)+$X$18,2)</f>
        <v>584.39</v>
      </c>
      <c r="I22" s="4"/>
      <c r="J22" s="26">
        <f>IF(H22="","",H22-F22)</f>
        <v>3.6100000000000136</v>
      </c>
      <c r="K22" s="4"/>
      <c r="L22" s="27">
        <f>IF(F22="","",H22/F22-1)</f>
        <v>0.006215778780261028</v>
      </c>
      <c r="M22" s="39">
        <f>D22/B22/730</f>
        <v>0.410958904109589</v>
      </c>
      <c r="N22" s="25">
        <f>ROUND($W$21+(($B$22-15)*$W$22+MIN(1500,$D22)*$W$24/100+MAX(0,$D22-1500)*$W$25/100)*(1+$W$27)+$W$26,2)</f>
        <v>541.62</v>
      </c>
      <c r="O22" s="4"/>
      <c r="P22" s="25">
        <f>ROUND($X$21+(($B$22-15)*$X$22+MIN(1500,$D22)*$X$24/100+MAX(0,$D22-1500)*$X$25/100)*(1+$X$27)+$X$26,2)</f>
        <v>545.05</v>
      </c>
      <c r="Q22" s="4"/>
      <c r="R22" s="26">
        <f>IF(P22="","",P22-N22)</f>
        <v>3.42999999999995</v>
      </c>
      <c r="S22" s="4"/>
      <c r="T22" s="27">
        <f>IF(N22="","",P22/N22-1)</f>
        <v>0.0063328532919757485</v>
      </c>
      <c r="U22" s="4"/>
      <c r="V22" s="33" t="s">
        <v>18</v>
      </c>
      <c r="W22" s="37">
        <v>7.27</v>
      </c>
      <c r="X22" s="45">
        <v>7.302989998725199</v>
      </c>
    </row>
    <row r="23" spans="2:24" ht="15">
      <c r="B23" s="35"/>
      <c r="C23" s="11"/>
      <c r="D23" s="11">
        <v>10000</v>
      </c>
      <c r="E23" s="39"/>
      <c r="F23" s="25">
        <f>ROUND($W$13+(($B$22-15)*$W$14+MIN(1500,$D23)*$W$16/100+MAX(0,$D23-1500)*$W$17/100)*(1+$W$19)+$W$18,2)</f>
        <v>724.47</v>
      </c>
      <c r="G23" s="4"/>
      <c r="H23" s="25">
        <f>ROUND($X$13+(($B$22-15)*$X$14+MIN(1500,$D23)*$X$16/100+MAX(0,$D23-1500)*$X$17/100)*(1+$X$19)+$X$18,2)</f>
        <v>728.73</v>
      </c>
      <c r="I23" s="4"/>
      <c r="J23" s="26">
        <f>IF(H23="","",H23-F23)</f>
        <v>4.259999999999991</v>
      </c>
      <c r="K23" s="4"/>
      <c r="L23" s="27">
        <f>IF(F23="","",H23/F23-1)</f>
        <v>0.005880160669178736</v>
      </c>
      <c r="M23" s="39">
        <f>D23/B22/730</f>
        <v>0.547945205479452</v>
      </c>
      <c r="N23" s="25">
        <f>ROUND($W$21+(($B$22-15)*$W$22+MIN(1500,$D23)*$W$24/100+MAX(0,$D23-1500)*$W$25/100)*(1+$W$27)+$W$26,2)</f>
        <v>673.88</v>
      </c>
      <c r="O23" s="4"/>
      <c r="P23" s="25">
        <f>ROUND($X$21+(($B$22-15)*$X$22+MIN(1500,$D23)*$X$24/100+MAX(0,$D23-1500)*$X$25/100)*(1+$X$27)+$X$26,2)</f>
        <v>677.91</v>
      </c>
      <c r="Q23" s="4"/>
      <c r="R23" s="26">
        <f>IF(P23="","",P23-N23)</f>
        <v>4.029999999999973</v>
      </c>
      <c r="S23" s="4"/>
      <c r="T23" s="27">
        <f>IF(N23="","",P23/N23-1)</f>
        <v>0.005980293227280775</v>
      </c>
      <c r="U23" s="4"/>
      <c r="V23" s="33" t="s">
        <v>19</v>
      </c>
      <c r="W23" s="37">
        <v>-0.41</v>
      </c>
      <c r="X23" s="38">
        <v>-0.411860508868959</v>
      </c>
    </row>
    <row r="24" spans="2:24" ht="15">
      <c r="B24" s="35"/>
      <c r="C24" s="11"/>
      <c r="D24" s="11">
        <v>12500</v>
      </c>
      <c r="E24" s="39"/>
      <c r="F24" s="25">
        <f>ROUND($W$13+(($B$22-15)*$W$14+MIN(1500,$D24)*$W$16/100+MAX(0,$D24-1500)*$W$17/100)*(1+$W$19)+$W$18,2)</f>
        <v>868.17</v>
      </c>
      <c r="G24" s="4"/>
      <c r="H24" s="25">
        <f>ROUND($X$13+(($B$22-15)*$X$14+MIN(1500,$D24)*$X$16/100+MAX(0,$D24-1500)*$X$17/100)*(1+$X$19)+$X$18,2)</f>
        <v>873.08</v>
      </c>
      <c r="I24" s="4"/>
      <c r="J24" s="26">
        <f>IF(H24="","",H24-F24)</f>
        <v>4.910000000000082</v>
      </c>
      <c r="K24" s="4"/>
      <c r="L24" s="27">
        <f>IF(F24="","",H24/F24-1)</f>
        <v>0.005655574369075378</v>
      </c>
      <c r="M24" s="39">
        <f>D24/B22/730</f>
        <v>0.684931506849315</v>
      </c>
      <c r="N24" s="25">
        <f>ROUND($W$21+(($B$22-15)*$W$22+MIN(1500,$D24)*$W$24/100+MAX(0,$D24-1500)*$W$25/100)*(1+$W$27)+$W$26,2)</f>
        <v>806.14</v>
      </c>
      <c r="O24" s="4"/>
      <c r="P24" s="25">
        <f>ROUND($X$21+(($B$22-15)*$X$22+MIN(1500,$D24)*$X$24/100+MAX(0,$D24-1500)*$X$25/100)*(1+$X$27)+$X$26,2)</f>
        <v>810.77</v>
      </c>
      <c r="Q24" s="4"/>
      <c r="R24" s="26">
        <f>IF(P24="","",P24-N24)</f>
        <v>4.6299999999999955</v>
      </c>
      <c r="S24" s="4"/>
      <c r="T24" s="27">
        <f>IF(N24="","",P24/N24-1)</f>
        <v>0.00574341925720101</v>
      </c>
      <c r="U24" s="4"/>
      <c r="V24" s="33" t="s">
        <v>20</v>
      </c>
      <c r="W24" s="8">
        <v>8.9991</v>
      </c>
      <c r="X24" s="46">
        <v>9.039936354543046</v>
      </c>
    </row>
    <row r="25" spans="2:24" ht="15">
      <c r="B25" s="11"/>
      <c r="C25" s="11"/>
      <c r="D25" s="11"/>
      <c r="E25" s="39"/>
      <c r="F25" s="25"/>
      <c r="G25" s="4"/>
      <c r="H25" s="25"/>
      <c r="I25" s="4"/>
      <c r="J25" s="26"/>
      <c r="K25" s="4"/>
      <c r="L25" s="27"/>
      <c r="M25" s="39"/>
      <c r="N25" s="25"/>
      <c r="O25" s="4"/>
      <c r="P25" s="25"/>
      <c r="Q25" s="4"/>
      <c r="R25" s="26"/>
      <c r="S25" s="4"/>
      <c r="T25" s="27"/>
      <c r="U25" s="4"/>
      <c r="V25" s="33" t="s">
        <v>21</v>
      </c>
      <c r="W25" s="8">
        <v>5.0451999999999995</v>
      </c>
      <c r="X25" s="46">
        <v>5.068094358432281</v>
      </c>
    </row>
    <row r="26" spans="2:24" ht="15">
      <c r="B26" s="11">
        <v>30</v>
      </c>
      <c r="C26" s="11"/>
      <c r="D26" s="11">
        <v>10000</v>
      </c>
      <c r="E26" s="39"/>
      <c r="F26" s="25">
        <f>ROUND($W$13+(($B$26-15)*$W$14+MIN(1500,$D26)*$W$16/100+MAX(0,$D26-1500)*$W$17/100)*(1+$W$19)+$W$18,2)</f>
        <v>762.33</v>
      </c>
      <c r="G26" s="4"/>
      <c r="H26" s="25">
        <f>ROUND($X$13+(($B$26-15)*$X$14+MIN(1500,$D26)*$X$16/100+MAX(0,$D26-1500)*$X$17/100)*(1+$X$19)+$X$18,2)</f>
        <v>766.76</v>
      </c>
      <c r="I26" s="4"/>
      <c r="J26" s="26">
        <f>IF(H26="","",H26-F26)</f>
        <v>4.42999999999995</v>
      </c>
      <c r="K26" s="4"/>
      <c r="L26" s="27">
        <f>IF(F26="","",H26/F26-1)</f>
        <v>0.005811131662140978</v>
      </c>
      <c r="M26" s="39">
        <f>D26/B26/730</f>
        <v>0.45662100456621</v>
      </c>
      <c r="N26" s="25">
        <f>ROUND($W$21+(($B$26-15)*$W$22+MIN(1500,$D26)*$W$24/100+MAX(0,$D26-1500)*$W$25/100)*(1+$W$27)+$W$26,2)</f>
        <v>712</v>
      </c>
      <c r="O26" s="4"/>
      <c r="P26" s="25">
        <f>ROUND($X$21+(($B$26-15)*$X$22+MIN(1500,$D26)*$X$24/100+MAX(0,$D26-1500)*$X$25/100)*(1+$X$27)+$X$26,2)</f>
        <v>716.2</v>
      </c>
      <c r="Q26" s="4"/>
      <c r="R26" s="26">
        <f>IF(P26="","",P26-N26)</f>
        <v>4.2000000000000455</v>
      </c>
      <c r="S26" s="4"/>
      <c r="T26" s="27">
        <f>IF(N26="","",P26/N26-1)</f>
        <v>0.005898876404494491</v>
      </c>
      <c r="U26" s="4"/>
      <c r="V26" s="33" t="s">
        <v>22</v>
      </c>
      <c r="W26" s="37">
        <v>0.42</v>
      </c>
      <c r="X26" s="38">
        <v>0.42</v>
      </c>
    </row>
    <row r="27" spans="2:24" ht="15">
      <c r="B27" s="35"/>
      <c r="C27" s="4"/>
      <c r="D27" s="11">
        <v>12500</v>
      </c>
      <c r="E27" s="39"/>
      <c r="F27" s="25">
        <f>ROUND($W$13+(($B$26-15)*$W$14+MIN(1500,$D27)*$W$16/100+MAX(0,$D27-1500)*$W$17/100)*(1+$W$19)+$W$18,2)</f>
        <v>906.02</v>
      </c>
      <c r="G27" s="4"/>
      <c r="H27" s="25">
        <f>ROUND($X$13+(($B$26-15)*$X$14+MIN(1500,$D27)*$X$16/100+MAX(0,$D27-1500)*$X$17/100)*(1+$X$19)+$X$18,2)</f>
        <v>911.11</v>
      </c>
      <c r="I27" s="4"/>
      <c r="J27" s="26">
        <f>IF(H27="","",H27-F27)</f>
        <v>5.090000000000032</v>
      </c>
      <c r="K27" s="4"/>
      <c r="L27" s="27">
        <f>IF(F27="","",H27/F27-1)</f>
        <v>0.005617977528090012</v>
      </c>
      <c r="M27" s="39">
        <f>D27/B26/730</f>
        <v>0.5707762557077626</v>
      </c>
      <c r="N27" s="25">
        <f>ROUND($W$21+(($B$26-15)*$W$22+MIN(1500,$D27)*$W$24/100+MAX(0,$D27-1500)*$W$25/100)*(1+$W$27)+$W$26,2)</f>
        <v>844.26</v>
      </c>
      <c r="O27" s="4"/>
      <c r="P27" s="25">
        <f>ROUND($X$21+(($B$26-15)*$X$22+MIN(1500,$D27)*$X$24/100+MAX(0,$D27-1500)*$X$25/100)*(1+$X$27)+$X$26,2)</f>
        <v>849.06</v>
      </c>
      <c r="Q27" s="4"/>
      <c r="R27" s="26">
        <f>IF(P27="","",P27-N27)</f>
        <v>4.7999999999999545</v>
      </c>
      <c r="S27" s="4"/>
      <c r="T27" s="27">
        <f>IF(N27="","",P27/N27-1)</f>
        <v>0.005685452348802356</v>
      </c>
      <c r="U27" s="4"/>
      <c r="V27" s="40" t="s">
        <v>23</v>
      </c>
      <c r="W27" s="41">
        <v>0.0486</v>
      </c>
      <c r="X27" s="42">
        <v>0.0486</v>
      </c>
    </row>
    <row r="28" spans="2:24" ht="15">
      <c r="B28" s="35"/>
      <c r="C28" s="4"/>
      <c r="D28" s="11">
        <v>15000</v>
      </c>
      <c r="E28" s="39"/>
      <c r="F28" s="25">
        <f>ROUND($W$13+(($B$26-15)*$W$14+MIN(1500,$D28)*$W$16/100+MAX(0,$D28-1500)*$W$17/100)*(1+$W$19)+$W$18,2)</f>
        <v>1049.72</v>
      </c>
      <c r="G28" s="4"/>
      <c r="H28" s="25">
        <f>ROUND($X$13+(($B$26-15)*$X$14+MIN(1500,$D28)*$X$16/100+MAX(0,$D28-1500)*$X$17/100)*(1+$X$19)+$X$18,2)</f>
        <v>1055.45</v>
      </c>
      <c r="I28" s="4"/>
      <c r="J28" s="26">
        <f>IF(H28="","",H28-F28)</f>
        <v>5.730000000000018</v>
      </c>
      <c r="K28" s="4"/>
      <c r="L28" s="27">
        <f>IF(F28="","",H28/F28-1)</f>
        <v>0.005458598483405019</v>
      </c>
      <c r="M28" s="39">
        <f>D28/B26/730</f>
        <v>0.684931506849315</v>
      </c>
      <c r="N28" s="25">
        <f>ROUND($W$21+(($B$26-15)*$W$22+MIN(1500,$D28)*$W$24/100+MAX(0,$D28-1500)*$W$25/100)*(1+$W$27)+$W$26,2)</f>
        <v>976.52</v>
      </c>
      <c r="O28" s="4"/>
      <c r="P28" s="25">
        <f>ROUND($X$21+(($B$26-15)*$X$22+MIN(1500,$D28)*$X$24/100+MAX(0,$D28-1500)*$X$25/100)*(1+$X$27)+$X$26,2)</f>
        <v>981.92</v>
      </c>
      <c r="Q28" s="4"/>
      <c r="R28" s="26">
        <f>IF(P28="","",P28-N28)</f>
        <v>5.399999999999977</v>
      </c>
      <c r="S28" s="4"/>
      <c r="T28" s="27">
        <f>IF(N28="","",P28/N28-1)</f>
        <v>0.005529840658665464</v>
      </c>
      <c r="U28" s="4"/>
      <c r="V28" s="4"/>
      <c r="W28" s="4"/>
      <c r="X28" s="4"/>
    </row>
    <row r="29" spans="2:24" ht="15">
      <c r="B29" s="4"/>
      <c r="C29" s="4"/>
      <c r="D29" s="4"/>
      <c r="E29" s="39"/>
      <c r="F29" s="25"/>
      <c r="G29" s="4"/>
      <c r="H29" s="25"/>
      <c r="I29" s="4"/>
      <c r="J29" s="26"/>
      <c r="K29" s="4"/>
      <c r="L29" s="34"/>
      <c r="M29" s="39"/>
      <c r="N29" s="25"/>
      <c r="O29" s="4"/>
      <c r="P29" s="25"/>
      <c r="Q29" s="4"/>
      <c r="R29" s="26"/>
      <c r="S29" s="4"/>
      <c r="T29" s="34"/>
      <c r="U29" s="4"/>
      <c r="V29" s="4" t="s">
        <v>24</v>
      </c>
      <c r="W29" s="4"/>
      <c r="X29" s="43">
        <f>'[1]WRG-1R(Table A)'!S33</f>
        <v>0.03855299713928428</v>
      </c>
    </row>
    <row r="30" spans="2:24" ht="15.75">
      <c r="B30" s="44" t="s">
        <v>25</v>
      </c>
      <c r="C30" s="11"/>
      <c r="D30" s="11"/>
      <c r="E30" s="39"/>
      <c r="F30" s="25"/>
      <c r="G30" s="4"/>
      <c r="H30" s="25"/>
      <c r="I30" s="4"/>
      <c r="J30" s="26"/>
      <c r="K30" s="4"/>
      <c r="L30" s="34"/>
      <c r="M30" s="39"/>
      <c r="N30" s="25"/>
      <c r="O30" s="4"/>
      <c r="P30" s="25"/>
      <c r="Q30" s="4"/>
      <c r="R30" s="26"/>
      <c r="S30" s="4"/>
      <c r="T30" s="34"/>
      <c r="U30" s="4"/>
      <c r="V30" s="4"/>
      <c r="W30" s="4"/>
      <c r="X30" s="4"/>
    </row>
  </sheetData>
  <sheetProtection/>
  <mergeCells count="2">
    <mergeCell ref="J7:L7"/>
    <mergeCell ref="R7:T7"/>
  </mergeCells>
  <printOptions/>
  <pageMargins left="0.7" right="0.7" top="0.75" bottom="0.75" header="0.3" footer="0.3"/>
  <pageSetup fitToHeight="1" fitToWidth="1" horizontalDpi="600" verticalDpi="600" orientation="landscape" r:id="rId1"/>
  <headerFooter alignWithMargins="0">
    <oddHeader>&amp;R&amp;"Arial Narrow,Regular"&amp;8Docket No. 09-035-23
DPU Exhibit 15.19 Phase II</oddHeader>
    <oddFooter>&amp;L&amp;"Arial Narrow,Regular"&amp;8February 22, 2010&amp;R&amp;"Arial Narrow,Regular"&amp;8Abdinasir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PSC</cp:lastModifiedBy>
  <cp:lastPrinted>2010-02-22T19:26:01Z</cp:lastPrinted>
  <dcterms:created xsi:type="dcterms:W3CDTF">2010-02-21T23:42:14Z</dcterms:created>
  <dcterms:modified xsi:type="dcterms:W3CDTF">2010-02-24T16:18:43Z</dcterms:modified>
  <cp:category/>
  <cp:version/>
  <cp:contentType/>
  <cp:contentStatus/>
</cp:coreProperties>
</file>