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31" windowWidth="15285" windowHeight="8820" tabRatio="685" activeTab="3"/>
  </bookViews>
  <sheets>
    <sheet name="Historical" sheetId="1" r:id="rId1"/>
    <sheet name="Cash Flow" sheetId="2" r:id="rId2"/>
    <sheet name="Assumptions" sheetId="3" r:id="rId3"/>
    <sheet name="Forecast " sheetId="4" r:id="rId4"/>
  </sheets>
  <definedNames>
    <definedName name="_xlnm.Print_Area" localSheetId="2">'Assumptions'!$A$1:$R$68</definedName>
    <definedName name="_xlnm.Print_Area" localSheetId="1">'Cash Flow'!$A$1:$H$50</definedName>
    <definedName name="_xlnm.Print_Area" localSheetId="3">'Forecast '!$A$1:$I$250</definedName>
    <definedName name="_xlnm.Print_Area" localSheetId="0">'Historical'!$A$1:$H$290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<sst xmlns="http://schemas.openxmlformats.org/spreadsheetml/2006/main" count="396" uniqueCount="245">
  <si>
    <t>::</t>
  </si>
  <si>
    <t>Account Name</t>
  </si>
  <si>
    <t>Additional Loans</t>
  </si>
  <si>
    <t>Asset-utilization Ratios:</t>
  </si>
  <si>
    <t>Average</t>
  </si>
  <si>
    <t>Avg. Annual</t>
  </si>
  <si>
    <t>Cash &amp; Equivalents</t>
  </si>
  <si>
    <t>computed by forecast model</t>
  </si>
  <si>
    <t>Current</t>
  </si>
  <si>
    <t>Current Assets:</t>
  </si>
  <si>
    <t>Current Liabilities:</t>
  </si>
  <si>
    <t>Days Revenues Receivable</t>
  </si>
  <si>
    <t>Deferred Income Taxes</t>
  </si>
  <si>
    <t>Depreciation Rate</t>
  </si>
  <si>
    <t xml:space="preserve">Dividend Payout </t>
  </si>
  <si>
    <t>Earnings Before Taxes</t>
  </si>
  <si>
    <t>Earnings From Operations</t>
  </si>
  <si>
    <t>FORECAST ASSUMPTIONS</t>
  </si>
  <si>
    <t>Historical</t>
  </si>
  <si>
    <t>Historical Income Statements</t>
  </si>
  <si>
    <t>Income Tax Rate</t>
  </si>
  <si>
    <t>Income Taxes</t>
  </si>
  <si>
    <t>Inflation (GDP)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</si>
  <si>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</si>
  <si>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</si>
  <si>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</si>
  <si>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</si>
  <si>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</si>
  <si>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</si>
  <si>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Operating Revenues:</t>
  </si>
  <si>
    <t>Operating Sales and Revenues: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</si>
  <si>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</si>
  <si>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</si>
  <si>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</si>
  <si>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</si>
  <si>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</si>
  <si>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</si>
  <si>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</si>
  <si>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</si>
  <si>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</si>
  <si>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</si>
  <si>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</si>
  <si>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</si>
  <si>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</si>
  <si>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Surplus Cash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</si>
  <si>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</si>
  <si>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</si>
  <si>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</si>
  <si>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</si>
  <si>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</si>
  <si>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</si>
  <si>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</si>
  <si>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</si>
  <si>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</si>
  <si>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Forecast Balance Sheets</t>
  </si>
  <si>
    <t>Company Name</t>
  </si>
  <si>
    <t>Forecast Income Statements</t>
  </si>
  <si>
    <t>Common Size</t>
  </si>
  <si>
    <t>Historical Balance Sheets</t>
  </si>
  <si>
    <t>Forecast</t>
  </si>
  <si>
    <t>Historical Financial Ratios</t>
  </si>
  <si>
    <t>of revenue</t>
  </si>
  <si>
    <t xml:space="preserve">   Depreciation and amortization</t>
  </si>
  <si>
    <t xml:space="preserve">   Taxes, other than income taxes</t>
  </si>
  <si>
    <t xml:space="preserve">   Interest expense (net)</t>
  </si>
  <si>
    <t xml:space="preserve">   Other Income (Expense)</t>
  </si>
  <si>
    <t>Total Other Income/Expense</t>
  </si>
  <si>
    <t>Extraordinary Items</t>
  </si>
  <si>
    <t>Total Revenues</t>
  </si>
  <si>
    <t xml:space="preserve">   Loss (Gain) on Sale of Assets</t>
  </si>
  <si>
    <t>Preferred Stock Dividends</t>
  </si>
  <si>
    <t xml:space="preserve">  Construction Work in Progress</t>
  </si>
  <si>
    <t>Other PP&amp;E</t>
  </si>
  <si>
    <t>Accumulated Depreciation &amp; Amort.</t>
  </si>
  <si>
    <t>Net Plant &amp; Equipment</t>
  </si>
  <si>
    <t>Regulatory Assets</t>
  </si>
  <si>
    <t>Long-Term Debt</t>
  </si>
  <si>
    <t>Other Deferred Credits</t>
  </si>
  <si>
    <t>Total LTD &amp; Deferrals</t>
  </si>
  <si>
    <t>Total Plant &amp; Equipment:</t>
  </si>
  <si>
    <t>Common Equity:</t>
  </si>
  <si>
    <t>Return On Total Capital</t>
  </si>
  <si>
    <t>Profitability Ratios:</t>
  </si>
  <si>
    <t>Other Assets:</t>
  </si>
  <si>
    <t>Total Other Assets</t>
  </si>
  <si>
    <t>Calculated on forecast sheet</t>
  </si>
  <si>
    <t>avg. of hist. amounts</t>
  </si>
  <si>
    <t>calculation</t>
  </si>
  <si>
    <t>average</t>
  </si>
  <si>
    <t>by assumption</t>
  </si>
  <si>
    <t>of pfd. Stock balance</t>
  </si>
  <si>
    <t>approx. hist. avg.</t>
  </si>
  <si>
    <t>of total assets</t>
  </si>
  <si>
    <t>avg.</t>
  </si>
  <si>
    <t>approx. hist. average</t>
  </si>
  <si>
    <t>latest year</t>
  </si>
  <si>
    <t>or revenues</t>
  </si>
  <si>
    <t>calculated</t>
  </si>
  <si>
    <t>fixed at latest year</t>
  </si>
  <si>
    <t>Goodwill</t>
  </si>
  <si>
    <t>Acounts Payable</t>
  </si>
  <si>
    <t xml:space="preserve">   Operating and Maintenance</t>
  </si>
  <si>
    <t>Accounts Receivable, net</t>
  </si>
  <si>
    <t>Years Ended December 31</t>
  </si>
  <si>
    <t>no preferred stock</t>
  </si>
  <si>
    <t>Exhibit 1</t>
  </si>
  <si>
    <t>Annual Rate 2.50%</t>
  </si>
  <si>
    <t xml:space="preserve">   Interest and Other Income</t>
  </si>
  <si>
    <t>Plant in Service</t>
  </si>
  <si>
    <t>Averages</t>
  </si>
  <si>
    <t>Capital Structure (Regulatory):</t>
  </si>
  <si>
    <t>Common Equity</t>
  </si>
  <si>
    <t>Capital Structure:</t>
  </si>
  <si>
    <t>Short-Term Debt</t>
  </si>
  <si>
    <t>2006e</t>
  </si>
  <si>
    <t>2007e</t>
  </si>
  <si>
    <t xml:space="preserve"> </t>
  </si>
  <si>
    <t>assumes about two weeks of cash</t>
  </si>
  <si>
    <t>1/24th of revenues</t>
  </si>
  <si>
    <t>approx. hist. average, 2004-2007</t>
  </si>
  <si>
    <t>Patrons Capital</t>
  </si>
  <si>
    <t>annual growth</t>
  </si>
  <si>
    <t>Revenues</t>
  </si>
  <si>
    <t>Other Revenues</t>
  </si>
  <si>
    <t>inflation growth rate</t>
  </si>
  <si>
    <t>Operating Revenues</t>
  </si>
  <si>
    <t>of plant in service</t>
  </si>
  <si>
    <t xml:space="preserve">      Additional Revenue Requirements</t>
  </si>
  <si>
    <t>Page 1 of 5</t>
  </si>
  <si>
    <t>Page 5 of 5</t>
  </si>
  <si>
    <t>Page 4 of 5</t>
  </si>
  <si>
    <t>Page 3 of 5</t>
  </si>
  <si>
    <t>Page 2 of 5</t>
  </si>
  <si>
    <t>Return of Patronage Capital</t>
  </si>
  <si>
    <t>approximate current yield on money market funds</t>
  </si>
  <si>
    <t>of LTD (including Current)</t>
  </si>
  <si>
    <t>2006 estimated weighted average yield on existing debt</t>
  </si>
  <si>
    <t>Current Portion of LTD</t>
  </si>
  <si>
    <t>Customer Deposits</t>
  </si>
  <si>
    <t>Cost of Purchased Power</t>
  </si>
  <si>
    <t xml:space="preserve">   Other (Income) Expense</t>
  </si>
  <si>
    <t>approx. 2004-2007 hist. avg.</t>
  </si>
  <si>
    <t>approx. 2004-2007 hist. median</t>
  </si>
  <si>
    <t>of reveneues</t>
  </si>
  <si>
    <t>approx. hist. avg. (2004-2007)</t>
  </si>
  <si>
    <t>Approximate 2007 amount</t>
  </si>
  <si>
    <t>annualized 2008 plus inflation going forward</t>
  </si>
  <si>
    <t>Annual Rate 3.5%</t>
  </si>
  <si>
    <t>of patronage capital</t>
  </si>
  <si>
    <t>approximate 2004-2007 median</t>
  </si>
  <si>
    <t>Total Patronage Equity</t>
  </si>
  <si>
    <t>set at zero, plant in service is total amount</t>
  </si>
  <si>
    <t>of LTD</t>
  </si>
  <si>
    <t>Interest on LTD</t>
  </si>
  <si>
    <t>2004-2007 avg. growth to reflect addition of new patrons and remove some of retained earnings</t>
  </si>
  <si>
    <t>avg. % of PP&amp;E</t>
  </si>
  <si>
    <t>Administrative and General Expenses</t>
  </si>
  <si>
    <t>only pays income taxes on unregulated propane sub.</t>
  </si>
  <si>
    <t>Return of Patrons Capital</t>
  </si>
  <si>
    <t>2008 est. from Nov. balance sheet, after 2008 growth rate average of last year's Co. growth rate and inflation</t>
  </si>
  <si>
    <t>Historical Average</t>
  </si>
  <si>
    <t>Forecast Financial Ratios</t>
  </si>
  <si>
    <t>Constant</t>
  </si>
  <si>
    <t>Added per year</t>
  </si>
  <si>
    <t>Net Margin</t>
  </si>
  <si>
    <t>BS</t>
  </si>
  <si>
    <t>IS</t>
  </si>
  <si>
    <t>Exhibit 2</t>
  </si>
  <si>
    <t>Loan Covenants:</t>
  </si>
  <si>
    <t>Debt Coverage Ratio &gt; 1.35</t>
  </si>
  <si>
    <t>Return On Patrons Capital</t>
  </si>
  <si>
    <t>Flowell Electric Association, Inc.</t>
  </si>
  <si>
    <t>2005 to 2009</t>
  </si>
  <si>
    <t>Other Current and Accrued Liabilities</t>
  </si>
  <si>
    <t>Other Capital Credits and Patronage Div</t>
  </si>
  <si>
    <t>Residential Sales</t>
  </si>
  <si>
    <t>Irrigation Sales</t>
  </si>
  <si>
    <t>Commercial &amp; Industrial Sales</t>
  </si>
  <si>
    <t xml:space="preserve">     Small (or Commercial)</t>
  </si>
  <si>
    <t xml:space="preserve">     Large (or Industrial)</t>
  </si>
  <si>
    <t>Operating Revenue</t>
  </si>
  <si>
    <t>Average Number of Customers</t>
  </si>
  <si>
    <t>Other Sales or Public Authority</t>
  </si>
  <si>
    <t>Total</t>
  </si>
  <si>
    <t>Purchased Power</t>
  </si>
  <si>
    <t>Kilowatt-Hours purchased</t>
  </si>
  <si>
    <t>Cost per Kilowatt-hour</t>
  </si>
  <si>
    <t>Patronage Capital Credit - DG&amp;T</t>
  </si>
  <si>
    <t>Investment in CFC and Others</t>
  </si>
  <si>
    <t>Perpetual Line of Credit</t>
  </si>
  <si>
    <t>Accrued Expenses</t>
  </si>
  <si>
    <t>Residential</t>
  </si>
  <si>
    <t xml:space="preserve">Irrigation </t>
  </si>
  <si>
    <t xml:space="preserve">Commercial &amp; Industrial </t>
  </si>
  <si>
    <t>Supplemental Information</t>
  </si>
  <si>
    <t>Kilowatt-Hours Purchased less Sales</t>
  </si>
  <si>
    <t>Percentage Difference</t>
  </si>
  <si>
    <t>Debt Service Coverage Ratio &gt; 1.35</t>
  </si>
  <si>
    <t>Interest (Surplus Cash)/Add. Loans</t>
  </si>
  <si>
    <t xml:space="preserve">   Administrative and General</t>
  </si>
  <si>
    <t>Per Year</t>
  </si>
  <si>
    <t>Historical Cash Flow Statements</t>
  </si>
  <si>
    <t>Cash flows from operating activities:</t>
  </si>
  <si>
    <t xml:space="preserve">   Adjustments to reconcile net income</t>
  </si>
  <si>
    <t xml:space="preserve">       Depreciation and amortization</t>
  </si>
  <si>
    <t xml:space="preserve">       Cumulative Affect of Accounting Chng and Other</t>
  </si>
  <si>
    <t xml:space="preserve">      Other Assets and Liabilities</t>
  </si>
  <si>
    <t>Net cash provided by operating activities</t>
  </si>
  <si>
    <t>Cash flows from investing activities:</t>
  </si>
  <si>
    <t xml:space="preserve">     Proceeds from sales of assets</t>
  </si>
  <si>
    <t xml:space="preserve">     Other</t>
  </si>
  <si>
    <t>Net cash used in investing activities</t>
  </si>
  <si>
    <t>Cash flows from financing activities:</t>
  </si>
  <si>
    <t xml:space="preserve">     Long-term debt repaid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</si>
  <si>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</si>
  <si>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</si>
  <si>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</si>
  <si>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</si>
  <si>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 xml:space="preserve">   Net Margin</t>
  </si>
  <si>
    <t xml:space="preserve">       Accretion of deferred revenue</t>
  </si>
  <si>
    <t xml:space="preserve">       Accretion of gain (Debt Restructure)</t>
  </si>
  <si>
    <t xml:space="preserve">      (Increase)/Decrease CFC Investment</t>
  </si>
  <si>
    <t xml:space="preserve">   Changes in Assets &amp; Liabilities: </t>
  </si>
  <si>
    <t xml:space="preserve">      Increase/(Decrease) Accts Payable</t>
  </si>
  <si>
    <t xml:space="preserve">      (Increase)/Decrease Accts Receivable</t>
  </si>
  <si>
    <t xml:space="preserve">      Increase/(Decrease) Deposits</t>
  </si>
  <si>
    <t xml:space="preserve">      Increase/(Decrease) Accrued Expense</t>
  </si>
  <si>
    <t xml:space="preserve">     Customer Advances and Impact Fees</t>
  </si>
  <si>
    <t>Kilowatt-hours Sold - Dollars</t>
  </si>
  <si>
    <t>Kilowatt-hours Sold - Percent</t>
  </si>
  <si>
    <t>Deferred Revenue - Impact Fees</t>
  </si>
  <si>
    <t xml:space="preserve">     Refund of Capital Credits</t>
  </si>
  <si>
    <t xml:space="preserve">      Increase/(Decrease) Impact Fees</t>
  </si>
  <si>
    <t xml:space="preserve">     Additions to Utility Plant</t>
  </si>
  <si>
    <t xml:space="preserve">     Retirement of Utility Plant</t>
  </si>
  <si>
    <t xml:space="preserve">     Proceeds from new borrowings</t>
  </si>
  <si>
    <t xml:space="preserve">Historical Average </t>
  </si>
  <si>
    <t>Patronage Capital Credits</t>
  </si>
  <si>
    <t>page 3 of 7</t>
  </si>
  <si>
    <t>page 2 of 7</t>
  </si>
  <si>
    <t>page 6 of 7</t>
  </si>
  <si>
    <t>page 1 of 7</t>
  </si>
  <si>
    <t>page 4 of 7</t>
  </si>
  <si>
    <t>Page 5 of 7</t>
  </si>
  <si>
    <t>page 7 of 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</si>
</sst>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  <numFmt numFmtId="166" formatCode="0.0000%"/>
    <numFmt numFmtId="167" formatCode="[$-409]mmmm\ d\,\ yyyy;@"/>
    <numFmt numFmtId="168" formatCode="[$-409]d\-mmm\-yy;@"/>
    <numFmt numFmtId="169" formatCode="_(* #,##0_);_(* \(#,##0\);_(* &quot;-&quot;??_);_(@_)"/>
    <numFmt numFmtId="170" formatCode="&quot;$&quot;#,##0.0_);\(&quot;$&quot;#,##0.0\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name val="Times New Roman"/>
      <family val="1"/>
    </font>
    <font>
      <u val="single"/>
      <sz val="12"/>
      <name val="Arial"/>
      <family val="2"/>
    </font>
    <font>
      <sz val="12"/>
      <name val="Times New Roman"/>
      <family val="1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/>
      <right/>
      <top/>
      <bottom style="thin"/>
    </border>
    <border>
      <left/>
      <right/>
      <top style="double"/>
      <bottom/>
    </border>
    <border>
      <left/>
      <right/>
      <top/>
      <bottom style="thin">
        <color indexed="63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double"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>
        <color indexed="63"/>
      </bottom>
    </border>
    <border>
      <left/>
      <right style="thin"/>
      <top/>
      <bottom style="double">
        <color indexed="63"/>
      </bottom>
    </border>
    <border>
      <left/>
      <right style="thin"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thin">
        <color indexed="63"/>
      </bottom>
    </border>
    <border>
      <left style="thin"/>
      <right/>
      <top/>
      <bottom style="double"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20" borderId="0" applyNumberFormat="0" applyBorder="0" applyAlignment="0" applyProtection="0"/>
    <xf numFmtId="0" fontId="24" fillId="4" borderId="0" applyNumberFormat="0" applyBorder="0" applyAlignment="0" applyProtection="0"/>
    <xf numFmtId="0" fontId="28" fillId="21" borderId="1" applyNumberFormat="0" applyAlignment="0" applyProtection="0"/>
    <xf numFmtId="0" fontId="30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>
      <alignment/>
      <protection/>
    </xf>
    <xf numFmtId="7" fontId="0" fillId="2" borderId="0">
      <alignment/>
      <protection/>
    </xf>
    <xf numFmtId="42" fontId="0" fillId="0" borderId="0" applyFont="0" applyFill="0" applyBorder="0" applyAlignment="0" applyProtection="0"/>
    <xf numFmtId="5" fontId="0" fillId="2" borderId="0">
      <alignment/>
      <protection/>
    </xf>
    <xf numFmtId="0" fontId="0" fillId="2" borderId="0">
      <alignment/>
      <protection/>
    </xf>
    <xf numFmtId="0" fontId="32" fillId="0" borderId="0" applyNumberFormat="0" applyFill="0" applyBorder="0" applyAlignment="0" applyProtection="0"/>
    <xf numFmtId="2" fontId="0" fillId="2" borderId="0">
      <alignment/>
      <protection/>
    </xf>
    <xf numFmtId="0" fontId="23" fillId="5" borderId="0" applyNumberFormat="0" applyBorder="0" applyAlignment="0" applyProtection="0"/>
    <xf numFmtId="0" fontId="2" fillId="2" borderId="0">
      <alignment/>
      <protection/>
    </xf>
    <xf numFmtId="0" fontId="3" fillId="2" borderId="0">
      <alignment/>
      <protection/>
    </xf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6" fillId="8" borderId="1" applyNumberFormat="0" applyAlignment="0" applyProtection="0"/>
    <xf numFmtId="0" fontId="29" fillId="0" borderId="4" applyNumberFormat="0" applyFill="0" applyAlignment="0" applyProtection="0"/>
    <xf numFmtId="0" fontId="25" fillId="23" borderId="0" applyNumberFormat="0" applyBorder="0" applyAlignment="0" applyProtection="0"/>
    <xf numFmtId="0" fontId="0" fillId="0" borderId="0" applyFill="0" applyBorder="0">
      <alignment/>
      <protection/>
    </xf>
    <xf numFmtId="0" fontId="0" fillId="24" borderId="5" applyNumberFormat="0" applyFont="0" applyAlignment="0" applyProtection="0"/>
    <xf numFmtId="0" fontId="27" fillId="21" borderId="6" applyNumberFormat="0" applyAlignment="0" applyProtection="0"/>
    <xf numFmtId="10" fontId="5" fillId="2" borderId="0">
      <alignment/>
      <protection/>
    </xf>
    <xf numFmtId="0" fontId="21" fillId="0" borderId="0" applyNumberFormat="0" applyFill="0" applyBorder="0" applyAlignment="0" applyProtection="0"/>
    <xf numFmtId="0" fontId="0" fillId="2" borderId="7">
      <alignment/>
      <protection/>
    </xf>
    <xf numFmtId="0" fontId="31" fillId="0" borderId="0" applyNumberFormat="0" applyFill="0" applyBorder="0" applyAlignment="0" applyProtection="0"/>
  </cellStyleXfs>
  <cellXfs count="320">
    <xf numFmtId="5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5" fontId="5" fillId="2" borderId="0" xfId="0" applyNumberFormat="1" applyFont="1" applyFill="1" applyAlignment="1">
      <alignment/>
    </xf>
    <xf numFmtId="10" fontId="5" fillId="2" borderId="0" xfId="0" applyNumberFormat="1" applyFont="1" applyFill="1" applyAlignment="1">
      <alignment/>
    </xf>
    <xf numFmtId="5" fontId="4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Border="1" applyAlignment="1">
      <alignment/>
    </xf>
    <xf numFmtId="5" fontId="0" fillId="2" borderId="0" xfId="0" applyNumberFormat="1" applyFill="1" applyBorder="1" applyAlignment="1">
      <alignment/>
    </xf>
    <xf numFmtId="5" fontId="5" fillId="2" borderId="0" xfId="0" applyNumberFormat="1" applyFont="1" applyFill="1" applyAlignment="1">
      <alignment/>
    </xf>
    <xf numFmtId="10" fontId="0" fillId="2" borderId="0" xfId="0" applyNumberFormat="1" applyFill="1" applyBorder="1" applyAlignment="1">
      <alignment/>
    </xf>
    <xf numFmtId="5" fontId="0" fillId="2" borderId="0" xfId="0" applyNumberForma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5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5" fontId="7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5" fontId="8" fillId="2" borderId="0" xfId="0" applyNumberFormat="1" applyFont="1" applyFill="1" applyAlignment="1">
      <alignment/>
    </xf>
    <xf numFmtId="5" fontId="5" fillId="2" borderId="0" xfId="0" applyNumberFormat="1" applyFont="1" applyFill="1" applyAlignment="1" quotePrefix="1">
      <alignment horizontal="left"/>
    </xf>
    <xf numFmtId="166" fontId="5" fillId="2" borderId="0" xfId="0" applyNumberFormat="1" applyFont="1" applyFill="1" applyAlignment="1">
      <alignment/>
    </xf>
    <xf numFmtId="2" fontId="5" fillId="2" borderId="0" xfId="0" applyNumberFormat="1" applyFont="1" applyFill="1" applyAlignment="1">
      <alignment/>
    </xf>
    <xf numFmtId="5" fontId="5" fillId="2" borderId="0" xfId="0" applyNumberFormat="1" applyFont="1" applyFill="1" applyAlignment="1" quotePrefix="1">
      <alignment horizontal="right"/>
    </xf>
    <xf numFmtId="164" fontId="5" fillId="2" borderId="0" xfId="0" applyNumberFormat="1" applyFont="1" applyFill="1" applyAlignment="1">
      <alignment/>
    </xf>
    <xf numFmtId="0" fontId="5" fillId="2" borderId="0" xfId="0" applyFont="1" applyFill="1" applyAlignment="1" quotePrefix="1">
      <alignment horizontal="left"/>
    </xf>
    <xf numFmtId="5" fontId="5" fillId="2" borderId="0" xfId="0" applyNumberFormat="1" applyFont="1" applyFill="1" applyAlignment="1">
      <alignment horizontal="left"/>
    </xf>
    <xf numFmtId="39" fontId="5" fillId="2" borderId="0" xfId="0" applyNumberFormat="1" applyFont="1" applyFill="1" applyAlignment="1">
      <alignment/>
    </xf>
    <xf numFmtId="0" fontId="0" fillId="2" borderId="0" xfId="0" applyNumberFormat="1" applyFill="1" applyAlignment="1">
      <alignment/>
    </xf>
    <xf numFmtId="7" fontId="5" fillId="2" borderId="0" xfId="0" applyNumberFormat="1" applyFont="1" applyFill="1" applyAlignment="1" quotePrefix="1">
      <alignment horizontal="left"/>
    </xf>
    <xf numFmtId="22" fontId="7" fillId="2" borderId="0" xfId="0" applyNumberFormat="1" applyFont="1" applyFill="1" applyAlignment="1">
      <alignment/>
    </xf>
    <xf numFmtId="5" fontId="4" fillId="2" borderId="0" xfId="0" applyNumberFormat="1" applyFont="1" applyFill="1" applyAlignment="1">
      <alignment/>
    </xf>
    <xf numFmtId="0" fontId="5" fillId="2" borderId="0" xfId="0" applyFont="1" applyFill="1" applyAlignment="1">
      <alignment horizontal="left"/>
    </xf>
    <xf numFmtId="39" fontId="5" fillId="2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4" fontId="5" fillId="2" borderId="0" xfId="0" applyNumberFormat="1" applyFont="1" applyFill="1" applyAlignment="1">
      <alignment/>
    </xf>
    <xf numFmtId="9" fontId="0" fillId="2" borderId="0" xfId="0" applyNumberFormat="1" applyFill="1" applyAlignment="1">
      <alignment/>
    </xf>
    <xf numFmtId="5" fontId="0" fillId="2" borderId="0" xfId="0" applyNumberFormat="1" applyFont="1" applyFill="1" applyAlignment="1">
      <alignment/>
    </xf>
    <xf numFmtId="5" fontId="5" fillId="2" borderId="0" xfId="0" applyNumberFormat="1" applyFont="1" applyFill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Border="1" applyAlignment="1">
      <alignment/>
    </xf>
    <xf numFmtId="9" fontId="5" fillId="2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2" borderId="0" xfId="0" applyNumberFormat="1" applyFont="1" applyFill="1" applyAlignment="1">
      <alignment horizontal="right"/>
    </xf>
    <xf numFmtId="5" fontId="5" fillId="2" borderId="0" xfId="0" applyNumberFormat="1" applyFont="1" applyFill="1" applyAlignment="1">
      <alignment horizontal="left" wrapText="1"/>
    </xf>
    <xf numFmtId="5" fontId="0" fillId="2" borderId="0" xfId="0" applyNumberFormat="1" applyFill="1" applyAlignment="1" quotePrefix="1">
      <alignment horizontal="right"/>
    </xf>
    <xf numFmtId="5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5" fontId="5" fillId="2" borderId="0" xfId="0" applyNumberFormat="1" applyFont="1" applyFill="1" applyAlignment="1">
      <alignment horizontal="center"/>
    </xf>
    <xf numFmtId="10" fontId="5" fillId="2" borderId="0" xfId="62">
      <alignment/>
      <protection/>
    </xf>
    <xf numFmtId="43" fontId="5" fillId="0" borderId="0" xfId="42" applyFont="1" applyFill="1" applyAlignment="1">
      <alignment/>
    </xf>
    <xf numFmtId="1" fontId="5" fillId="2" borderId="0" xfId="0" applyNumberFormat="1" applyFont="1" applyFill="1" applyAlignment="1">
      <alignment/>
    </xf>
    <xf numFmtId="5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/>
    </xf>
    <xf numFmtId="1" fontId="5" fillId="2" borderId="0" xfId="0" applyNumberFormat="1" applyFont="1" applyFill="1" applyAlignment="1">
      <alignment horizontal="right"/>
    </xf>
    <xf numFmtId="1" fontId="5" fillId="2" borderId="0" xfId="0" applyNumberFormat="1" applyFont="1" applyFill="1" applyAlignment="1" quotePrefix="1">
      <alignment horizontal="right"/>
    </xf>
    <xf numFmtId="5" fontId="4" fillId="2" borderId="0" xfId="0" applyNumberFormat="1" applyFont="1" applyFill="1" applyAlignment="1">
      <alignment/>
    </xf>
    <xf numFmtId="10" fontId="5" fillId="2" borderId="0" xfId="62" applyFont="1">
      <alignment/>
      <protection/>
    </xf>
    <xf numFmtId="5" fontId="0" fillId="2" borderId="0" xfId="0" applyNumberFormat="1" applyFont="1" applyFill="1" applyAlignment="1">
      <alignment horizontal="centerContinuous"/>
    </xf>
    <xf numFmtId="10" fontId="0" fillId="2" borderId="0" xfId="0" applyNumberFormat="1" applyFont="1" applyFill="1" applyAlignment="1">
      <alignment horizontal="centerContinuous"/>
    </xf>
    <xf numFmtId="10" fontId="9" fillId="2" borderId="0" xfId="0" applyNumberFormat="1" applyFont="1" applyFill="1" applyAlignment="1" quotePrefix="1">
      <alignment horizontal="right"/>
    </xf>
    <xf numFmtId="5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right"/>
    </xf>
    <xf numFmtId="167" fontId="9" fillId="2" borderId="0" xfId="0" applyNumberFormat="1" applyFont="1" applyFill="1" applyAlignment="1" quotePrefix="1">
      <alignment horizontal="centerContinuous"/>
    </xf>
    <xf numFmtId="10" fontId="0" fillId="2" borderId="0" xfId="0" applyNumberFormat="1" applyFont="1" applyFill="1" applyAlignment="1">
      <alignment/>
    </xf>
    <xf numFmtId="5" fontId="0" fillId="2" borderId="0" xfId="0" applyNumberFormat="1" applyFont="1" applyFill="1" applyBorder="1" applyAlignment="1">
      <alignment/>
    </xf>
    <xf numFmtId="5" fontId="10" fillId="2" borderId="0" xfId="0" applyNumberFormat="1" applyFont="1" applyFill="1" applyAlignment="1">
      <alignment horizontal="centerContinuous"/>
    </xf>
    <xf numFmtId="5" fontId="3" fillId="2" borderId="0" xfId="0" applyNumberFormat="1" applyFont="1" applyFill="1" applyAlignment="1">
      <alignment horizontal="centerContinuous"/>
    </xf>
    <xf numFmtId="167" fontId="3" fillId="2" borderId="0" xfId="0" applyNumberFormat="1" applyFont="1" applyFill="1" applyAlignment="1">
      <alignment horizontal="centerContinuous"/>
    </xf>
    <xf numFmtId="5" fontId="11" fillId="25" borderId="0" xfId="45" applyNumberFormat="1" applyFont="1" applyFill="1" applyBorder="1">
      <alignment/>
      <protection/>
    </xf>
    <xf numFmtId="10" fontId="0" fillId="2" borderId="0" xfId="62" applyFont="1">
      <alignment/>
      <protection/>
    </xf>
    <xf numFmtId="5" fontId="12" fillId="2" borderId="0" xfId="0" applyNumberFormat="1" applyFont="1" applyFill="1" applyAlignment="1">
      <alignment horizontal="centerContinuous"/>
    </xf>
    <xf numFmtId="5" fontId="0" fillId="2" borderId="0" xfId="0" applyNumberFormat="1" applyFont="1" applyFill="1" applyBorder="1" applyAlignment="1">
      <alignment horizontal="centerContinuous"/>
    </xf>
    <xf numFmtId="22" fontId="9" fillId="2" borderId="0" xfId="0" applyNumberFormat="1" applyFont="1" applyFill="1" applyAlignment="1">
      <alignment/>
    </xf>
    <xf numFmtId="10" fontId="13" fillId="2" borderId="0" xfId="0" applyNumberFormat="1" applyFont="1" applyFill="1" applyBorder="1" applyAlignment="1">
      <alignment horizontal="right"/>
    </xf>
    <xf numFmtId="10" fontId="13" fillId="2" borderId="8" xfId="0" applyNumberFormat="1" applyFont="1" applyFill="1" applyBorder="1" applyAlignment="1">
      <alignment horizontal="right"/>
    </xf>
    <xf numFmtId="5" fontId="9" fillId="2" borderId="0" xfId="0" applyNumberFormat="1" applyFont="1" applyFill="1" applyAlignment="1">
      <alignment/>
    </xf>
    <xf numFmtId="5" fontId="5" fillId="2" borderId="0" xfId="0" applyNumberFormat="1" applyFont="1" applyFill="1" applyAlignment="1">
      <alignment horizontal="left"/>
    </xf>
    <xf numFmtId="169" fontId="0" fillId="2" borderId="0" xfId="0" applyNumberFormat="1" applyFill="1" applyAlignment="1">
      <alignment/>
    </xf>
    <xf numFmtId="169" fontId="0" fillId="2" borderId="0" xfId="42" applyNumberFormat="1" applyFont="1" applyFill="1" applyAlignment="1">
      <alignment/>
    </xf>
    <xf numFmtId="37" fontId="12" fillId="0" borderId="0" xfId="59" applyNumberFormat="1" applyFont="1" applyFill="1" applyBorder="1" applyAlignment="1">
      <alignment horizontal="right"/>
      <protection/>
    </xf>
    <xf numFmtId="37" fontId="12" fillId="2" borderId="0" xfId="59" applyNumberFormat="1" applyFont="1" applyFill="1" applyBorder="1" applyAlignment="1">
      <alignment horizontal="right"/>
      <protection/>
    </xf>
    <xf numFmtId="2" fontId="12" fillId="2" borderId="9" xfId="59" applyNumberFormat="1" applyFont="1" applyFill="1" applyBorder="1">
      <alignment/>
      <protection/>
    </xf>
    <xf numFmtId="10" fontId="12" fillId="2" borderId="0" xfId="0" applyNumberFormat="1" applyFont="1" applyFill="1" applyAlignment="1">
      <alignment/>
    </xf>
    <xf numFmtId="37" fontId="12" fillId="2" borderId="8" xfId="59" applyNumberFormat="1" applyFont="1" applyFill="1" applyBorder="1" applyAlignment="1">
      <alignment horizontal="right"/>
      <protection/>
    </xf>
    <xf numFmtId="10" fontId="12" fillId="2" borderId="8" xfId="0" applyNumberFormat="1" applyFont="1" applyFill="1" applyBorder="1" applyAlignment="1">
      <alignment/>
    </xf>
    <xf numFmtId="170" fontId="0" fillId="2" borderId="0" xfId="0" applyNumberFormat="1" applyFill="1" applyAlignment="1">
      <alignment/>
    </xf>
    <xf numFmtId="5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7" fontId="5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168" fontId="5" fillId="2" borderId="0" xfId="0" applyNumberFormat="1" applyFont="1" applyFill="1" applyBorder="1" applyAlignment="1">
      <alignment/>
    </xf>
    <xf numFmtId="5" fontId="5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22" fontId="3" fillId="2" borderId="0" xfId="0" applyNumberFormat="1" applyFont="1" applyFill="1" applyAlignment="1">
      <alignment horizontal="centerContinuous"/>
    </xf>
    <xf numFmtId="5" fontId="9" fillId="2" borderId="0" xfId="0" applyNumberFormat="1" applyFont="1" applyFill="1" applyAlignment="1">
      <alignment horizontal="centerContinuous"/>
    </xf>
    <xf numFmtId="5" fontId="9" fillId="2" borderId="0" xfId="0" applyNumberFormat="1" applyFont="1" applyFill="1" applyAlignment="1">
      <alignment horizontal="right"/>
    </xf>
    <xf numFmtId="10" fontId="9" fillId="2" borderId="0" xfId="0" applyNumberFormat="1" applyFont="1" applyFill="1" applyAlignment="1">
      <alignment horizontal="right"/>
    </xf>
    <xf numFmtId="0" fontId="9" fillId="2" borderId="8" xfId="0" applyNumberFormat="1" applyFont="1" applyFill="1" applyBorder="1" applyAlignment="1">
      <alignment/>
    </xf>
    <xf numFmtId="10" fontId="9" fillId="2" borderId="10" xfId="0" applyNumberFormat="1" applyFont="1" applyFill="1" applyBorder="1" applyAlignment="1">
      <alignment horizontal="right"/>
    </xf>
    <xf numFmtId="10" fontId="9" fillId="2" borderId="0" xfId="0" applyNumberFormat="1" applyFont="1" applyFill="1" applyAlignment="1">
      <alignment/>
    </xf>
    <xf numFmtId="5" fontId="3" fillId="2" borderId="0" xfId="0" applyNumberFormat="1" applyFont="1" applyFill="1" applyBorder="1" applyAlignment="1">
      <alignment horizontal="centerContinuous"/>
    </xf>
    <xf numFmtId="5" fontId="12" fillId="2" borderId="0" xfId="0" applyNumberFormat="1" applyFont="1" applyFill="1" applyBorder="1" applyAlignment="1">
      <alignment horizontal="centerContinuous"/>
    </xf>
    <xf numFmtId="7" fontId="5" fillId="2" borderId="0" xfId="0" applyNumberFormat="1" applyFont="1" applyFill="1" applyAlignment="1">
      <alignment/>
    </xf>
    <xf numFmtId="5" fontId="14" fillId="2" borderId="0" xfId="0" applyNumberFormat="1" applyFont="1" applyFill="1" applyAlignment="1">
      <alignment horizontal="centerContinuous"/>
    </xf>
    <xf numFmtId="5" fontId="14" fillId="2" borderId="0" xfId="0" applyNumberFormat="1" applyFont="1" applyFill="1" applyAlignment="1">
      <alignment/>
    </xf>
    <xf numFmtId="0" fontId="15" fillId="2" borderId="8" xfId="0" applyNumberFormat="1" applyFont="1" applyFill="1" applyBorder="1" applyAlignment="1">
      <alignment horizontal="right"/>
    </xf>
    <xf numFmtId="5" fontId="16" fillId="2" borderId="0" xfId="0" applyNumberFormat="1" applyFont="1" applyFill="1" applyAlignment="1">
      <alignment/>
    </xf>
    <xf numFmtId="10" fontId="14" fillId="2" borderId="0" xfId="0" applyNumberFormat="1" applyFont="1" applyFill="1" applyAlignment="1">
      <alignment/>
    </xf>
    <xf numFmtId="169" fontId="14" fillId="2" borderId="0" xfId="42" applyNumberFormat="1" applyFont="1" applyFill="1" applyAlignment="1">
      <alignment/>
    </xf>
    <xf numFmtId="5" fontId="14" fillId="2" borderId="0" xfId="0" applyNumberFormat="1" applyFont="1" applyFill="1" applyAlignment="1" quotePrefix="1">
      <alignment horizontal="left"/>
    </xf>
    <xf numFmtId="169" fontId="14" fillId="2" borderId="8" xfId="42" applyNumberFormat="1" applyFont="1" applyFill="1" applyBorder="1" applyAlignment="1">
      <alignment/>
    </xf>
    <xf numFmtId="169" fontId="14" fillId="2" borderId="0" xfId="42" applyNumberFormat="1" applyFont="1" applyFill="1" applyBorder="1" applyAlignment="1">
      <alignment/>
    </xf>
    <xf numFmtId="10" fontId="14" fillId="2" borderId="8" xfId="0" applyNumberFormat="1" applyFont="1" applyFill="1" applyBorder="1" applyAlignment="1">
      <alignment/>
    </xf>
    <xf numFmtId="169" fontId="14" fillId="2" borderId="11" xfId="42" applyNumberFormat="1" applyFont="1" applyFill="1" applyBorder="1" applyAlignment="1">
      <alignment/>
    </xf>
    <xf numFmtId="169" fontId="14" fillId="2" borderId="8" xfId="42" applyNumberFormat="1" applyFont="1" applyFill="1" applyBorder="1" applyAlignment="1">
      <alignment horizontal="right"/>
    </xf>
    <xf numFmtId="169" fontId="14" fillId="2" borderId="12" xfId="42" applyNumberFormat="1" applyFont="1" applyFill="1" applyBorder="1" applyAlignment="1">
      <alignment/>
    </xf>
    <xf numFmtId="10" fontId="14" fillId="2" borderId="12" xfId="0" applyNumberFormat="1" applyFont="1" applyFill="1" applyBorder="1" applyAlignment="1">
      <alignment/>
    </xf>
    <xf numFmtId="169" fontId="14" fillId="2" borderId="13" xfId="42" applyNumberFormat="1" applyFont="1" applyFill="1" applyBorder="1" applyAlignment="1">
      <alignment/>
    </xf>
    <xf numFmtId="10" fontId="14" fillId="2" borderId="13" xfId="0" applyNumberFormat="1" applyFont="1" applyFill="1" applyBorder="1" applyAlignment="1">
      <alignment/>
    </xf>
    <xf numFmtId="169" fontId="14" fillId="2" borderId="9" xfId="42" applyNumberFormat="1" applyFont="1" applyFill="1" applyBorder="1" applyAlignment="1">
      <alignment/>
    </xf>
    <xf numFmtId="5" fontId="14" fillId="2" borderId="0" xfId="0" applyNumberFormat="1" applyFont="1" applyFill="1" applyBorder="1" applyAlignment="1">
      <alignment/>
    </xf>
    <xf numFmtId="10" fontId="14" fillId="2" borderId="14" xfId="0" applyNumberFormat="1" applyFont="1" applyFill="1" applyBorder="1" applyAlignment="1">
      <alignment/>
    </xf>
    <xf numFmtId="5" fontId="17" fillId="2" borderId="0" xfId="0" applyNumberFormat="1" applyFont="1" applyFill="1" applyAlignment="1">
      <alignment/>
    </xf>
    <xf numFmtId="10" fontId="17" fillId="2" borderId="0" xfId="0" applyNumberFormat="1" applyFont="1" applyFill="1" applyAlignment="1">
      <alignment/>
    </xf>
    <xf numFmtId="10" fontId="3" fillId="2" borderId="0" xfId="0" applyNumberFormat="1" applyFont="1" applyFill="1" applyAlignment="1" quotePrefix="1">
      <alignment horizontal="right"/>
    </xf>
    <xf numFmtId="5" fontId="12" fillId="2" borderId="0" xfId="0" applyNumberFormat="1" applyFont="1" applyFill="1" applyAlignment="1">
      <alignment/>
    </xf>
    <xf numFmtId="5" fontId="12" fillId="2" borderId="0" xfId="0" applyNumberFormat="1" applyFont="1" applyFill="1" applyAlignment="1">
      <alignment horizontal="right"/>
    </xf>
    <xf numFmtId="0" fontId="12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12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8" xfId="0" applyNumberFormat="1" applyFont="1" applyFill="1" applyBorder="1" applyAlignment="1">
      <alignment horizontal="right"/>
    </xf>
    <xf numFmtId="10" fontId="12" fillId="2" borderId="0" xfId="0" applyNumberFormat="1" applyFont="1" applyFill="1" applyAlignment="1">
      <alignment horizontal="centerContinuous"/>
    </xf>
    <xf numFmtId="5" fontId="18" fillId="2" borderId="0" xfId="0" applyNumberFormat="1" applyFont="1" applyFill="1" applyAlignment="1">
      <alignment/>
    </xf>
    <xf numFmtId="37" fontId="12" fillId="2" borderId="0" xfId="0" applyNumberFormat="1" applyFont="1" applyFill="1" applyAlignment="1">
      <alignment/>
    </xf>
    <xf numFmtId="169" fontId="12" fillId="2" borderId="0" xfId="42" applyNumberFormat="1" applyFont="1" applyFill="1" applyAlignment="1">
      <alignment/>
    </xf>
    <xf numFmtId="169" fontId="12" fillId="0" borderId="0" xfId="42" applyNumberFormat="1" applyFont="1" applyAlignment="1">
      <alignment/>
    </xf>
    <xf numFmtId="5" fontId="12" fillId="2" borderId="0" xfId="0" applyNumberFormat="1" applyFont="1" applyFill="1" applyAlignment="1" quotePrefix="1">
      <alignment horizontal="left"/>
    </xf>
    <xf numFmtId="5" fontId="12" fillId="2" borderId="0" xfId="0" applyNumberFormat="1" applyFont="1" applyFill="1" applyAlignment="1">
      <alignment horizontal="left"/>
    </xf>
    <xf numFmtId="169" fontId="12" fillId="2" borderId="8" xfId="42" applyNumberFormat="1" applyFont="1" applyFill="1" applyBorder="1" applyAlignment="1">
      <alignment/>
    </xf>
    <xf numFmtId="169" fontId="12" fillId="2" borderId="0" xfId="42" applyNumberFormat="1" applyFont="1" applyFill="1" applyBorder="1" applyAlignment="1">
      <alignment/>
    </xf>
    <xf numFmtId="37" fontId="12" fillId="2" borderId="11" xfId="0" applyNumberFormat="1" applyFont="1" applyFill="1" applyBorder="1" applyAlignment="1">
      <alignment/>
    </xf>
    <xf numFmtId="169" fontId="12" fillId="2" borderId="11" xfId="42" applyNumberFormat="1" applyFont="1" applyFill="1" applyBorder="1" applyAlignment="1">
      <alignment/>
    </xf>
    <xf numFmtId="169" fontId="12" fillId="2" borderId="0" xfId="42" applyNumberFormat="1" applyFont="1" applyFill="1" applyAlignment="1">
      <alignment horizontal="right"/>
    </xf>
    <xf numFmtId="169" fontId="12" fillId="2" borderId="8" xfId="42" applyNumberFormat="1" applyFont="1" applyFill="1" applyBorder="1" applyAlignment="1">
      <alignment horizontal="right"/>
    </xf>
    <xf numFmtId="5" fontId="12" fillId="2" borderId="11" xfId="0" applyNumberFormat="1" applyFont="1" applyFill="1" applyBorder="1" applyAlignment="1">
      <alignment/>
    </xf>
    <xf numFmtId="169" fontId="12" fillId="2" borderId="12" xfId="42" applyNumberFormat="1" applyFont="1" applyFill="1" applyBorder="1" applyAlignment="1">
      <alignment/>
    </xf>
    <xf numFmtId="10" fontId="12" fillId="2" borderId="12" xfId="0" applyNumberFormat="1" applyFont="1" applyFill="1" applyBorder="1" applyAlignment="1">
      <alignment/>
    </xf>
    <xf numFmtId="169" fontId="12" fillId="2" borderId="13" xfId="42" applyNumberFormat="1" applyFont="1" applyFill="1" applyBorder="1" applyAlignment="1">
      <alignment/>
    </xf>
    <xf numFmtId="10" fontId="12" fillId="2" borderId="13" xfId="0" applyNumberFormat="1" applyFont="1" applyFill="1" applyBorder="1" applyAlignment="1">
      <alignment/>
    </xf>
    <xf numFmtId="5" fontId="12" fillId="2" borderId="9" xfId="0" applyNumberFormat="1" applyFont="1" applyFill="1" applyBorder="1" applyAlignment="1">
      <alignment/>
    </xf>
    <xf numFmtId="169" fontId="12" fillId="2" borderId="9" xfId="42" applyNumberFormat="1" applyFont="1" applyFill="1" applyBorder="1" applyAlignment="1">
      <alignment/>
    </xf>
    <xf numFmtId="5" fontId="12" fillId="0" borderId="0" xfId="0" applyNumberFormat="1" applyFont="1" applyFill="1" applyAlignment="1">
      <alignment horizontal="left"/>
    </xf>
    <xf numFmtId="169" fontId="12" fillId="0" borderId="0" xfId="42" applyNumberFormat="1" applyFont="1" applyFill="1" applyAlignment="1">
      <alignment/>
    </xf>
    <xf numFmtId="10" fontId="12" fillId="0" borderId="0" xfId="0" applyNumberFormat="1" applyFont="1" applyFill="1" applyAlignment="1">
      <alignment/>
    </xf>
    <xf numFmtId="5" fontId="12" fillId="2" borderId="0" xfId="0" applyNumberFormat="1" applyFont="1" applyFill="1" applyBorder="1" applyAlignment="1">
      <alignment/>
    </xf>
    <xf numFmtId="5" fontId="12" fillId="2" borderId="13" xfId="0" applyNumberFormat="1" applyFont="1" applyFill="1" applyBorder="1" applyAlignment="1">
      <alignment/>
    </xf>
    <xf numFmtId="10" fontId="12" fillId="2" borderId="14" xfId="0" applyNumberFormat="1" applyFont="1" applyFill="1" applyBorder="1" applyAlignment="1">
      <alignment/>
    </xf>
    <xf numFmtId="5" fontId="19" fillId="2" borderId="0" xfId="0" applyNumberFormat="1" applyFont="1" applyFill="1" applyAlignment="1">
      <alignment/>
    </xf>
    <xf numFmtId="169" fontId="19" fillId="2" borderId="0" xfId="42" applyNumberFormat="1" applyFont="1" applyFill="1" applyAlignment="1">
      <alignment/>
    </xf>
    <xf numFmtId="10" fontId="19" fillId="2" borderId="0" xfId="0" applyNumberFormat="1" applyFont="1" applyFill="1" applyAlignment="1">
      <alignment/>
    </xf>
    <xf numFmtId="10" fontId="9" fillId="2" borderId="0" xfId="0" applyNumberFormat="1" applyFont="1" applyFill="1" applyBorder="1" applyAlignment="1">
      <alignment horizontal="right"/>
    </xf>
    <xf numFmtId="10" fontId="9" fillId="2" borderId="8" xfId="0" applyNumberFormat="1" applyFont="1" applyFill="1" applyBorder="1" applyAlignment="1">
      <alignment horizontal="right"/>
    </xf>
    <xf numFmtId="10" fontId="12" fillId="2" borderId="0" xfId="0" applyNumberFormat="1" applyFont="1" applyFill="1" applyAlignment="1">
      <alignment horizontal="center"/>
    </xf>
    <xf numFmtId="10" fontId="12" fillId="2" borderId="0" xfId="0" applyNumberFormat="1" applyFont="1" applyFill="1" applyAlignment="1" quotePrefix="1">
      <alignment horizontal="center"/>
    </xf>
    <xf numFmtId="5" fontId="3" fillId="2" borderId="0" xfId="0" applyNumberFormat="1" applyFont="1" applyFill="1" applyAlignment="1">
      <alignment/>
    </xf>
    <xf numFmtId="5" fontId="3" fillId="2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horizontal="right"/>
    </xf>
    <xf numFmtId="10" fontId="3" fillId="2" borderId="0" xfId="0" applyNumberFormat="1" applyFont="1" applyFill="1" applyAlignment="1">
      <alignment horizontal="right"/>
    </xf>
    <xf numFmtId="5" fontId="3" fillId="2" borderId="10" xfId="0" applyNumberFormat="1" applyFont="1" applyFill="1" applyBorder="1" applyAlignment="1">
      <alignment/>
    </xf>
    <xf numFmtId="1" fontId="3" fillId="2" borderId="8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10" fontId="12" fillId="2" borderId="0" xfId="0" applyNumberFormat="1" applyFont="1" applyFill="1" applyBorder="1" applyAlignment="1">
      <alignment horizontal="right"/>
    </xf>
    <xf numFmtId="10" fontId="12" fillId="2" borderId="10" xfId="0" applyNumberFormat="1" applyFont="1" applyFill="1" applyBorder="1" applyAlignment="1">
      <alignment/>
    </xf>
    <xf numFmtId="10" fontId="12" fillId="2" borderId="0" xfId="0" applyNumberFormat="1" applyFont="1" applyFill="1" applyBorder="1" applyAlignment="1">
      <alignment/>
    </xf>
    <xf numFmtId="10" fontId="12" fillId="2" borderId="11" xfId="0" applyNumberFormat="1" applyFont="1" applyFill="1" applyBorder="1" applyAlignment="1">
      <alignment/>
    </xf>
    <xf numFmtId="10" fontId="12" fillId="2" borderId="15" xfId="0" applyNumberFormat="1" applyFont="1" applyFill="1" applyBorder="1" applyAlignment="1">
      <alignment/>
    </xf>
    <xf numFmtId="10" fontId="15" fillId="2" borderId="0" xfId="0" applyNumberFormat="1" applyFont="1" applyFill="1" applyAlignment="1">
      <alignment horizontal="right"/>
    </xf>
    <xf numFmtId="0" fontId="3" fillId="2" borderId="8" xfId="0" applyNumberFormat="1" applyFont="1" applyFill="1" applyBorder="1" applyAlignment="1">
      <alignment/>
    </xf>
    <xf numFmtId="169" fontId="12" fillId="0" borderId="0" xfId="42" applyNumberFormat="1" applyFont="1" applyFill="1" applyBorder="1" applyAlignment="1">
      <alignment/>
    </xf>
    <xf numFmtId="5" fontId="12" fillId="25" borderId="0" xfId="45" applyNumberFormat="1" applyFont="1" applyFill="1" applyBorder="1">
      <alignment/>
      <protection/>
    </xf>
    <xf numFmtId="169" fontId="12" fillId="25" borderId="0" xfId="42" applyNumberFormat="1" applyFont="1" applyFill="1" applyBorder="1" applyAlignment="1">
      <alignment/>
    </xf>
    <xf numFmtId="5" fontId="12" fillId="25" borderId="11" xfId="45" applyNumberFormat="1" applyFont="1" applyFill="1" applyBorder="1">
      <alignment/>
      <protection/>
    </xf>
    <xf numFmtId="169" fontId="12" fillId="25" borderId="11" xfId="42" applyNumberFormat="1" applyFont="1" applyFill="1" applyBorder="1" applyAlignment="1">
      <alignment/>
    </xf>
    <xf numFmtId="169" fontId="12" fillId="0" borderId="11" xfId="42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69" fontId="12" fillId="25" borderId="0" xfId="42" applyNumberFormat="1" applyFont="1" applyFill="1" applyBorder="1" applyAlignment="1">
      <alignment horizontal="right"/>
    </xf>
    <xf numFmtId="169" fontId="12" fillId="0" borderId="0" xfId="42" applyNumberFormat="1" applyFont="1" applyFill="1" applyBorder="1" applyAlignment="1">
      <alignment horizontal="right"/>
    </xf>
    <xf numFmtId="0" fontId="12" fillId="25" borderId="0" xfId="0" applyFont="1" applyFill="1" applyBorder="1" applyAlignment="1" quotePrefix="1">
      <alignment horizontal="left"/>
    </xf>
    <xf numFmtId="0" fontId="12" fillId="25" borderId="0" xfId="0" applyFont="1" applyFill="1" applyBorder="1" applyAlignment="1">
      <alignment/>
    </xf>
    <xf numFmtId="169" fontId="12" fillId="0" borderId="8" xfId="42" applyNumberFormat="1" applyFont="1" applyFill="1" applyBorder="1" applyAlignment="1">
      <alignment/>
    </xf>
    <xf numFmtId="5" fontId="12" fillId="0" borderId="11" xfId="45" applyNumberFormat="1" applyFont="1" applyFill="1" applyBorder="1">
      <alignment/>
      <protection/>
    </xf>
    <xf numFmtId="169" fontId="12" fillId="0" borderId="13" xfId="42" applyNumberFormat="1" applyFont="1" applyFill="1" applyBorder="1" applyAlignment="1">
      <alignment/>
    </xf>
    <xf numFmtId="5" fontId="12" fillId="25" borderId="9" xfId="45" applyNumberFormat="1" applyFont="1" applyFill="1" applyBorder="1">
      <alignment/>
      <protection/>
    </xf>
    <xf numFmtId="169" fontId="12" fillId="25" borderId="9" xfId="42" applyNumberFormat="1" applyFont="1" applyFill="1" applyBorder="1" applyAlignment="1">
      <alignment/>
    </xf>
    <xf numFmtId="37" fontId="12" fillId="0" borderId="0" xfId="0" applyNumberFormat="1" applyFont="1" applyAlignment="1">
      <alignment/>
    </xf>
    <xf numFmtId="5" fontId="12" fillId="0" borderId="0" xfId="45" applyNumberFormat="1" applyFont="1" applyFill="1" applyBorder="1">
      <alignment/>
      <protection/>
    </xf>
    <xf numFmtId="1" fontId="3" fillId="2" borderId="8" xfId="0" applyNumberFormat="1" applyFont="1" applyFill="1" applyBorder="1" applyAlignment="1">
      <alignment/>
    </xf>
    <xf numFmtId="15" fontId="12" fillId="2" borderId="0" xfId="0" applyNumberFormat="1" applyFont="1" applyFill="1" applyBorder="1" applyAlignment="1">
      <alignment/>
    </xf>
    <xf numFmtId="10" fontId="3" fillId="2" borderId="10" xfId="0" applyNumberFormat="1" applyFont="1" applyFill="1" applyBorder="1" applyAlignment="1">
      <alignment horizontal="right"/>
    </xf>
    <xf numFmtId="10" fontId="15" fillId="2" borderId="10" xfId="0" applyNumberFormat="1" applyFont="1" applyFill="1" applyBorder="1" applyAlignment="1">
      <alignment horizontal="right"/>
    </xf>
    <xf numFmtId="169" fontId="12" fillId="2" borderId="0" xfId="0" applyNumberFormat="1" applyFont="1" applyFill="1" applyAlignment="1">
      <alignment/>
    </xf>
    <xf numFmtId="37" fontId="12" fillId="0" borderId="0" xfId="59" applyNumberFormat="1" applyFont="1" applyFill="1" applyBorder="1" applyAlignment="1">
      <alignment vertical="center"/>
      <protection/>
    </xf>
    <xf numFmtId="37" fontId="12" fillId="0" borderId="0" xfId="59" applyNumberFormat="1" applyFont="1" applyBorder="1" applyAlignment="1">
      <alignment horizontal="right"/>
      <protection/>
    </xf>
    <xf numFmtId="37" fontId="12" fillId="0" borderId="0" xfId="59" applyNumberFormat="1" applyFont="1" applyBorder="1" applyAlignment="1">
      <alignment vertical="center"/>
      <protection/>
    </xf>
    <xf numFmtId="169" fontId="12" fillId="0" borderId="0" xfId="42" applyNumberFormat="1" applyFont="1" applyBorder="1" applyAlignment="1">
      <alignment horizontal="right"/>
    </xf>
    <xf numFmtId="169" fontId="12" fillId="2" borderId="0" xfId="42" applyNumberFormat="1" applyFont="1" applyFill="1" applyBorder="1" applyAlignment="1">
      <alignment horizontal="right"/>
    </xf>
    <xf numFmtId="37" fontId="12" fillId="25" borderId="0" xfId="59" applyNumberFormat="1" applyFont="1" applyFill="1" applyBorder="1" applyAlignment="1" quotePrefix="1">
      <alignment horizontal="left"/>
      <protection/>
    </xf>
    <xf numFmtId="37" fontId="12" fillId="25" borderId="0" xfId="59" applyNumberFormat="1" applyFont="1" applyFill="1" applyBorder="1" applyAlignment="1" quotePrefix="1">
      <alignment horizontal="right"/>
      <protection/>
    </xf>
    <xf numFmtId="37" fontId="12" fillId="0" borderId="0" xfId="59" applyNumberFormat="1" applyFont="1" applyFill="1" applyBorder="1" applyAlignment="1">
      <alignment horizontal="right" vertical="center"/>
      <protection/>
    </xf>
    <xf numFmtId="37" fontId="12" fillId="0" borderId="0" xfId="59" applyNumberFormat="1" applyFont="1" applyBorder="1" applyAlignment="1" quotePrefix="1">
      <alignment horizontal="left" vertical="center"/>
      <protection/>
    </xf>
    <xf numFmtId="37" fontId="12" fillId="0" borderId="0" xfId="59" applyNumberFormat="1" applyFont="1" applyBorder="1" applyAlignment="1" quotePrefix="1">
      <alignment horizontal="right" vertical="center"/>
      <protection/>
    </xf>
    <xf numFmtId="37" fontId="12" fillId="0" borderId="0" xfId="59" applyNumberFormat="1" applyFont="1" applyBorder="1" applyAlignment="1">
      <alignment horizontal="left" vertical="center"/>
      <protection/>
    </xf>
    <xf numFmtId="37" fontId="12" fillId="0" borderId="0" xfId="59" applyNumberFormat="1" applyFont="1" applyBorder="1" applyAlignment="1">
      <alignment horizontal="right" vertical="center"/>
      <protection/>
    </xf>
    <xf numFmtId="169" fontId="12" fillId="0" borderId="11" xfId="42" applyNumberFormat="1" applyFont="1" applyBorder="1" applyAlignment="1">
      <alignment horizontal="right"/>
    </xf>
    <xf numFmtId="169" fontId="12" fillId="25" borderId="11" xfId="42" applyNumberFormat="1" applyFont="1" applyFill="1" applyBorder="1" applyAlignment="1">
      <alignment horizontal="right"/>
    </xf>
    <xf numFmtId="169" fontId="12" fillId="2" borderId="11" xfId="42" applyNumberFormat="1" applyFont="1" applyFill="1" applyBorder="1" applyAlignment="1">
      <alignment horizontal="right"/>
    </xf>
    <xf numFmtId="2" fontId="12" fillId="2" borderId="0" xfId="59" applyNumberFormat="1" applyFont="1" applyFill="1" applyBorder="1">
      <alignment/>
      <protection/>
    </xf>
    <xf numFmtId="5" fontId="15" fillId="2" borderId="0" xfId="0" applyNumberFormat="1" applyFont="1" applyFill="1" applyBorder="1" applyAlignment="1">
      <alignment horizontal="right"/>
    </xf>
    <xf numFmtId="5" fontId="15" fillId="2" borderId="16" xfId="0" applyNumberFormat="1" applyFont="1" applyFill="1" applyBorder="1" applyAlignment="1">
      <alignment horizontal="right"/>
    </xf>
    <xf numFmtId="5" fontId="15" fillId="2" borderId="0" xfId="0" applyNumberFormat="1" applyFont="1" applyFill="1" applyAlignment="1">
      <alignment horizontal="right"/>
    </xf>
    <xf numFmtId="5" fontId="14" fillId="2" borderId="10" xfId="0" applyNumberFormat="1" applyFont="1" applyFill="1" applyBorder="1" applyAlignment="1">
      <alignment/>
    </xf>
    <xf numFmtId="0" fontId="15" fillId="2" borderId="8" xfId="0" applyNumberFormat="1" applyFont="1" applyFill="1" applyBorder="1" applyAlignment="1">
      <alignment/>
    </xf>
    <xf numFmtId="0" fontId="15" fillId="2" borderId="17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18" xfId="0" applyFont="1" applyFill="1" applyBorder="1" applyAlignment="1">
      <alignment/>
    </xf>
    <xf numFmtId="10" fontId="14" fillId="2" borderId="0" xfId="0" applyNumberFormat="1" applyFont="1" applyFill="1" applyBorder="1" applyAlignment="1">
      <alignment horizontal="right"/>
    </xf>
    <xf numFmtId="5" fontId="14" fillId="2" borderId="16" xfId="0" applyNumberFormat="1" applyFont="1" applyFill="1" applyBorder="1" applyAlignment="1">
      <alignment/>
    </xf>
    <xf numFmtId="169" fontId="14" fillId="2" borderId="16" xfId="42" applyNumberFormat="1" applyFont="1" applyFill="1" applyBorder="1" applyAlignment="1">
      <alignment/>
    </xf>
    <xf numFmtId="5" fontId="15" fillId="2" borderId="0" xfId="0" applyNumberFormat="1" applyFont="1" applyFill="1" applyAlignment="1">
      <alignment/>
    </xf>
    <xf numFmtId="169" fontId="14" fillId="2" borderId="19" xfId="42" applyNumberFormat="1" applyFont="1" applyFill="1" applyBorder="1" applyAlignment="1">
      <alignment/>
    </xf>
    <xf numFmtId="169" fontId="14" fillId="2" borderId="10" xfId="42" applyNumberFormat="1" applyFont="1" applyFill="1" applyBorder="1" applyAlignment="1">
      <alignment/>
    </xf>
    <xf numFmtId="169" fontId="14" fillId="2" borderId="0" xfId="42" applyNumberFormat="1" applyFont="1" applyFill="1" applyBorder="1" applyAlignment="1">
      <alignment horizontal="right"/>
    </xf>
    <xf numFmtId="169" fontId="14" fillId="2" borderId="16" xfId="42" applyNumberFormat="1" applyFont="1" applyFill="1" applyBorder="1" applyAlignment="1">
      <alignment horizontal="right"/>
    </xf>
    <xf numFmtId="169" fontId="14" fillId="2" borderId="18" xfId="42" applyNumberFormat="1" applyFont="1" applyFill="1" applyBorder="1" applyAlignment="1">
      <alignment/>
    </xf>
    <xf numFmtId="169" fontId="14" fillId="2" borderId="20" xfId="42" applyNumberFormat="1" applyFont="1" applyFill="1" applyBorder="1" applyAlignment="1">
      <alignment/>
    </xf>
    <xf numFmtId="169" fontId="14" fillId="2" borderId="15" xfId="42" applyNumberFormat="1" applyFont="1" applyFill="1" applyBorder="1" applyAlignment="1">
      <alignment/>
    </xf>
    <xf numFmtId="10" fontId="14" fillId="2" borderId="9" xfId="0" applyNumberFormat="1" applyFont="1" applyFill="1" applyBorder="1" applyAlignment="1">
      <alignment/>
    </xf>
    <xf numFmtId="169" fontId="14" fillId="2" borderId="14" xfId="42" applyNumberFormat="1" applyFont="1" applyFill="1" applyBorder="1" applyAlignment="1">
      <alignment/>
    </xf>
    <xf numFmtId="5" fontId="14" fillId="2" borderId="0" xfId="0" applyNumberFormat="1" applyFont="1" applyFill="1" applyBorder="1" applyAlignment="1">
      <alignment horizontal="right"/>
    </xf>
    <xf numFmtId="0" fontId="14" fillId="25" borderId="0" xfId="0" applyFont="1" applyFill="1" applyBorder="1" applyAlignment="1">
      <alignment/>
    </xf>
    <xf numFmtId="169" fontId="14" fillId="2" borderId="21" xfId="42" applyNumberFormat="1" applyFont="1" applyFill="1" applyBorder="1" applyAlignment="1">
      <alignment/>
    </xf>
    <xf numFmtId="5" fontId="15" fillId="2" borderId="22" xfId="0" applyNumberFormat="1" applyFont="1" applyFill="1" applyBorder="1" applyAlignment="1">
      <alignment horizontal="right"/>
    </xf>
    <xf numFmtId="0" fontId="15" fillId="2" borderId="23" xfId="0" applyNumberFormat="1" applyFont="1" applyFill="1" applyBorder="1" applyAlignment="1">
      <alignment/>
    </xf>
    <xf numFmtId="10" fontId="14" fillId="2" borderId="0" xfId="0" applyNumberFormat="1" applyFont="1" applyFill="1" applyBorder="1" applyAlignment="1">
      <alignment/>
    </xf>
    <xf numFmtId="5" fontId="14" fillId="2" borderId="22" xfId="0" applyNumberFormat="1" applyFont="1" applyFill="1" applyBorder="1" applyAlignment="1">
      <alignment/>
    </xf>
    <xf numFmtId="10" fontId="14" fillId="2" borderId="22" xfId="0" applyNumberFormat="1" applyFont="1" applyFill="1" applyBorder="1" applyAlignment="1">
      <alignment/>
    </xf>
    <xf numFmtId="10" fontId="14" fillId="2" borderId="10" xfId="0" applyNumberFormat="1" applyFont="1" applyFill="1" applyBorder="1" applyAlignment="1">
      <alignment/>
    </xf>
    <xf numFmtId="10" fontId="14" fillId="2" borderId="24" xfId="0" applyNumberFormat="1" applyFont="1" applyFill="1" applyBorder="1" applyAlignment="1">
      <alignment/>
    </xf>
    <xf numFmtId="10" fontId="14" fillId="2" borderId="15" xfId="0" applyNumberFormat="1" applyFont="1" applyFill="1" applyBorder="1" applyAlignment="1">
      <alignment/>
    </xf>
    <xf numFmtId="10" fontId="14" fillId="2" borderId="25" xfId="0" applyNumberFormat="1" applyFont="1" applyFill="1" applyBorder="1" applyAlignment="1">
      <alignment/>
    </xf>
    <xf numFmtId="10" fontId="14" fillId="2" borderId="11" xfId="0" applyNumberFormat="1" applyFont="1" applyFill="1" applyBorder="1" applyAlignment="1">
      <alignment/>
    </xf>
    <xf numFmtId="168" fontId="15" fillId="2" borderId="8" xfId="0" applyNumberFormat="1" applyFont="1" applyFill="1" applyBorder="1" applyAlignment="1">
      <alignment horizontal="right"/>
    </xf>
    <xf numFmtId="0" fontId="15" fillId="2" borderId="23" xfId="0" applyNumberFormat="1" applyFont="1" applyFill="1" applyBorder="1" applyAlignment="1">
      <alignment horizontal="right"/>
    </xf>
    <xf numFmtId="5" fontId="15" fillId="2" borderId="10" xfId="0" applyNumberFormat="1" applyFont="1" applyFill="1" applyBorder="1" applyAlignment="1">
      <alignment horizontal="right"/>
    </xf>
    <xf numFmtId="0" fontId="14" fillId="2" borderId="22" xfId="0" applyFont="1" applyFill="1" applyBorder="1" applyAlignment="1">
      <alignment/>
    </xf>
    <xf numFmtId="2" fontId="14" fillId="2" borderId="0" xfId="0" applyNumberFormat="1" applyFont="1" applyFill="1" applyBorder="1" applyAlignment="1">
      <alignment/>
    </xf>
    <xf numFmtId="2" fontId="14" fillId="2" borderId="0" xfId="0" applyNumberFormat="1" applyFont="1" applyFill="1" applyAlignment="1">
      <alignment/>
    </xf>
    <xf numFmtId="2" fontId="14" fillId="2" borderId="22" xfId="0" applyNumberFormat="1" applyFont="1" applyFill="1" applyBorder="1" applyAlignment="1">
      <alignment/>
    </xf>
    <xf numFmtId="2" fontId="14" fillId="2" borderId="0" xfId="0" applyNumberFormat="1" applyFont="1" applyFill="1" applyAlignment="1">
      <alignment horizontal="right"/>
    </xf>
    <xf numFmtId="2" fontId="14" fillId="2" borderId="22" xfId="0" applyNumberFormat="1" applyFont="1" applyFill="1" applyBorder="1" applyAlignment="1">
      <alignment horizontal="right"/>
    </xf>
    <xf numFmtId="5" fontId="17" fillId="2" borderId="2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0" fontId="12" fillId="0" borderId="10" xfId="0" applyNumberFormat="1" applyFont="1" applyFill="1" applyBorder="1" applyAlignment="1">
      <alignment/>
    </xf>
    <xf numFmtId="10" fontId="12" fillId="0" borderId="8" xfId="0" applyNumberFormat="1" applyFont="1" applyFill="1" applyBorder="1" applyAlignment="1">
      <alignment/>
    </xf>
    <xf numFmtId="5" fontId="12" fillId="0" borderId="0" xfId="0" applyNumberFormat="1" applyFont="1" applyFill="1" applyAlignment="1">
      <alignment/>
    </xf>
    <xf numFmtId="10" fontId="12" fillId="0" borderId="12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15" xfId="0" applyNumberFormat="1" applyFont="1" applyFill="1" applyBorder="1" applyAlignment="1">
      <alignment/>
    </xf>
    <xf numFmtId="10" fontId="12" fillId="0" borderId="14" xfId="0" applyNumberFormat="1" applyFont="1" applyFill="1" applyBorder="1" applyAlignment="1">
      <alignment/>
    </xf>
    <xf numFmtId="10" fontId="12" fillId="0" borderId="0" xfId="0" applyNumberFormat="1" applyFont="1" applyFill="1" applyAlignment="1">
      <alignment horizontal="center"/>
    </xf>
    <xf numFmtId="10" fontId="12" fillId="0" borderId="0" xfId="0" applyNumberFormat="1" applyFont="1" applyFill="1" applyAlignment="1" quotePrefix="1">
      <alignment horizontal="center"/>
    </xf>
    <xf numFmtId="5" fontId="10" fillId="0" borderId="0" xfId="0" applyNumberFormat="1" applyFont="1" applyFill="1" applyAlignment="1">
      <alignment horizontal="centerContinuous"/>
    </xf>
    <xf numFmtId="5" fontId="0" fillId="0" borderId="0" xfId="0" applyNumberFormat="1" applyFont="1" applyFill="1" applyAlignment="1">
      <alignment horizontal="centerContinuous"/>
    </xf>
    <xf numFmtId="5" fontId="3" fillId="0" borderId="0" xfId="0" applyNumberFormat="1" applyFont="1" applyFill="1" applyAlignment="1">
      <alignment horizontal="centerContinuous"/>
    </xf>
    <xf numFmtId="10" fontId="0" fillId="0" borderId="0" xfId="0" applyNumberFormat="1" applyFont="1" applyFill="1" applyAlignment="1">
      <alignment horizontal="centerContinuous"/>
    </xf>
    <xf numFmtId="167" fontId="3" fillId="0" borderId="0" xfId="0" applyNumberFormat="1" applyFont="1" applyFill="1" applyAlignment="1">
      <alignment horizontal="centerContinuous"/>
    </xf>
    <xf numFmtId="5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5" fontId="3" fillId="0" borderId="0" xfId="0" applyNumberFormat="1" applyFont="1" applyFill="1" applyAlignment="1">
      <alignment/>
    </xf>
    <xf numFmtId="5" fontId="3" fillId="0" borderId="0" xfId="0" applyNumberFormat="1" applyFont="1" applyFill="1" applyAlignment="1">
      <alignment horizontal="right"/>
    </xf>
    <xf numFmtId="1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5" fontId="3" fillId="0" borderId="10" xfId="0" applyNumberFormat="1" applyFont="1" applyFill="1" applyBorder="1" applyAlignment="1">
      <alignment/>
    </xf>
    <xf numFmtId="0" fontId="3" fillId="0" borderId="8" xfId="0" applyNumberFormat="1" applyFont="1" applyFill="1" applyBorder="1" applyAlignment="1">
      <alignment/>
    </xf>
    <xf numFmtId="1" fontId="3" fillId="0" borderId="8" xfId="0" applyNumberFormat="1" applyFont="1" applyFill="1" applyBorder="1" applyAlignment="1">
      <alignment horizontal="right"/>
    </xf>
    <xf numFmtId="10" fontId="3" fillId="0" borderId="10" xfId="0" applyNumberFormat="1" applyFont="1" applyFill="1" applyBorder="1" applyAlignment="1">
      <alignment horizontal="right"/>
    </xf>
    <xf numFmtId="5" fontId="12" fillId="0" borderId="0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0" fontId="12" fillId="0" borderId="0" xfId="0" applyNumberFormat="1" applyFont="1" applyFill="1" applyBorder="1" applyAlignment="1">
      <alignment horizontal="right"/>
    </xf>
    <xf numFmtId="5" fontId="18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10" fontId="12" fillId="0" borderId="0" xfId="62" applyFont="1" applyFill="1">
      <alignment/>
      <protection/>
    </xf>
    <xf numFmtId="2" fontId="12" fillId="0" borderId="0" xfId="0" applyNumberFormat="1" applyFont="1" applyFill="1" applyAlignment="1">
      <alignment horizontal="right"/>
    </xf>
    <xf numFmtId="5" fontId="12" fillId="0" borderId="0" xfId="0" applyNumberFormat="1" applyFont="1" applyFill="1" applyAlignment="1">
      <alignment horizontal="centerContinuous"/>
    </xf>
    <xf numFmtId="5" fontId="9" fillId="0" borderId="0" xfId="0" applyNumberFormat="1" applyFont="1" applyFill="1" applyAlignment="1">
      <alignment/>
    </xf>
    <xf numFmtId="10" fontId="9" fillId="0" borderId="0" xfId="0" applyNumberFormat="1" applyFont="1" applyFill="1" applyAlignment="1">
      <alignment horizontal="right"/>
    </xf>
    <xf numFmtId="10" fontId="9" fillId="0" borderId="10" xfId="0" applyNumberFormat="1" applyFont="1" applyFill="1" applyBorder="1" applyAlignment="1">
      <alignment horizontal="right"/>
    </xf>
    <xf numFmtId="5" fontId="20" fillId="0" borderId="0" xfId="0" applyNumberFormat="1" applyFont="1" applyFill="1" applyAlignment="1">
      <alignment/>
    </xf>
    <xf numFmtId="169" fontId="14" fillId="0" borderId="0" xfId="42" applyNumberFormat="1" applyFont="1" applyFill="1" applyAlignment="1">
      <alignment/>
    </xf>
    <xf numFmtId="10" fontId="14" fillId="0" borderId="0" xfId="0" applyNumberFormat="1" applyFont="1" applyFill="1" applyAlignment="1">
      <alignment/>
    </xf>
    <xf numFmtId="169" fontId="14" fillId="0" borderId="8" xfId="42" applyNumberFormat="1" applyFont="1" applyFill="1" applyBorder="1" applyAlignment="1">
      <alignment/>
    </xf>
    <xf numFmtId="10" fontId="14" fillId="0" borderId="8" xfId="0" applyNumberFormat="1" applyFont="1" applyFill="1" applyBorder="1" applyAlignment="1">
      <alignment/>
    </xf>
    <xf numFmtId="5" fontId="14" fillId="0" borderId="0" xfId="0" applyNumberFormat="1" applyFont="1" applyFill="1" applyAlignment="1">
      <alignment/>
    </xf>
    <xf numFmtId="169" fontId="14" fillId="0" borderId="0" xfId="42" applyNumberFormat="1" applyFont="1" applyFill="1" applyBorder="1" applyAlignment="1">
      <alignment/>
    </xf>
    <xf numFmtId="10" fontId="14" fillId="0" borderId="0" xfId="62" applyFont="1" applyFill="1">
      <alignment/>
      <protection/>
    </xf>
    <xf numFmtId="5" fontId="3" fillId="0" borderId="8" xfId="0" applyNumberFormat="1" applyFont="1" applyFill="1" applyBorder="1" applyAlignment="1">
      <alignment/>
    </xf>
    <xf numFmtId="5" fontId="3" fillId="0" borderId="0" xfId="0" applyNumberFormat="1" applyFont="1" applyFill="1" applyBorder="1" applyAlignment="1">
      <alignment/>
    </xf>
    <xf numFmtId="43" fontId="14" fillId="0" borderId="0" xfId="42" applyFont="1" applyFill="1" applyAlignment="1">
      <alignment/>
    </xf>
    <xf numFmtId="169" fontId="14" fillId="0" borderId="0" xfId="0" applyNumberFormat="1" applyFont="1" applyFill="1" applyAlignment="1">
      <alignment/>
    </xf>
    <xf numFmtId="10" fontId="5" fillId="0" borderId="0" xfId="62" applyFont="1" applyFill="1">
      <alignment/>
      <protection/>
    </xf>
    <xf numFmtId="1" fontId="15" fillId="2" borderId="8" xfId="0" applyNumberFormat="1" applyFont="1" applyFill="1" applyBorder="1" applyAlignment="1" quotePrefix="1">
      <alignment horizontal="right"/>
    </xf>
    <xf numFmtId="0" fontId="15" fillId="2" borderId="8" xfId="0" applyNumberFormat="1" applyFont="1" applyFill="1" applyBorder="1" applyAlignment="1" quotePrefix="1">
      <alignment horizontal="right"/>
    </xf>
    <xf numFmtId="5" fontId="10" fillId="0" borderId="0" xfId="0" applyNumberFormat="1" applyFont="1" applyFill="1" applyAlignment="1">
      <alignment horizontal="center"/>
    </xf>
    <xf numFmtId="5" fontId="3" fillId="0" borderId="0" xfId="0" applyNumberFormat="1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Financial Cash flow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5"/>
  <sheetViews>
    <sheetView showGridLines="0" zoomScalePageLayoutView="0" workbookViewId="0" topLeftCell="A28">
      <selection activeCell="M4" sqref="M4"/>
    </sheetView>
  </sheetViews>
  <sheetFormatPr defaultColWidth="13.7109375" defaultRowHeight="12.75"/>
  <cols>
    <col min="1" max="1" width="31.140625" style="0" customWidth="1"/>
    <col min="2" max="2" width="13.7109375" style="0" hidden="1" customWidth="1"/>
    <col min="3" max="7" width="13.7109375" style="0" customWidth="1"/>
    <col min="8" max="8" width="12.7109375" style="1" customWidth="1"/>
    <col min="9" max="15" width="13.7109375" style="0" customWidth="1"/>
    <col min="16" max="23" width="12.7109375" style="0" customWidth="1"/>
  </cols>
  <sheetData>
    <row r="1" ht="15">
      <c r="H1" s="166" t="s">
        <v>105</v>
      </c>
    </row>
    <row r="2" ht="15">
      <c r="H2" s="167" t="s">
        <v>239</v>
      </c>
    </row>
    <row r="3" spans="1:9" ht="18">
      <c r="A3" s="66" t="str">
        <f>Assumptions!D3</f>
        <v>Flowell Electric Association, Inc.</v>
      </c>
      <c r="B3" s="66"/>
      <c r="C3" s="5"/>
      <c r="D3" s="5"/>
      <c r="E3" s="5"/>
      <c r="F3" s="5"/>
      <c r="G3" s="5"/>
      <c r="H3" s="6"/>
      <c r="I3" s="2"/>
    </row>
    <row r="4" spans="1:9" ht="15.75">
      <c r="A4" s="67" t="s">
        <v>58</v>
      </c>
      <c r="B4" s="67"/>
      <c r="C4" s="5"/>
      <c r="D4" s="5"/>
      <c r="E4" s="5"/>
      <c r="F4" s="5"/>
      <c r="G4" s="5"/>
      <c r="H4" s="6"/>
      <c r="I4" s="2"/>
    </row>
    <row r="5" spans="1:9" ht="15.75">
      <c r="A5" s="68" t="s">
        <v>103</v>
      </c>
      <c r="B5" s="68"/>
      <c r="C5" s="5"/>
      <c r="D5" s="5"/>
      <c r="E5" s="5"/>
      <c r="F5" s="5"/>
      <c r="G5" s="5"/>
      <c r="H5" s="6"/>
      <c r="I5" s="2"/>
    </row>
    <row r="6" spans="1:9" ht="12.75">
      <c r="A6" s="63"/>
      <c r="B6" s="63"/>
      <c r="C6" s="57"/>
      <c r="D6" s="57"/>
      <c r="E6" s="57"/>
      <c r="F6" s="57"/>
      <c r="G6" s="57"/>
      <c r="H6" s="58"/>
      <c r="I6" s="2"/>
    </row>
    <row r="7" spans="1:9" ht="15.75">
      <c r="A7" s="71"/>
      <c r="B7" s="71"/>
      <c r="C7" s="71"/>
      <c r="D7" s="71"/>
      <c r="E7" s="71"/>
      <c r="F7" s="71"/>
      <c r="G7" s="71"/>
      <c r="H7" s="127" t="s">
        <v>172</v>
      </c>
      <c r="I7" s="2"/>
    </row>
    <row r="8" spans="1:9" ht="15.75">
      <c r="A8" s="128"/>
      <c r="B8" s="128"/>
      <c r="C8" s="128"/>
      <c r="D8" s="129"/>
      <c r="E8" s="130"/>
      <c r="F8" s="130"/>
      <c r="G8" s="131"/>
      <c r="H8" s="164" t="s">
        <v>5</v>
      </c>
      <c r="I8" s="2"/>
    </row>
    <row r="9" spans="1:9" ht="15.75">
      <c r="A9" s="132" t="s">
        <v>1</v>
      </c>
      <c r="B9" s="133">
        <v>2004</v>
      </c>
      <c r="C9" s="133">
        <v>2005</v>
      </c>
      <c r="D9" s="133">
        <v>2006</v>
      </c>
      <c r="E9" s="134">
        <v>2007</v>
      </c>
      <c r="F9" s="134">
        <v>2008</v>
      </c>
      <c r="G9" s="134">
        <v>2009</v>
      </c>
      <c r="H9" s="165" t="s">
        <v>32</v>
      </c>
      <c r="I9" s="2"/>
    </row>
    <row r="10" spans="1:9" ht="7.5" customHeight="1">
      <c r="A10" s="71"/>
      <c r="B10" s="71"/>
      <c r="C10" s="71"/>
      <c r="D10" s="71"/>
      <c r="E10" s="71"/>
      <c r="F10" s="71"/>
      <c r="G10" s="71"/>
      <c r="H10" s="135"/>
      <c r="I10" s="2"/>
    </row>
    <row r="11" spans="1:15" ht="15">
      <c r="A11" s="136" t="s">
        <v>9</v>
      </c>
      <c r="B11" s="128"/>
      <c r="C11" s="128"/>
      <c r="D11" s="128"/>
      <c r="E11" s="128"/>
      <c r="F11" s="128"/>
      <c r="G11" s="128"/>
      <c r="H11" s="83"/>
      <c r="I11" s="2"/>
      <c r="K11" s="1"/>
      <c r="L11" s="1"/>
      <c r="M11" s="1"/>
      <c r="N11" s="1"/>
      <c r="O11" t="s">
        <v>93</v>
      </c>
    </row>
    <row r="12" spans="1:15" ht="15">
      <c r="A12" s="128" t="s">
        <v>6</v>
      </c>
      <c r="B12" s="137">
        <f>143458+9710</f>
        <v>153168</v>
      </c>
      <c r="C12" s="138">
        <f>115593+9747</f>
        <v>125340</v>
      </c>
      <c r="D12" s="139">
        <f>118512+9828</f>
        <v>128340</v>
      </c>
      <c r="E12" s="139">
        <f>168234+9894</f>
        <v>178128</v>
      </c>
      <c r="F12" s="139">
        <f>58042+9907</f>
        <v>67949</v>
      </c>
      <c r="G12" s="139">
        <f>26550+9911</f>
        <v>36461</v>
      </c>
      <c r="H12" s="83">
        <f>RATE(4,,-C12,G12)</f>
        <v>-0.2655965280976353</v>
      </c>
      <c r="I12" s="93"/>
      <c r="J12" s="94"/>
      <c r="K12" s="94"/>
      <c r="L12" s="94"/>
      <c r="M12" s="1"/>
      <c r="N12" s="1"/>
      <c r="O12" s="1"/>
    </row>
    <row r="13" spans="1:15" ht="15">
      <c r="A13" s="140" t="s">
        <v>102</v>
      </c>
      <c r="B13" s="137">
        <v>218254</v>
      </c>
      <c r="C13" s="138">
        <v>181100</v>
      </c>
      <c r="D13" s="138">
        <v>103863</v>
      </c>
      <c r="E13" s="138">
        <v>140074</v>
      </c>
      <c r="F13" s="138">
        <v>121257</v>
      </c>
      <c r="G13" s="138">
        <v>135060</v>
      </c>
      <c r="H13" s="83">
        <f>RATE(4,,-C13,G13)</f>
        <v>-0.07070826679929297</v>
      </c>
      <c r="I13" s="2"/>
      <c r="J13" s="56">
        <f>C13/C131</f>
        <v>0.12884810082452824</v>
      </c>
      <c r="K13" s="56">
        <f>D13/D131</f>
        <v>0.06758455634031023</v>
      </c>
      <c r="L13" s="56">
        <f>E13/E131</f>
        <v>0.08196293487623113</v>
      </c>
      <c r="M13" s="56">
        <f>F13/F131</f>
        <v>0.06962346930514333</v>
      </c>
      <c r="N13" s="56">
        <f>G13/G131</f>
        <v>0.06515934030148135</v>
      </c>
      <c r="O13" s="1">
        <f>AVERAGE(L13:N13)-0.01</f>
        <v>0.06224858149428527</v>
      </c>
    </row>
    <row r="14" spans="1:9" ht="15">
      <c r="A14" s="141" t="s">
        <v>187</v>
      </c>
      <c r="B14" s="137">
        <v>225000</v>
      </c>
      <c r="C14" s="138">
        <v>225000</v>
      </c>
      <c r="D14" s="138">
        <v>225000</v>
      </c>
      <c r="E14" s="138">
        <v>225000</v>
      </c>
      <c r="F14" s="138">
        <v>225000</v>
      </c>
      <c r="G14" s="138">
        <v>225000</v>
      </c>
      <c r="H14" s="83">
        <f>RATE(4,,-C14,G14)</f>
        <v>-3.6556066730924776E-17</v>
      </c>
      <c r="I14" s="2"/>
    </row>
    <row r="15" spans="1:10" ht="15">
      <c r="A15" s="128" t="s">
        <v>31</v>
      </c>
      <c r="B15" s="137">
        <v>16462</v>
      </c>
      <c r="C15" s="138">
        <v>17087</v>
      </c>
      <c r="D15" s="138"/>
      <c r="E15" s="142"/>
      <c r="F15" s="142"/>
      <c r="G15" s="143">
        <v>17026</v>
      </c>
      <c r="H15" s="85">
        <f>RATE(4,,-C15,G15)</f>
        <v>-0.0008936886732622234</v>
      </c>
      <c r="I15" s="2"/>
      <c r="J15">
        <f>AVERAGE(C15:G15)</f>
        <v>17056.5</v>
      </c>
    </row>
    <row r="16" spans="1:9" ht="15">
      <c r="A16" s="128" t="s">
        <v>47</v>
      </c>
      <c r="B16" s="144">
        <f aca="true" t="shared" si="0" ref="B16:G16">SUM(B11:B15)</f>
        <v>612884</v>
      </c>
      <c r="C16" s="145">
        <f t="shared" si="0"/>
        <v>548527</v>
      </c>
      <c r="D16" s="145">
        <f t="shared" si="0"/>
        <v>457203</v>
      </c>
      <c r="E16" s="145">
        <f t="shared" si="0"/>
        <v>543202</v>
      </c>
      <c r="F16" s="145">
        <f t="shared" si="0"/>
        <v>414206</v>
      </c>
      <c r="G16" s="145">
        <f t="shared" si="0"/>
        <v>413547</v>
      </c>
      <c r="H16" s="83">
        <f>RATE(4,,-C16,G16)</f>
        <v>-0.06818066807464168</v>
      </c>
      <c r="I16" s="2"/>
    </row>
    <row r="17" spans="1:9" ht="15">
      <c r="A17" s="128"/>
      <c r="B17" s="128"/>
      <c r="C17" s="138"/>
      <c r="D17" s="138"/>
      <c r="E17" s="138"/>
      <c r="F17" s="138"/>
      <c r="G17" s="138"/>
      <c r="H17" s="83"/>
      <c r="I17" s="2"/>
    </row>
    <row r="18" spans="1:9" ht="15">
      <c r="A18" s="136" t="s">
        <v>33</v>
      </c>
      <c r="B18" s="128"/>
      <c r="C18" s="138"/>
      <c r="D18" s="138"/>
      <c r="E18" s="138"/>
      <c r="F18" s="138"/>
      <c r="G18" s="138"/>
      <c r="H18" s="83"/>
      <c r="I18" s="2"/>
    </row>
    <row r="19" spans="1:9" ht="15">
      <c r="A19" s="128" t="s">
        <v>108</v>
      </c>
      <c r="B19" s="128">
        <v>2211217</v>
      </c>
      <c r="C19" s="138">
        <v>2317592</v>
      </c>
      <c r="D19" s="138">
        <v>2645957</v>
      </c>
      <c r="E19" s="138">
        <v>4593943</v>
      </c>
      <c r="F19" s="138">
        <v>4784065</v>
      </c>
      <c r="G19" s="138">
        <v>5006010</v>
      </c>
      <c r="H19" s="83">
        <f>RATE(4,,-C19,G19)</f>
        <v>0.21230998572851084</v>
      </c>
      <c r="I19" s="2"/>
    </row>
    <row r="20" spans="1:9" ht="15">
      <c r="A20" s="128" t="s">
        <v>71</v>
      </c>
      <c r="B20" s="128"/>
      <c r="C20" s="138"/>
      <c r="D20" s="146">
        <v>250379</v>
      </c>
      <c r="E20" s="146"/>
      <c r="F20" s="146"/>
      <c r="G20" s="146"/>
      <c r="H20" s="83"/>
      <c r="I20" s="2"/>
    </row>
    <row r="21" spans="1:9" ht="15">
      <c r="A21" s="128" t="s">
        <v>72</v>
      </c>
      <c r="B21" s="128"/>
      <c r="C21" s="138"/>
      <c r="D21" s="146"/>
      <c r="E21" s="147"/>
      <c r="F21" s="147"/>
      <c r="G21" s="147"/>
      <c r="H21" s="85"/>
      <c r="I21" s="2"/>
    </row>
    <row r="22" spans="1:15" ht="15" customHeight="1">
      <c r="A22" s="128" t="s">
        <v>79</v>
      </c>
      <c r="B22" s="148">
        <f aca="true" t="shared" si="1" ref="B22:G22">SUM(B19:B21)</f>
        <v>2211217</v>
      </c>
      <c r="C22" s="145">
        <f t="shared" si="1"/>
        <v>2317592</v>
      </c>
      <c r="D22" s="145">
        <f t="shared" si="1"/>
        <v>2896336</v>
      </c>
      <c r="E22" s="143">
        <f t="shared" si="1"/>
        <v>4593943</v>
      </c>
      <c r="F22" s="143">
        <f t="shared" si="1"/>
        <v>4784065</v>
      </c>
      <c r="G22" s="143">
        <f t="shared" si="1"/>
        <v>5006010</v>
      </c>
      <c r="H22" s="83">
        <f>RATE(4,,-C22,G22)</f>
        <v>0.21230998572851084</v>
      </c>
      <c r="I22" s="64">
        <f>RATE(2,,-E22,G22)</f>
        <v>0.04388595705284311</v>
      </c>
      <c r="J22">
        <f>+D22-C22</f>
        <v>578744</v>
      </c>
      <c r="K22">
        <f>+E22-D22</f>
        <v>1697607</v>
      </c>
      <c r="L22">
        <f>+F22-E22</f>
        <v>190122</v>
      </c>
      <c r="M22">
        <f>+G22-F22</f>
        <v>221945</v>
      </c>
      <c r="O22">
        <f>AVERAGE(J22:M22)</f>
        <v>672104.5</v>
      </c>
    </row>
    <row r="23" spans="1:9" ht="12.75" customHeight="1">
      <c r="A23" s="128"/>
      <c r="B23" s="128"/>
      <c r="C23" s="138"/>
      <c r="D23" s="138"/>
      <c r="E23" s="138"/>
      <c r="F23" s="138"/>
      <c r="G23" s="138"/>
      <c r="H23" s="83"/>
      <c r="I23" s="2"/>
    </row>
    <row r="24" spans="1:15" ht="12.75" customHeight="1">
      <c r="A24" s="128" t="s">
        <v>73</v>
      </c>
      <c r="B24" s="128">
        <v>1298475</v>
      </c>
      <c r="C24" s="138">
        <v>1351277</v>
      </c>
      <c r="D24" s="138">
        <v>1420275</v>
      </c>
      <c r="E24" s="138">
        <v>1481789</v>
      </c>
      <c r="F24" s="138">
        <v>1597595</v>
      </c>
      <c r="G24" s="138">
        <v>1718918</v>
      </c>
      <c r="H24" s="83">
        <f>RATE(4,,-C24,G24)</f>
        <v>0.06200776870742901</v>
      </c>
      <c r="I24" s="2"/>
      <c r="J24" s="1">
        <f>C24/C19</f>
        <v>0.583052150680534</v>
      </c>
      <c r="K24" s="1">
        <f>D24/D19</f>
        <v>0.5367717615970328</v>
      </c>
      <c r="L24" s="1">
        <f>E24/E19</f>
        <v>0.32255276132072164</v>
      </c>
      <c r="M24" s="1">
        <f>F24/F19</f>
        <v>0.3339409059032434</v>
      </c>
      <c r="N24" s="1">
        <f>G24/G19</f>
        <v>0.3433708682164039</v>
      </c>
      <c r="O24" s="48">
        <f>SUM(C24:G24)/SUM(C19:G19)</f>
        <v>0.3912561202139783</v>
      </c>
    </row>
    <row r="25" spans="1:10" ht="12.75" customHeight="1">
      <c r="A25" s="128"/>
      <c r="B25" s="128"/>
      <c r="C25" s="138"/>
      <c r="D25" s="138"/>
      <c r="E25" s="138"/>
      <c r="F25" s="138"/>
      <c r="G25" s="138"/>
      <c r="H25" s="83"/>
      <c r="I25" s="2"/>
      <c r="J25">
        <f>(G24-F24)*12/10+G24</f>
        <v>1864505.6</v>
      </c>
    </row>
    <row r="26" spans="1:9" ht="15">
      <c r="A26" s="128" t="s">
        <v>74</v>
      </c>
      <c r="B26" s="128">
        <f aca="true" t="shared" si="2" ref="B26:G26">B22-B24</f>
        <v>912742</v>
      </c>
      <c r="C26" s="138">
        <f t="shared" si="2"/>
        <v>966315</v>
      </c>
      <c r="D26" s="138">
        <f t="shared" si="2"/>
        <v>1476061</v>
      </c>
      <c r="E26" s="138">
        <f t="shared" si="2"/>
        <v>3112154</v>
      </c>
      <c r="F26" s="138">
        <f t="shared" si="2"/>
        <v>3186470</v>
      </c>
      <c r="G26" s="138">
        <f t="shared" si="2"/>
        <v>3287092</v>
      </c>
      <c r="H26" s="83">
        <f>RATE(4,,-C26,G26)</f>
        <v>0.35807353014013854</v>
      </c>
      <c r="I26" s="2"/>
    </row>
    <row r="27" spans="1:9" ht="12.75" customHeight="1">
      <c r="A27" s="128"/>
      <c r="B27" s="128"/>
      <c r="C27" s="138"/>
      <c r="D27" s="138"/>
      <c r="E27" s="138"/>
      <c r="F27" s="138"/>
      <c r="G27" s="138"/>
      <c r="H27" s="83"/>
      <c r="I27" s="2"/>
    </row>
    <row r="28" spans="1:15" ht="15">
      <c r="A28" s="136" t="s">
        <v>83</v>
      </c>
      <c r="B28" s="128"/>
      <c r="C28" s="138"/>
      <c r="D28" s="138"/>
      <c r="E28" s="138"/>
      <c r="F28" s="138"/>
      <c r="G28" s="138"/>
      <c r="H28" s="83"/>
      <c r="I28" s="2"/>
      <c r="K28">
        <f>+D24-C24</f>
        <v>68998</v>
      </c>
      <c r="L28">
        <f>+E24-D24</f>
        <v>61514</v>
      </c>
      <c r="M28">
        <f>+F24-E24</f>
        <v>115806</v>
      </c>
      <c r="N28">
        <f>+G24-F24</f>
        <v>121323</v>
      </c>
      <c r="O28">
        <f>(+N28+M28+L28+K28)/4</f>
        <v>91910.25</v>
      </c>
    </row>
    <row r="29" spans="1:16" ht="15">
      <c r="A29" s="128" t="s">
        <v>75</v>
      </c>
      <c r="B29" s="128"/>
      <c r="C29" s="138"/>
      <c r="D29" s="138"/>
      <c r="E29" s="138"/>
      <c r="F29" s="138"/>
      <c r="G29" s="138"/>
      <c r="H29" s="83"/>
      <c r="I29" s="2"/>
      <c r="K29" s="56">
        <f>+C24/C34</f>
        <v>0.8516841737709836</v>
      </c>
      <c r="L29" s="56">
        <f>+D24/D34</f>
        <v>0.708219641211599</v>
      </c>
      <c r="M29" s="56">
        <f>+E24/E34</f>
        <v>0.3967881291507016</v>
      </c>
      <c r="N29" s="56">
        <f>+F24/F34</f>
        <v>0.4324001803657874</v>
      </c>
      <c r="O29" s="56">
        <f>+G24/G34</f>
        <v>0.4516937879812713</v>
      </c>
      <c r="P29" s="1">
        <f>(+O29+N29+M29)/3</f>
        <v>0.4269606991659201</v>
      </c>
    </row>
    <row r="30" spans="1:9" ht="15">
      <c r="A30" s="128" t="s">
        <v>99</v>
      </c>
      <c r="B30" s="128"/>
      <c r="C30" s="138"/>
      <c r="D30" s="146"/>
      <c r="E30" s="146"/>
      <c r="F30" s="146"/>
      <c r="G30" s="146"/>
      <c r="H30" s="83"/>
      <c r="I30" s="2"/>
    </row>
    <row r="31" spans="1:16" ht="15">
      <c r="A31" s="128" t="s">
        <v>188</v>
      </c>
      <c r="B31" s="128">
        <v>71505</v>
      </c>
      <c r="C31" s="138">
        <v>71752</v>
      </c>
      <c r="D31" s="138">
        <v>72152</v>
      </c>
      <c r="E31" s="142">
        <v>79103</v>
      </c>
      <c r="F31" s="142">
        <v>94038</v>
      </c>
      <c r="G31" s="143">
        <f>104855</f>
        <v>104855</v>
      </c>
      <c r="H31" s="85">
        <f>RATE(4,,-C31,G31)</f>
        <v>0.09948366993954201</v>
      </c>
      <c r="I31" s="2">
        <f>+G31-F31</f>
        <v>10817</v>
      </c>
      <c r="J31" s="1"/>
      <c r="K31" s="1"/>
      <c r="L31" s="1"/>
      <c r="M31" s="1"/>
      <c r="N31" s="1"/>
      <c r="O31" s="1"/>
      <c r="P31" s="1"/>
    </row>
    <row r="32" spans="1:10" ht="15">
      <c r="A32" s="128" t="s">
        <v>84</v>
      </c>
      <c r="B32" s="148">
        <f aca="true" t="shared" si="3" ref="B32:G32">SUM(B29:B31)</f>
        <v>71505</v>
      </c>
      <c r="C32" s="145">
        <f t="shared" si="3"/>
        <v>71752</v>
      </c>
      <c r="D32" s="145">
        <f t="shared" si="3"/>
        <v>72152</v>
      </c>
      <c r="E32" s="149">
        <f t="shared" si="3"/>
        <v>79103</v>
      </c>
      <c r="F32" s="149">
        <f t="shared" si="3"/>
        <v>94038</v>
      </c>
      <c r="G32" s="149">
        <f t="shared" si="3"/>
        <v>104855</v>
      </c>
      <c r="H32" s="150">
        <f>RATE(4,,-C32,G32)</f>
        <v>0.09948366993954201</v>
      </c>
      <c r="I32" s="2"/>
      <c r="J32" s="1"/>
    </row>
    <row r="33" spans="1:9" ht="15">
      <c r="A33" s="128" t="s">
        <v>51</v>
      </c>
      <c r="B33" s="148">
        <f aca="true" t="shared" si="4" ref="B33:G33">B26+B32</f>
        <v>984247</v>
      </c>
      <c r="C33" s="145">
        <f t="shared" si="4"/>
        <v>1038067</v>
      </c>
      <c r="D33" s="145">
        <f t="shared" si="4"/>
        <v>1548213</v>
      </c>
      <c r="E33" s="149">
        <f t="shared" si="4"/>
        <v>3191257</v>
      </c>
      <c r="F33" s="149">
        <f t="shared" si="4"/>
        <v>3280508</v>
      </c>
      <c r="G33" s="149">
        <f t="shared" si="4"/>
        <v>3391947</v>
      </c>
      <c r="H33" s="150">
        <f>RATE(4,,-C33,G33)</f>
        <v>0.3444848664044909</v>
      </c>
      <c r="I33" s="32"/>
    </row>
    <row r="34" spans="1:9" ht="15.75" thickBot="1">
      <c r="A34" s="128" t="s">
        <v>46</v>
      </c>
      <c r="B34" s="148">
        <f aca="true" t="shared" si="5" ref="B34:G34">B16+B26+B32</f>
        <v>1597131</v>
      </c>
      <c r="C34" s="145">
        <f t="shared" si="5"/>
        <v>1586594</v>
      </c>
      <c r="D34" s="145">
        <f t="shared" si="5"/>
        <v>2005416</v>
      </c>
      <c r="E34" s="151">
        <f t="shared" si="5"/>
        <v>3734459</v>
      </c>
      <c r="F34" s="151">
        <f t="shared" si="5"/>
        <v>3694714</v>
      </c>
      <c r="G34" s="151">
        <f t="shared" si="5"/>
        <v>3805494</v>
      </c>
      <c r="H34" s="152">
        <f>RATE(4,,-C34,G34)</f>
        <v>0.24447537798205315</v>
      </c>
      <c r="I34" s="56">
        <f>(G34-E34)/E34</f>
        <v>0.019021496821895755</v>
      </c>
    </row>
    <row r="35" spans="1:9" ht="15.75" thickTop="1">
      <c r="A35" s="128"/>
      <c r="B35" s="153"/>
      <c r="C35" s="154"/>
      <c r="D35" s="154"/>
      <c r="E35" s="143"/>
      <c r="F35" s="143"/>
      <c r="G35" s="143"/>
      <c r="H35" s="83"/>
      <c r="I35" s="2"/>
    </row>
    <row r="36" spans="1:16" ht="15">
      <c r="A36" s="136" t="s">
        <v>10</v>
      </c>
      <c r="B36" s="128"/>
      <c r="C36" s="138"/>
      <c r="D36" s="138"/>
      <c r="E36" s="138"/>
      <c r="F36" s="138"/>
      <c r="G36" s="138"/>
      <c r="H36" s="83"/>
      <c r="I36" s="2"/>
      <c r="P36" s="12"/>
    </row>
    <row r="37" spans="1:16" ht="15">
      <c r="A37" s="155" t="s">
        <v>137</v>
      </c>
      <c r="B37" s="128">
        <v>118118</v>
      </c>
      <c r="C37" s="138">
        <v>119442</v>
      </c>
      <c r="D37" s="138">
        <v>23402</v>
      </c>
      <c r="E37" s="138">
        <v>38445</v>
      </c>
      <c r="F37" s="138">
        <v>37952</v>
      </c>
      <c r="G37" s="138">
        <v>39923</v>
      </c>
      <c r="H37" s="83"/>
      <c r="I37" s="2"/>
      <c r="J37" s="48">
        <f>+C37/C45</f>
        <v>1.2107162405984553</v>
      </c>
      <c r="K37" s="48">
        <f>+D37/D45</f>
        <v>0.0719505858552318</v>
      </c>
      <c r="L37" s="48">
        <f>+E37/E45</f>
        <v>0.023560262364924534</v>
      </c>
      <c r="M37" s="48">
        <f>+F37/F45</f>
        <v>0.02381195880842328</v>
      </c>
      <c r="N37" s="48">
        <f>+G37/G45</f>
        <v>0.025692162548635752</v>
      </c>
      <c r="O37" s="1">
        <f>AVERAGE(J37:N37)</f>
        <v>0.27114624203513416</v>
      </c>
      <c r="P37" s="1">
        <f>(+N37+M37+L37)/3</f>
        <v>0.02435479457399452</v>
      </c>
    </row>
    <row r="38" spans="1:14" ht="15">
      <c r="A38" s="128" t="s">
        <v>100</v>
      </c>
      <c r="B38" s="128">
        <v>341139</v>
      </c>
      <c r="C38" s="138">
        <v>259932</v>
      </c>
      <c r="D38" s="138">
        <v>474098</v>
      </c>
      <c r="E38" s="138">
        <v>366917</v>
      </c>
      <c r="F38" s="156">
        <v>327882</v>
      </c>
      <c r="G38" s="156">
        <v>304483</v>
      </c>
      <c r="H38" s="157">
        <f>RATE(4,,-C38,G38)</f>
        <v>0.040341265784108266</v>
      </c>
      <c r="I38" s="93"/>
      <c r="J38" s="95"/>
      <c r="K38" s="1">
        <f>D38/D131</f>
        <v>0.3084996870091216</v>
      </c>
      <c r="L38" s="1">
        <f>E38/E131</f>
        <v>0.21469790379358125</v>
      </c>
      <c r="N38" s="35" t="e">
        <f>AVERAGE(J38:O38)</f>
        <v>#DIV/0!</v>
      </c>
    </row>
    <row r="39" spans="1:15" ht="15">
      <c r="A39" s="128" t="s">
        <v>190</v>
      </c>
      <c r="B39" s="128">
        <v>74623</v>
      </c>
      <c r="C39" s="138">
        <f>75355+93840</f>
        <v>169195</v>
      </c>
      <c r="D39" s="138">
        <f>86110+9785</f>
        <v>95895</v>
      </c>
      <c r="E39" s="138">
        <f>91600+9785</f>
        <v>101385</v>
      </c>
      <c r="F39" s="156">
        <f>93691+9785</f>
        <v>103476</v>
      </c>
      <c r="G39" s="156">
        <f>14889+19285</f>
        <v>34174</v>
      </c>
      <c r="H39" s="157">
        <f>RATE(4,,-C39,G39)</f>
        <v>-0.3296107021172503</v>
      </c>
      <c r="I39" s="93">
        <f>AVERAGE(C39:G39)</f>
        <v>100825</v>
      </c>
      <c r="J39" s="94"/>
      <c r="K39" s="1"/>
      <c r="L39" s="1"/>
      <c r="M39" s="1"/>
      <c r="N39" s="1"/>
      <c r="O39" s="1"/>
    </row>
    <row r="40" spans="1:14" ht="15">
      <c r="A40" s="155" t="s">
        <v>138</v>
      </c>
      <c r="B40" s="128">
        <v>8927</v>
      </c>
      <c r="C40" s="138">
        <v>11107</v>
      </c>
      <c r="D40" s="138">
        <v>1882</v>
      </c>
      <c r="E40" s="138">
        <v>1764</v>
      </c>
      <c r="F40" s="138">
        <v>1740</v>
      </c>
      <c r="G40" s="138">
        <v>1340</v>
      </c>
      <c r="H40" s="83">
        <f>RATE(4,,-C40,G40)</f>
        <v>-0.4106449535193133</v>
      </c>
      <c r="I40" s="2"/>
      <c r="J40" s="1">
        <f>C40/C131</f>
        <v>0.00790235149562692</v>
      </c>
      <c r="K40" s="1">
        <f>D40/D131</f>
        <v>0.0012246337486156173</v>
      </c>
      <c r="L40" s="1">
        <f>E40/E131</f>
        <v>0.0010321873946747557</v>
      </c>
      <c r="M40" s="1">
        <f>F40/F131</f>
        <v>0.0009990749943586713</v>
      </c>
      <c r="N40" s="1">
        <f>AVERAGE(J40:M40)</f>
        <v>0.0027895619083189906</v>
      </c>
    </row>
    <row r="41" spans="1:16" ht="15">
      <c r="A41" s="128" t="s">
        <v>189</v>
      </c>
      <c r="B41" s="128"/>
      <c r="C41" s="138"/>
      <c r="D41" s="138"/>
      <c r="E41" s="138">
        <v>250000</v>
      </c>
      <c r="F41" s="138">
        <v>250000</v>
      </c>
      <c r="G41" s="138">
        <v>250000</v>
      </c>
      <c r="H41" s="83"/>
      <c r="I41" s="2"/>
      <c r="J41" s="1"/>
      <c r="K41" s="1"/>
      <c r="L41" s="1"/>
      <c r="M41" s="1"/>
      <c r="N41" s="1"/>
      <c r="O41" s="1"/>
      <c r="P41" s="1"/>
    </row>
    <row r="42" spans="1:9" ht="15">
      <c r="A42" s="128" t="s">
        <v>173</v>
      </c>
      <c r="B42" s="128"/>
      <c r="C42" s="138"/>
      <c r="D42" s="143"/>
      <c r="E42" s="142"/>
      <c r="F42" s="142"/>
      <c r="G42" s="143">
        <v>0</v>
      </c>
      <c r="H42" s="85"/>
      <c r="I42" s="2"/>
    </row>
    <row r="43" spans="1:9" ht="15">
      <c r="A43" s="128" t="s">
        <v>48</v>
      </c>
      <c r="B43" s="148">
        <f aca="true" t="shared" si="6" ref="B43:G43">SUM(B36:B42)</f>
        <v>542807</v>
      </c>
      <c r="C43" s="145">
        <f t="shared" si="6"/>
        <v>559676</v>
      </c>
      <c r="D43" s="145">
        <f t="shared" si="6"/>
        <v>595277</v>
      </c>
      <c r="E43" s="143">
        <f t="shared" si="6"/>
        <v>758511</v>
      </c>
      <c r="F43" s="143">
        <f t="shared" si="6"/>
        <v>721050</v>
      </c>
      <c r="G43" s="145">
        <f t="shared" si="6"/>
        <v>629920</v>
      </c>
      <c r="H43" s="83">
        <f>RATE(4,,-C43,G43)</f>
        <v>0.029999890141663564</v>
      </c>
      <c r="I43" s="2"/>
    </row>
    <row r="44" spans="1:9" ht="15">
      <c r="A44" s="128"/>
      <c r="B44" s="128"/>
      <c r="C44" s="138"/>
      <c r="D44" s="138"/>
      <c r="E44" s="138"/>
      <c r="F44" s="138"/>
      <c r="G44" s="138"/>
      <c r="H44" s="83"/>
      <c r="I44" s="2"/>
    </row>
    <row r="45" spans="1:9" ht="15">
      <c r="A45" s="128" t="s">
        <v>76</v>
      </c>
      <c r="B45" s="128">
        <v>118095</v>
      </c>
      <c r="C45" s="138">
        <v>98654</v>
      </c>
      <c r="D45" s="138">
        <v>325251</v>
      </c>
      <c r="E45" s="138">
        <v>1631773</v>
      </c>
      <c r="F45" s="138">
        <v>1593821</v>
      </c>
      <c r="G45" s="138">
        <v>1553898</v>
      </c>
      <c r="H45" s="83">
        <f>RATE(4,,-C45,G45)</f>
        <v>0.9921725525318931</v>
      </c>
      <c r="I45" s="2"/>
    </row>
    <row r="46" spans="1:16" ht="15">
      <c r="A46" s="128" t="s">
        <v>12</v>
      </c>
      <c r="B46" s="128"/>
      <c r="C46" s="138"/>
      <c r="D46" s="138"/>
      <c r="E46" s="138"/>
      <c r="F46" s="138"/>
      <c r="G46" s="138"/>
      <c r="H46" s="83"/>
      <c r="I46" s="2"/>
      <c r="J46" s="1">
        <f>C46/C19</f>
        <v>0</v>
      </c>
      <c r="K46" s="1">
        <f>D46/D19</f>
        <v>0</v>
      </c>
      <c r="L46" s="1">
        <f>E46/E19</f>
        <v>0</v>
      </c>
      <c r="M46" s="1">
        <f>F46/F19</f>
        <v>0</v>
      </c>
      <c r="P46" s="1">
        <f>AVERAGE(J46:O46)</f>
        <v>0</v>
      </c>
    </row>
    <row r="47" spans="1:11" ht="15">
      <c r="A47" s="128" t="s">
        <v>77</v>
      </c>
      <c r="B47" s="128">
        <v>9895</v>
      </c>
      <c r="C47" s="138">
        <v>8482</v>
      </c>
      <c r="D47" s="143">
        <v>7069</v>
      </c>
      <c r="E47" s="142">
        <v>5656</v>
      </c>
      <c r="F47" s="142">
        <v>4243</v>
      </c>
      <c r="G47" s="143">
        <v>2830</v>
      </c>
      <c r="H47" s="85"/>
      <c r="I47" s="2"/>
      <c r="J47" s="7">
        <f>+G47-C47</f>
        <v>-5652</v>
      </c>
      <c r="K47">
        <f>+J47/4</f>
        <v>-1413</v>
      </c>
    </row>
    <row r="48" spans="1:9" ht="15">
      <c r="A48" s="158" t="s">
        <v>78</v>
      </c>
      <c r="B48" s="148">
        <f aca="true" t="shared" si="7" ref="B48:G48">SUM(B45:B47)</f>
        <v>127990</v>
      </c>
      <c r="C48" s="145">
        <f t="shared" si="7"/>
        <v>107136</v>
      </c>
      <c r="D48" s="145">
        <f t="shared" si="7"/>
        <v>332320</v>
      </c>
      <c r="E48" s="143">
        <f t="shared" si="7"/>
        <v>1637429</v>
      </c>
      <c r="F48" s="143">
        <f t="shared" si="7"/>
        <v>1598064</v>
      </c>
      <c r="G48" s="145">
        <f t="shared" si="7"/>
        <v>1556728</v>
      </c>
      <c r="H48" s="83">
        <f>RATE(4,,-C48,G48)</f>
        <v>0.9524023751431684</v>
      </c>
      <c r="I48" s="2"/>
    </row>
    <row r="49" spans="1:9" ht="12.75" customHeight="1">
      <c r="A49" s="158"/>
      <c r="B49" s="128"/>
      <c r="C49" s="138"/>
      <c r="D49" s="143"/>
      <c r="E49" s="143"/>
      <c r="F49" s="143"/>
      <c r="G49" s="143"/>
      <c r="H49" s="83"/>
      <c r="I49" s="2"/>
    </row>
    <row r="50" spans="1:9" ht="15">
      <c r="A50" s="128" t="s">
        <v>49</v>
      </c>
      <c r="B50" s="128">
        <f aca="true" t="shared" si="8" ref="B50:G50">B48+B43</f>
        <v>670797</v>
      </c>
      <c r="C50" s="138">
        <f t="shared" si="8"/>
        <v>666812</v>
      </c>
      <c r="D50" s="138">
        <f t="shared" si="8"/>
        <v>927597</v>
      </c>
      <c r="E50" s="138">
        <f t="shared" si="8"/>
        <v>2395940</v>
      </c>
      <c r="F50" s="138">
        <f t="shared" si="8"/>
        <v>2319114</v>
      </c>
      <c r="G50" s="138">
        <f t="shared" si="8"/>
        <v>2186648</v>
      </c>
      <c r="H50" s="83">
        <f>RATE(4,,-C50,G50)</f>
        <v>0.34568641336711603</v>
      </c>
      <c r="I50" s="2"/>
    </row>
    <row r="51" spans="1:9" ht="7.5" customHeight="1">
      <c r="A51" s="128"/>
      <c r="B51" s="128"/>
      <c r="C51" s="138"/>
      <c r="D51" s="138"/>
      <c r="E51" s="138"/>
      <c r="F51" s="138"/>
      <c r="G51" s="138"/>
      <c r="H51" s="83"/>
      <c r="I51" s="2"/>
    </row>
    <row r="52" spans="1:9" ht="15">
      <c r="A52" s="128" t="s">
        <v>230</v>
      </c>
      <c r="B52" s="128"/>
      <c r="C52" s="138"/>
      <c r="D52" s="138">
        <v>88532</v>
      </c>
      <c r="E52" s="138">
        <v>96223</v>
      </c>
      <c r="F52" s="138">
        <v>104709</v>
      </c>
      <c r="G52" s="138">
        <v>129809</v>
      </c>
      <c r="H52" s="83"/>
      <c r="I52" s="2"/>
    </row>
    <row r="53" spans="1:9" ht="7.5" customHeight="1">
      <c r="A53" s="128"/>
      <c r="B53" s="128"/>
      <c r="C53" s="138"/>
      <c r="D53" s="138"/>
      <c r="E53" s="138"/>
      <c r="F53" s="138"/>
      <c r="G53" s="138"/>
      <c r="H53" s="83"/>
      <c r="I53" s="2"/>
    </row>
    <row r="54" spans="1:16" ht="15">
      <c r="A54" s="136" t="s">
        <v>80</v>
      </c>
      <c r="B54" s="128"/>
      <c r="C54" s="138"/>
      <c r="D54" s="138"/>
      <c r="E54" s="138"/>
      <c r="F54" s="138"/>
      <c r="G54" s="138"/>
      <c r="H54" s="83"/>
      <c r="I54" s="2"/>
      <c r="N54" s="27"/>
      <c r="O54" s="27"/>
      <c r="P54" s="27"/>
    </row>
    <row r="55" spans="1:15" ht="15">
      <c r="A55" s="141" t="s">
        <v>120</v>
      </c>
      <c r="B55" s="128">
        <v>926334</v>
      </c>
      <c r="C55" s="138">
        <f>919782</f>
        <v>919782</v>
      </c>
      <c r="D55" s="138">
        <v>989287</v>
      </c>
      <c r="E55" s="138">
        <v>1242296</v>
      </c>
      <c r="F55" s="138">
        <f>188420+1081616+855</f>
        <v>1270891</v>
      </c>
      <c r="G55" s="138">
        <v>1489037</v>
      </c>
      <c r="H55" s="83">
        <f>RATE(4,,-C55,G55)</f>
        <v>0.12798973059966093</v>
      </c>
      <c r="I55" s="2"/>
      <c r="J55">
        <f>+D55-C55</f>
        <v>69505</v>
      </c>
      <c r="K55">
        <f>+E55-D55</f>
        <v>253009</v>
      </c>
      <c r="L55">
        <f>+F55-E55</f>
        <v>28595</v>
      </c>
      <c r="M55">
        <f>+G55-F55</f>
        <v>218146</v>
      </c>
      <c r="O55">
        <f>AVERAGE(J55:M55)</f>
        <v>142313.75</v>
      </c>
    </row>
    <row r="56" spans="1:9" ht="15">
      <c r="A56" s="141" t="s">
        <v>36</v>
      </c>
      <c r="B56" s="128"/>
      <c r="C56" s="138"/>
      <c r="D56" s="138"/>
      <c r="E56" s="138"/>
      <c r="F56" s="138"/>
      <c r="G56" s="138"/>
      <c r="H56" s="85"/>
      <c r="I56" s="2"/>
    </row>
    <row r="57" spans="1:15" ht="15">
      <c r="A57" s="128" t="s">
        <v>150</v>
      </c>
      <c r="B57" s="148">
        <f aca="true" t="shared" si="9" ref="B57:G57">SUM(B54:B56)</f>
        <v>926334</v>
      </c>
      <c r="C57" s="145">
        <f t="shared" si="9"/>
        <v>919782</v>
      </c>
      <c r="D57" s="145">
        <f t="shared" si="9"/>
        <v>989287</v>
      </c>
      <c r="E57" s="145">
        <f t="shared" si="9"/>
        <v>1242296</v>
      </c>
      <c r="F57" s="145">
        <f t="shared" si="9"/>
        <v>1270891</v>
      </c>
      <c r="G57" s="145">
        <f t="shared" si="9"/>
        <v>1489037</v>
      </c>
      <c r="H57" s="150">
        <f>RATE(4,,-C57,G57)</f>
        <v>0.12798973059966093</v>
      </c>
      <c r="I57" s="2"/>
      <c r="J57">
        <f>+D152</f>
        <v>41750</v>
      </c>
      <c r="K57">
        <f>+E152</f>
        <v>304867</v>
      </c>
      <c r="L57">
        <f>+F152</f>
        <v>30559</v>
      </c>
      <c r="M57">
        <f>+G152</f>
        <v>218146</v>
      </c>
      <c r="O57">
        <f>AVERAGE(J57:M57)</f>
        <v>148830.5</v>
      </c>
    </row>
    <row r="58" spans="1:9" ht="15.75" thickBot="1">
      <c r="A58" s="128" t="s">
        <v>50</v>
      </c>
      <c r="B58" s="159">
        <f aca="true" t="shared" si="10" ref="B58:G58">B57+B50+B52</f>
        <v>1597131</v>
      </c>
      <c r="C58" s="151">
        <f t="shared" si="10"/>
        <v>1586594</v>
      </c>
      <c r="D58" s="151">
        <f t="shared" si="10"/>
        <v>2005416</v>
      </c>
      <c r="E58" s="151">
        <f t="shared" si="10"/>
        <v>3734459</v>
      </c>
      <c r="F58" s="151">
        <f t="shared" si="10"/>
        <v>3694714</v>
      </c>
      <c r="G58" s="151">
        <f t="shared" si="10"/>
        <v>3805494</v>
      </c>
      <c r="H58" s="160">
        <f>RATE(4,,-C58,G58)</f>
        <v>0.24447537798205315</v>
      </c>
      <c r="I58" s="2"/>
    </row>
    <row r="59" spans="1:15" ht="16.5" thickTop="1">
      <c r="A59" s="161"/>
      <c r="B59" s="161">
        <f>+B58-B34</f>
        <v>0</v>
      </c>
      <c r="C59" s="162"/>
      <c r="D59" s="162"/>
      <c r="E59" s="162"/>
      <c r="F59" s="162"/>
      <c r="G59" s="162"/>
      <c r="H59" s="163"/>
      <c r="I59" s="2"/>
      <c r="J59">
        <f>+J55-J57</f>
        <v>27755</v>
      </c>
      <c r="K59">
        <f>+K55-K57</f>
        <v>-51858</v>
      </c>
      <c r="L59">
        <f>+L55-L57</f>
        <v>-1964</v>
      </c>
      <c r="M59">
        <f>+M55-M57</f>
        <v>0</v>
      </c>
      <c r="O59">
        <f>AVERAGE(J59:M59)</f>
        <v>-6516.75</v>
      </c>
    </row>
    <row r="60" spans="1:9" ht="15">
      <c r="A60" s="2"/>
      <c r="B60" s="2"/>
      <c r="C60" s="2"/>
      <c r="D60" s="2"/>
      <c r="E60" s="2"/>
      <c r="F60" s="2"/>
      <c r="G60" s="2"/>
      <c r="H60" s="166" t="str">
        <f>H1</f>
        <v>Exhibit 1</v>
      </c>
      <c r="I60" s="2"/>
    </row>
    <row r="61" spans="1:13" ht="15">
      <c r="A61" s="2"/>
      <c r="B61" s="2"/>
      <c r="C61" s="2"/>
      <c r="D61" s="2"/>
      <c r="E61" s="2"/>
      <c r="F61" s="2"/>
      <c r="G61" s="2"/>
      <c r="H61" s="167" t="s">
        <v>244</v>
      </c>
      <c r="I61" s="2"/>
      <c r="M61" s="44"/>
    </row>
    <row r="62" spans="1:9" ht="18">
      <c r="A62" s="66" t="str">
        <f>A3</f>
        <v>Flowell Electric Association, Inc.</v>
      </c>
      <c r="B62" s="5"/>
      <c r="C62" s="5"/>
      <c r="D62" s="5"/>
      <c r="E62" s="5"/>
      <c r="F62" s="5"/>
      <c r="G62" s="5"/>
      <c r="H62" s="6"/>
      <c r="I62" s="2"/>
    </row>
    <row r="63" spans="1:9" ht="15.75">
      <c r="A63" s="67" t="s">
        <v>57</v>
      </c>
      <c r="B63" s="5"/>
      <c r="C63" s="5"/>
      <c r="D63" s="5"/>
      <c r="E63" s="5"/>
      <c r="F63" s="5"/>
      <c r="G63" s="5"/>
      <c r="H63" s="6"/>
      <c r="I63" s="2"/>
    </row>
    <row r="64" spans="1:9" ht="15.75">
      <c r="A64" s="67" t="s">
        <v>58</v>
      </c>
      <c r="B64" s="5"/>
      <c r="C64" s="5"/>
      <c r="D64" s="5"/>
      <c r="E64" s="5"/>
      <c r="F64" s="5"/>
      <c r="G64" s="5"/>
      <c r="H64" s="6"/>
      <c r="I64" s="2"/>
    </row>
    <row r="65" spans="1:9" ht="15.75">
      <c r="A65" s="4"/>
      <c r="B65" s="5"/>
      <c r="C65" s="5"/>
      <c r="D65" s="5"/>
      <c r="E65" s="5"/>
      <c r="F65" s="5"/>
      <c r="G65" s="5"/>
      <c r="H65" s="6"/>
      <c r="I65" s="2"/>
    </row>
    <row r="66" spans="1:9" ht="12.75">
      <c r="A66" s="2"/>
      <c r="B66" s="2"/>
      <c r="C66" s="2"/>
      <c r="D66" s="2"/>
      <c r="E66" s="2"/>
      <c r="F66" s="2"/>
      <c r="G66" s="2"/>
      <c r="H66" s="3"/>
      <c r="I66" s="2"/>
    </row>
    <row r="67" spans="1:9" ht="15.75">
      <c r="A67" s="168"/>
      <c r="B67" s="168"/>
      <c r="C67" s="168"/>
      <c r="D67" s="169"/>
      <c r="E67" s="170"/>
      <c r="F67" s="170"/>
      <c r="G67" s="170"/>
      <c r="H67" s="171" t="str">
        <f>+H7</f>
        <v>2005 to 2009</v>
      </c>
      <c r="I67" s="2"/>
    </row>
    <row r="68" spans="1:9" ht="15.75">
      <c r="A68" s="172" t="s">
        <v>1</v>
      </c>
      <c r="B68" s="134">
        <f>+B9</f>
        <v>2004</v>
      </c>
      <c r="C68" s="134">
        <f>+C9</f>
        <v>2005</v>
      </c>
      <c r="D68" s="134">
        <f>+D9</f>
        <v>2006</v>
      </c>
      <c r="E68" s="134">
        <f>+E9</f>
        <v>2007</v>
      </c>
      <c r="F68" s="134">
        <f>+F9</f>
        <v>2008</v>
      </c>
      <c r="G68" s="173">
        <f>G9</f>
        <v>2009</v>
      </c>
      <c r="H68" s="165" t="s">
        <v>53</v>
      </c>
      <c r="I68" s="2"/>
    </row>
    <row r="69" spans="1:9" ht="7.5" customHeight="1">
      <c r="A69" s="158"/>
      <c r="B69" s="174"/>
      <c r="C69" s="174"/>
      <c r="D69" s="174"/>
      <c r="E69" s="174"/>
      <c r="F69" s="174"/>
      <c r="G69" s="174"/>
      <c r="H69" s="175"/>
      <c r="I69" s="7"/>
    </row>
    <row r="70" spans="1:14" ht="15">
      <c r="A70" s="128" t="s">
        <v>9</v>
      </c>
      <c r="B70" s="128"/>
      <c r="C70" s="128"/>
      <c r="D70" s="128"/>
      <c r="E70" s="128"/>
      <c r="F70" s="128"/>
      <c r="G70" s="128"/>
      <c r="H70" s="83"/>
      <c r="I70" s="2"/>
      <c r="K70" s="52">
        <f>+L70-1</f>
        <v>2006</v>
      </c>
      <c r="L70" s="52">
        <f>+M70-1</f>
        <v>2007</v>
      </c>
      <c r="M70" s="52">
        <f>+N70-1</f>
        <v>2008</v>
      </c>
      <c r="N70" s="52">
        <v>2009</v>
      </c>
    </row>
    <row r="71" spans="1:9" ht="15">
      <c r="A71" s="128" t="str">
        <f>A12</f>
        <v>Cash &amp; Equivalents</v>
      </c>
      <c r="B71" s="83">
        <f aca="true" t="shared" si="11" ref="B71:C75">B12/B$34</f>
        <v>0.0959019642095733</v>
      </c>
      <c r="C71" s="83">
        <f t="shared" si="11"/>
        <v>0.07899941635982488</v>
      </c>
      <c r="D71" s="83">
        <f aca="true" t="shared" si="12" ref="D71:E75">D12/D$34</f>
        <v>0.06399669694467382</v>
      </c>
      <c r="E71" s="83">
        <f t="shared" si="12"/>
        <v>0.04769847520082561</v>
      </c>
      <c r="F71" s="83">
        <f aca="true" t="shared" si="13" ref="F71:G75">F12/F$34</f>
        <v>0.018390868684287878</v>
      </c>
      <c r="G71" s="83">
        <f t="shared" si="13"/>
        <v>0.009581147677541996</v>
      </c>
      <c r="H71" s="83">
        <f>SUM(C12:G12)/SUM(C$34:G$34)</f>
        <v>0.036165757168649455</v>
      </c>
      <c r="I71" s="2"/>
    </row>
    <row r="72" spans="1:14" ht="15">
      <c r="A72" s="128" t="str">
        <f>A13</f>
        <v>Accounts Receivable, net</v>
      </c>
      <c r="B72" s="83">
        <f t="shared" si="11"/>
        <v>0.13665378732239247</v>
      </c>
      <c r="C72" s="83">
        <f t="shared" si="11"/>
        <v>0.11414388306019058</v>
      </c>
      <c r="D72" s="83">
        <f t="shared" si="12"/>
        <v>0.051791249296903985</v>
      </c>
      <c r="E72" s="83">
        <f t="shared" si="12"/>
        <v>0.03750851194242593</v>
      </c>
      <c r="F72" s="83">
        <f t="shared" si="13"/>
        <v>0.03281904905224058</v>
      </c>
      <c r="G72" s="83">
        <f t="shared" si="13"/>
        <v>0.035490793048156166</v>
      </c>
      <c r="H72" s="83">
        <f>SUM(C13:G13)/SUM(C$34:G$34)</f>
        <v>0.04595459926725321</v>
      </c>
      <c r="I72" s="2"/>
      <c r="J72" s="51" t="s">
        <v>165</v>
      </c>
      <c r="K72">
        <f>+D55-C55</f>
        <v>69505</v>
      </c>
      <c r="L72">
        <f>+E55-D55</f>
        <v>253009</v>
      </c>
      <c r="M72">
        <f>+F55-E55</f>
        <v>28595</v>
      </c>
      <c r="N72">
        <f>+G55-F55</f>
        <v>218146</v>
      </c>
    </row>
    <row r="73" spans="1:14" ht="15">
      <c r="A73" s="128" t="str">
        <f>A14</f>
        <v>Patronage Capital Credit - DG&amp;T</v>
      </c>
      <c r="B73" s="83">
        <f t="shared" si="11"/>
        <v>0.14087761116652298</v>
      </c>
      <c r="C73" s="83">
        <f t="shared" si="11"/>
        <v>0.1418132174960954</v>
      </c>
      <c r="D73" s="83">
        <f t="shared" si="12"/>
        <v>0.11219617276415467</v>
      </c>
      <c r="E73" s="83">
        <f t="shared" si="12"/>
        <v>0.06024969078519807</v>
      </c>
      <c r="F73" s="83">
        <f t="shared" si="13"/>
        <v>0.06089781238818485</v>
      </c>
      <c r="G73" s="83">
        <f t="shared" si="13"/>
        <v>0.059125043949616006</v>
      </c>
      <c r="H73" s="83">
        <f>SUM(C14:G14)/SUM(C$34:G$34)</f>
        <v>0.07587674567942634</v>
      </c>
      <c r="I73" s="3">
        <f>+G73</f>
        <v>0.059125043949616006</v>
      </c>
      <c r="J73" s="51" t="s">
        <v>166</v>
      </c>
      <c r="K73">
        <f>+D152+D155</f>
        <v>41750</v>
      </c>
      <c r="L73">
        <f>+E152+E155</f>
        <v>304867</v>
      </c>
      <c r="M73">
        <f>+F152+F155</f>
        <v>30559</v>
      </c>
      <c r="N73">
        <f>+G152+G155</f>
        <v>218146</v>
      </c>
    </row>
    <row r="74" spans="1:14" ht="15">
      <c r="A74" s="128" t="str">
        <f>A15</f>
        <v>Other Current Assets</v>
      </c>
      <c r="B74" s="176">
        <f t="shared" si="11"/>
        <v>0.010307232155659117</v>
      </c>
      <c r="C74" s="176">
        <f t="shared" si="11"/>
        <v>0.01076961087713681</v>
      </c>
      <c r="D74" s="176">
        <f t="shared" si="12"/>
        <v>0</v>
      </c>
      <c r="E74" s="176">
        <f t="shared" si="12"/>
        <v>0</v>
      </c>
      <c r="F74" s="176">
        <f t="shared" si="13"/>
        <v>0</v>
      </c>
      <c r="G74" s="176">
        <f t="shared" si="13"/>
        <v>0.00447405777016072</v>
      </c>
      <c r="H74" s="85">
        <f>SUM(C15:G15)/SUM(C$34:G$34)</f>
        <v>0.002300785266988685</v>
      </c>
      <c r="I74" s="2"/>
      <c r="K74">
        <f>+K72-K73</f>
        <v>27755</v>
      </c>
      <c r="L74">
        <f>+L72-L73</f>
        <v>-51858</v>
      </c>
      <c r="M74">
        <f>+M72-M73</f>
        <v>-1964</v>
      </c>
      <c r="N74">
        <f>+N72-N73</f>
        <v>0</v>
      </c>
    </row>
    <row r="75" spans="1:9" ht="15">
      <c r="A75" s="128" t="str">
        <f>A16</f>
        <v>Total Current Assets</v>
      </c>
      <c r="B75" s="83">
        <f t="shared" si="11"/>
        <v>0.38374059485414785</v>
      </c>
      <c r="C75" s="83">
        <f t="shared" si="11"/>
        <v>0.3457261277932477</v>
      </c>
      <c r="D75" s="83">
        <f t="shared" si="12"/>
        <v>0.22798411900573248</v>
      </c>
      <c r="E75" s="83">
        <f t="shared" si="12"/>
        <v>0.1454566779284496</v>
      </c>
      <c r="F75" s="83">
        <f t="shared" si="13"/>
        <v>0.11210773012471331</v>
      </c>
      <c r="G75" s="83">
        <f t="shared" si="13"/>
        <v>0.10867104244547489</v>
      </c>
      <c r="H75" s="83">
        <f>SUM(C16:G16)/SUM(C$34:G$34)</f>
        <v>0.1602978873823177</v>
      </c>
      <c r="I75" s="2"/>
    </row>
    <row r="76" spans="1:9" ht="15">
      <c r="A76" s="128"/>
      <c r="B76" s="83"/>
      <c r="C76" s="83"/>
      <c r="D76" s="83"/>
      <c r="E76" s="83"/>
      <c r="F76" s="83"/>
      <c r="G76" s="83"/>
      <c r="H76" s="83"/>
      <c r="I76" s="2"/>
    </row>
    <row r="77" spans="1:9" ht="15">
      <c r="A77" s="128" t="s">
        <v>33</v>
      </c>
      <c r="B77" s="83"/>
      <c r="C77" s="83"/>
      <c r="D77" s="83"/>
      <c r="E77" s="83"/>
      <c r="F77" s="83"/>
      <c r="G77" s="83"/>
      <c r="H77" s="83"/>
      <c r="I77" s="2"/>
    </row>
    <row r="78" spans="1:9" ht="15">
      <c r="A78" s="128" t="str">
        <f>A19</f>
        <v>Plant in Service</v>
      </c>
      <c r="B78" s="83">
        <f>B19/B$34</f>
        <v>1.3844931943591352</v>
      </c>
      <c r="C78" s="83">
        <f aca="true" t="shared" si="14" ref="C78:E81">C19/C$34</f>
        <v>1.4607341260587146</v>
      </c>
      <c r="D78" s="83">
        <f>D19/D$34</f>
        <v>1.3194055497712196</v>
      </c>
      <c r="E78" s="83">
        <f>E19/E$34</f>
        <v>1.2301495343770008</v>
      </c>
      <c r="F78" s="83">
        <f>F19/F$34</f>
        <v>1.2948404125461404</v>
      </c>
      <c r="G78" s="83">
        <f>G19/G$34</f>
        <v>1.31546916116541</v>
      </c>
      <c r="H78" s="83">
        <f>SUM(C19:G19)/SUM(C$34:G$34)</f>
        <v>1.304915929577477</v>
      </c>
      <c r="I78" s="2"/>
    </row>
    <row r="79" spans="1:9" ht="15">
      <c r="A79" s="128" t="str">
        <f>A20</f>
        <v>  Construction Work in Progress</v>
      </c>
      <c r="B79" s="83">
        <f>B20/B$34</f>
        <v>0</v>
      </c>
      <c r="C79" s="83">
        <f t="shared" si="14"/>
        <v>0</v>
      </c>
      <c r="D79" s="83">
        <f t="shared" si="14"/>
        <v>0.12485140240229459</v>
      </c>
      <c r="E79" s="83">
        <f t="shared" si="14"/>
        <v>0</v>
      </c>
      <c r="F79" s="83">
        <f aca="true" t="shared" si="15" ref="F79:G81">F20/F$34</f>
        <v>0</v>
      </c>
      <c r="G79" s="83">
        <f t="shared" si="15"/>
        <v>0</v>
      </c>
      <c r="H79" s="83">
        <f aca="true" t="shared" si="16" ref="H79:H85">SUM(C20:G20)/SUM(C$34:G$34)</f>
        <v>0.01688706107241697</v>
      </c>
      <c r="I79" s="2"/>
    </row>
    <row r="80" spans="1:9" ht="15">
      <c r="A80" s="128" t="str">
        <f>A21</f>
        <v>Other PP&amp;E</v>
      </c>
      <c r="B80" s="177">
        <f>B21/B$34</f>
        <v>0</v>
      </c>
      <c r="C80" s="177">
        <f t="shared" si="14"/>
        <v>0</v>
      </c>
      <c r="D80" s="83">
        <f t="shared" si="14"/>
        <v>0</v>
      </c>
      <c r="E80" s="83">
        <f t="shared" si="14"/>
        <v>0</v>
      </c>
      <c r="F80" s="83">
        <f t="shared" si="15"/>
        <v>0</v>
      </c>
      <c r="G80" s="83">
        <f t="shared" si="15"/>
        <v>0</v>
      </c>
      <c r="H80" s="85">
        <f t="shared" si="16"/>
        <v>0</v>
      </c>
      <c r="I80" s="2"/>
    </row>
    <row r="81" spans="1:9" s="8" customFormat="1" ht="15">
      <c r="A81" s="128" t="str">
        <f>A22</f>
        <v>Total Plant &amp; Equipment:</v>
      </c>
      <c r="B81" s="178">
        <f>B22/B$34</f>
        <v>1.3844931943591352</v>
      </c>
      <c r="C81" s="178">
        <f t="shared" si="14"/>
        <v>1.4607341260587146</v>
      </c>
      <c r="D81" s="178">
        <f>D22/D$34</f>
        <v>1.444256952173514</v>
      </c>
      <c r="E81" s="178">
        <f>E22/E$34</f>
        <v>1.2301495343770008</v>
      </c>
      <c r="F81" s="178">
        <f t="shared" si="15"/>
        <v>1.2948404125461404</v>
      </c>
      <c r="G81" s="178">
        <f t="shared" si="15"/>
        <v>1.31546916116541</v>
      </c>
      <c r="H81" s="83">
        <f t="shared" si="16"/>
        <v>1.321802990649894</v>
      </c>
      <c r="I81" s="7"/>
    </row>
    <row r="82" spans="1:16" s="8" customFormat="1" ht="7.5" customHeight="1">
      <c r="A82" s="158"/>
      <c r="B82" s="177"/>
      <c r="C82" s="177"/>
      <c r="D82" s="177"/>
      <c r="E82" s="177"/>
      <c r="F82" s="177"/>
      <c r="G82" s="177"/>
      <c r="H82" s="83"/>
      <c r="I82" s="7"/>
      <c r="P82" s="11" t="s">
        <v>93</v>
      </c>
    </row>
    <row r="83" spans="1:16" s="8" customFormat="1" ht="15">
      <c r="A83" s="128" t="str">
        <f>A24</f>
        <v>Accumulated Depreciation &amp; Amort.</v>
      </c>
      <c r="B83" s="83">
        <f aca="true" t="shared" si="17" ref="B83:G83">B24/B$34</f>
        <v>0.813004694042004</v>
      </c>
      <c r="C83" s="83">
        <f t="shared" si="17"/>
        <v>0.8516841737709836</v>
      </c>
      <c r="D83" s="83">
        <f t="shared" si="17"/>
        <v>0.708219641211599</v>
      </c>
      <c r="E83" s="83">
        <f t="shared" si="17"/>
        <v>0.3967881291507016</v>
      </c>
      <c r="F83" s="83">
        <f t="shared" si="17"/>
        <v>0.4324001803657874</v>
      </c>
      <c r="G83" s="83">
        <f t="shared" si="17"/>
        <v>0.4516937879812713</v>
      </c>
      <c r="H83" s="83">
        <f t="shared" si="16"/>
        <v>0.5105563438119006</v>
      </c>
      <c r="I83" s="7"/>
      <c r="J83" s="10">
        <f>C83/C78</f>
        <v>0.5830521506805338</v>
      </c>
      <c r="K83" s="10">
        <f>D83/D78</f>
        <v>0.5367717615970328</v>
      </c>
      <c r="L83" s="10">
        <f>E83/E78</f>
        <v>0.32255276132072164</v>
      </c>
      <c r="M83" s="10">
        <f>F83/F78</f>
        <v>0.3339409059032433</v>
      </c>
      <c r="N83" s="10">
        <f>G83/G78</f>
        <v>0.3433708682164039</v>
      </c>
      <c r="P83" s="10">
        <f>AVERAGE(J83:N83)</f>
        <v>0.423937689543587</v>
      </c>
    </row>
    <row r="84" spans="1:9" s="8" customFormat="1" ht="15">
      <c r="A84" s="128"/>
      <c r="B84" s="177"/>
      <c r="C84" s="177"/>
      <c r="D84" s="177"/>
      <c r="E84" s="177"/>
      <c r="F84" s="177"/>
      <c r="G84" s="177"/>
      <c r="H84" s="83"/>
      <c r="I84" s="7"/>
    </row>
    <row r="85" spans="1:9" ht="15">
      <c r="A85" s="128" t="str">
        <f>A26</f>
        <v>Net Plant &amp; Equipment</v>
      </c>
      <c r="B85" s="83">
        <f aca="true" t="shared" si="18" ref="B85:G85">B26/B$34</f>
        <v>0.5714885003171312</v>
      </c>
      <c r="C85" s="83">
        <f t="shared" si="18"/>
        <v>0.6090499522877308</v>
      </c>
      <c r="D85" s="83">
        <f t="shared" si="18"/>
        <v>0.7360373109619152</v>
      </c>
      <c r="E85" s="83">
        <f t="shared" si="18"/>
        <v>0.8333614052262992</v>
      </c>
      <c r="F85" s="83">
        <f t="shared" si="18"/>
        <v>0.8624402321803528</v>
      </c>
      <c r="G85" s="83">
        <f t="shared" si="18"/>
        <v>0.8637753731841386</v>
      </c>
      <c r="H85" s="83">
        <f t="shared" si="16"/>
        <v>0.8112466468379934</v>
      </c>
      <c r="I85" s="2"/>
    </row>
    <row r="86" spans="1:9" ht="15">
      <c r="A86" s="128"/>
      <c r="B86" s="83"/>
      <c r="C86" s="83"/>
      <c r="D86" s="83"/>
      <c r="E86" s="83"/>
      <c r="F86" s="83"/>
      <c r="G86" s="83"/>
      <c r="H86" s="83"/>
      <c r="I86" s="2"/>
    </row>
    <row r="87" spans="1:9" ht="15">
      <c r="A87" s="128" t="str">
        <f>A29</f>
        <v>Regulatory Assets</v>
      </c>
      <c r="B87" s="83">
        <f>B29/B$34</f>
        <v>0</v>
      </c>
      <c r="C87" s="83">
        <f aca="true" t="shared" si="19" ref="C87:E88">C29/C$34</f>
        <v>0</v>
      </c>
      <c r="D87" s="83">
        <f t="shared" si="19"/>
        <v>0</v>
      </c>
      <c r="E87" s="83">
        <f t="shared" si="19"/>
        <v>0</v>
      </c>
      <c r="F87" s="83">
        <f aca="true" t="shared" si="20" ref="F87:G92">F29/F$34</f>
        <v>0</v>
      </c>
      <c r="G87" s="83">
        <f t="shared" si="20"/>
        <v>0</v>
      </c>
      <c r="H87" s="83">
        <f aca="true" t="shared" si="21" ref="H87:H92">SUM(C29:G29)/SUM(C$34:G$34)</f>
        <v>0</v>
      </c>
      <c r="I87" s="2"/>
    </row>
    <row r="88" spans="1:9" ht="15">
      <c r="A88" s="128" t="str">
        <f>A30</f>
        <v>Goodwill</v>
      </c>
      <c r="B88" s="83">
        <f>B30/B$34</f>
        <v>0</v>
      </c>
      <c r="C88" s="83">
        <f t="shared" si="19"/>
        <v>0</v>
      </c>
      <c r="D88" s="83">
        <f t="shared" si="19"/>
        <v>0</v>
      </c>
      <c r="E88" s="83">
        <f t="shared" si="19"/>
        <v>0</v>
      </c>
      <c r="F88" s="83">
        <f t="shared" si="20"/>
        <v>0</v>
      </c>
      <c r="G88" s="83">
        <f t="shared" si="20"/>
        <v>0</v>
      </c>
      <c r="H88" s="83">
        <f t="shared" si="21"/>
        <v>0</v>
      </c>
      <c r="I88" s="2"/>
    </row>
    <row r="89" spans="1:9" ht="15">
      <c r="A89" s="128" t="str">
        <f>A31</f>
        <v>Investment in CFC and Others</v>
      </c>
      <c r="B89" s="83">
        <f aca="true" t="shared" si="22" ref="B89:C92">B31/B$34</f>
        <v>0.044770904828721</v>
      </c>
      <c r="C89" s="83">
        <f t="shared" si="22"/>
        <v>0.0452239199190215</v>
      </c>
      <c r="D89" s="83">
        <f aca="true" t="shared" si="23" ref="D89:E92">D31/D$34</f>
        <v>0.03597857003235239</v>
      </c>
      <c r="E89" s="83">
        <f t="shared" si="23"/>
        <v>0.021181916845251215</v>
      </c>
      <c r="F89" s="83">
        <f t="shared" si="20"/>
        <v>0.0254520376949339</v>
      </c>
      <c r="G89" s="83">
        <f t="shared" si="20"/>
        <v>0.027553584370386606</v>
      </c>
      <c r="H89" s="85">
        <f t="shared" si="21"/>
        <v>0.028455465779688868</v>
      </c>
      <c r="I89" s="2"/>
    </row>
    <row r="90" spans="1:9" ht="15">
      <c r="A90" s="128" t="s">
        <v>84</v>
      </c>
      <c r="B90" s="178">
        <f t="shared" si="22"/>
        <v>0.044770904828721</v>
      </c>
      <c r="C90" s="178">
        <f t="shared" si="22"/>
        <v>0.0452239199190215</v>
      </c>
      <c r="D90" s="178">
        <f t="shared" si="23"/>
        <v>0.03597857003235239</v>
      </c>
      <c r="E90" s="178">
        <f t="shared" si="23"/>
        <v>0.021181916845251215</v>
      </c>
      <c r="F90" s="178">
        <f t="shared" si="20"/>
        <v>0.0254520376949339</v>
      </c>
      <c r="G90" s="178">
        <f t="shared" si="20"/>
        <v>0.027553584370386606</v>
      </c>
      <c r="H90" s="150">
        <f t="shared" si="21"/>
        <v>0.028455465779688868</v>
      </c>
      <c r="I90" s="2"/>
    </row>
    <row r="91" spans="1:9" ht="15">
      <c r="A91" s="128" t="s">
        <v>51</v>
      </c>
      <c r="B91" s="178">
        <f t="shared" si="22"/>
        <v>0.6162594051458522</v>
      </c>
      <c r="C91" s="178">
        <f t="shared" si="22"/>
        <v>0.6542738722067524</v>
      </c>
      <c r="D91" s="178">
        <f t="shared" si="23"/>
        <v>0.7720158809942675</v>
      </c>
      <c r="E91" s="178">
        <f t="shared" si="23"/>
        <v>0.8545433220715504</v>
      </c>
      <c r="F91" s="178">
        <f t="shared" si="20"/>
        <v>0.8878922698752867</v>
      </c>
      <c r="G91" s="178">
        <f t="shared" si="20"/>
        <v>0.8913289575545251</v>
      </c>
      <c r="H91" s="150">
        <f t="shared" si="21"/>
        <v>0.8397021126176824</v>
      </c>
      <c r="I91" s="2"/>
    </row>
    <row r="92" spans="1:9" ht="15.75" thickBot="1">
      <c r="A92" s="128" t="s">
        <v>46</v>
      </c>
      <c r="B92" s="152">
        <f t="shared" si="22"/>
        <v>1</v>
      </c>
      <c r="C92" s="152">
        <f t="shared" si="22"/>
        <v>1</v>
      </c>
      <c r="D92" s="152">
        <f t="shared" si="23"/>
        <v>1</v>
      </c>
      <c r="E92" s="152">
        <f t="shared" si="23"/>
        <v>1</v>
      </c>
      <c r="F92" s="152">
        <f t="shared" si="20"/>
        <v>1</v>
      </c>
      <c r="G92" s="152">
        <f t="shared" si="20"/>
        <v>1</v>
      </c>
      <c r="H92" s="160">
        <f t="shared" si="21"/>
        <v>1</v>
      </c>
      <c r="I92" s="2"/>
    </row>
    <row r="93" spans="1:9" ht="15.75" thickTop="1">
      <c r="A93" s="128"/>
      <c r="B93" s="177"/>
      <c r="C93" s="177"/>
      <c r="D93" s="177"/>
      <c r="E93" s="177"/>
      <c r="F93" s="177"/>
      <c r="G93" s="177"/>
      <c r="H93" s="83"/>
      <c r="I93" s="2"/>
    </row>
    <row r="94" spans="1:9" ht="15">
      <c r="A94" s="128" t="s">
        <v>10</v>
      </c>
      <c r="B94" s="83"/>
      <c r="C94" s="83"/>
      <c r="D94" s="83"/>
      <c r="E94" s="83"/>
      <c r="F94" s="83"/>
      <c r="G94" s="83"/>
      <c r="H94" s="83"/>
      <c r="I94" s="2"/>
    </row>
    <row r="95" spans="1:16" ht="15">
      <c r="A95" s="128" t="str">
        <f aca="true" t="shared" si="24" ref="A95:A100">A37</f>
        <v>Current Portion of LTD</v>
      </c>
      <c r="B95" s="83">
        <f aca="true" t="shared" si="25" ref="B95:C101">B37/B$34</f>
        <v>0.07395636300341049</v>
      </c>
      <c r="C95" s="83">
        <f t="shared" si="25"/>
        <v>0.07528201921852723</v>
      </c>
      <c r="D95" s="83">
        <f aca="true" t="shared" si="26" ref="D95:E101">D37/D$34</f>
        <v>0.011669399266785545</v>
      </c>
      <c r="E95" s="83">
        <f t="shared" si="26"/>
        <v>0.010294663832164177</v>
      </c>
      <c r="F95" s="83">
        <f aca="true" t="shared" si="27" ref="F95:G101">F37/F$34</f>
        <v>0.010271972336695074</v>
      </c>
      <c r="G95" s="83">
        <f t="shared" si="27"/>
        <v>0.010490885020446754</v>
      </c>
      <c r="H95" s="83">
        <f>SUM(C37:G37)/SUM(C$34:G$34)</f>
        <v>0.01747957414867809</v>
      </c>
      <c r="I95" s="2"/>
      <c r="J95" s="1"/>
      <c r="K95" s="1"/>
      <c r="L95" s="1"/>
      <c r="M95" s="1"/>
      <c r="N95" s="1"/>
      <c r="O95" s="1"/>
      <c r="P95" s="1"/>
    </row>
    <row r="96" spans="1:10" ht="15">
      <c r="A96" s="128" t="str">
        <f t="shared" si="24"/>
        <v>Acounts Payable</v>
      </c>
      <c r="B96" s="83">
        <f t="shared" si="25"/>
        <v>0.21359487731438437</v>
      </c>
      <c r="C96" s="83">
        <f t="shared" si="25"/>
        <v>0.1638301922230892</v>
      </c>
      <c r="D96" s="83">
        <f t="shared" si="26"/>
        <v>0.23640880495617866</v>
      </c>
      <c r="E96" s="83">
        <f t="shared" si="26"/>
        <v>0.09825171463925565</v>
      </c>
      <c r="F96" s="83">
        <f t="shared" si="27"/>
        <v>0.08874354009539033</v>
      </c>
      <c r="G96" s="83">
        <f>G38/G$34</f>
        <v>0.08001142558627079</v>
      </c>
      <c r="H96" s="83">
        <f aca="true" t="shared" si="28" ref="H96:H116">SUM(C38:G38)/SUM(C$34:G$34)</f>
        <v>0.11690495449519808</v>
      </c>
      <c r="I96" s="2"/>
      <c r="J96" s="1">
        <f>(G96+F96)/2</f>
        <v>0.08437748284083056</v>
      </c>
    </row>
    <row r="97" spans="1:9" ht="15">
      <c r="A97" s="128" t="str">
        <f t="shared" si="24"/>
        <v>Accrued Expenses</v>
      </c>
      <c r="B97" s="83">
        <f t="shared" si="25"/>
        <v>0.04672315545813086</v>
      </c>
      <c r="C97" s="83">
        <f t="shared" si="25"/>
        <v>0.1066403881522305</v>
      </c>
      <c r="D97" s="83">
        <f t="shared" si="26"/>
        <v>0.04781800883208272</v>
      </c>
      <c r="E97" s="83">
        <f t="shared" si="26"/>
        <v>0.02714851066781025</v>
      </c>
      <c r="F97" s="83">
        <f t="shared" si="27"/>
        <v>0.02800649793191029</v>
      </c>
      <c r="G97" s="83">
        <f t="shared" si="27"/>
        <v>0.008980174453040788</v>
      </c>
      <c r="H97" s="83">
        <f t="shared" si="28"/>
        <v>0.03400121281390294</v>
      </c>
      <c r="I97" s="2"/>
    </row>
    <row r="98" spans="1:9" ht="15">
      <c r="A98" s="128" t="str">
        <f t="shared" si="24"/>
        <v>Customer Deposits</v>
      </c>
      <c r="B98" s="83">
        <f t="shared" si="25"/>
        <v>0.005589397488371336</v>
      </c>
      <c r="C98" s="83">
        <f t="shared" si="25"/>
        <v>0.007000530696573919</v>
      </c>
      <c r="D98" s="83">
        <f t="shared" si="26"/>
        <v>0.0009384586539650626</v>
      </c>
      <c r="E98" s="83">
        <f t="shared" si="26"/>
        <v>0.00047235757575595286</v>
      </c>
      <c r="F98" s="83">
        <f t="shared" si="27"/>
        <v>0.0004709430824686295</v>
      </c>
      <c r="G98" s="83">
        <f t="shared" si="27"/>
        <v>0.000352122483966602</v>
      </c>
      <c r="H98" s="83">
        <f t="shared" si="28"/>
        <v>0.0012027644495121866</v>
      </c>
      <c r="I98" s="2"/>
    </row>
    <row r="99" spans="1:9" ht="15">
      <c r="A99" s="128" t="str">
        <f t="shared" si="24"/>
        <v>Perpetual Line of Credit</v>
      </c>
      <c r="B99" s="83">
        <f t="shared" si="25"/>
        <v>0</v>
      </c>
      <c r="C99" s="83">
        <f t="shared" si="25"/>
        <v>0</v>
      </c>
      <c r="D99" s="83">
        <f t="shared" si="26"/>
        <v>0</v>
      </c>
      <c r="E99" s="83">
        <f t="shared" si="26"/>
        <v>0.0669441008724423</v>
      </c>
      <c r="F99" s="83">
        <f t="shared" si="27"/>
        <v>0.06766423598687206</v>
      </c>
      <c r="G99" s="83">
        <f t="shared" si="27"/>
        <v>0.06569449327735112</v>
      </c>
      <c r="H99" s="83">
        <f t="shared" si="28"/>
        <v>0.050584497119617565</v>
      </c>
      <c r="I99" s="2"/>
    </row>
    <row r="100" spans="1:9" ht="15">
      <c r="A100" s="128" t="str">
        <f t="shared" si="24"/>
        <v>Other Current and Accrued Liabilities</v>
      </c>
      <c r="B100" s="176">
        <f t="shared" si="25"/>
        <v>0</v>
      </c>
      <c r="C100" s="176">
        <f t="shared" si="25"/>
        <v>0</v>
      </c>
      <c r="D100" s="176">
        <f t="shared" si="26"/>
        <v>0</v>
      </c>
      <c r="E100" s="176">
        <f t="shared" si="26"/>
        <v>0</v>
      </c>
      <c r="F100" s="176">
        <f t="shared" si="27"/>
        <v>0</v>
      </c>
      <c r="G100" s="176">
        <f t="shared" si="27"/>
        <v>0</v>
      </c>
      <c r="H100" s="85">
        <f t="shared" si="28"/>
        <v>0</v>
      </c>
      <c r="I100" s="2"/>
    </row>
    <row r="101" spans="1:9" ht="15">
      <c r="A101" s="128" t="s">
        <v>48</v>
      </c>
      <c r="B101" s="83">
        <f t="shared" si="25"/>
        <v>0.33986379326429705</v>
      </c>
      <c r="C101" s="83">
        <f t="shared" si="25"/>
        <v>0.3527531302904209</v>
      </c>
      <c r="D101" s="83">
        <f t="shared" si="26"/>
        <v>0.296834671709012</v>
      </c>
      <c r="E101" s="83">
        <f t="shared" si="26"/>
        <v>0.20311134758742833</v>
      </c>
      <c r="F101" s="83">
        <f t="shared" si="27"/>
        <v>0.19515718943333638</v>
      </c>
      <c r="G101" s="83">
        <f t="shared" si="27"/>
        <v>0.16552910082107605</v>
      </c>
      <c r="H101" s="83">
        <f t="shared" si="28"/>
        <v>0.22017300302690887</v>
      </c>
      <c r="I101" s="2"/>
    </row>
    <row r="102" spans="1:9" ht="15">
      <c r="A102" s="128"/>
      <c r="B102" s="83"/>
      <c r="C102" s="83"/>
      <c r="D102" s="83"/>
      <c r="E102" s="83"/>
      <c r="F102" s="83"/>
      <c r="G102" s="83"/>
      <c r="H102" s="83"/>
      <c r="I102" s="2"/>
    </row>
    <row r="103" spans="1:9" ht="15">
      <c r="A103" s="128" t="str">
        <f>A45</f>
        <v>Long-Term Debt</v>
      </c>
      <c r="B103" s="83">
        <f aca="true" t="shared" si="29" ref="B103:C106">B45/B$34</f>
        <v>0.0739419621809357</v>
      </c>
      <c r="C103" s="83">
        <f t="shared" si="29"/>
        <v>0.062179738483821315</v>
      </c>
      <c r="D103" s="83">
        <f aca="true" t="shared" si="30" ref="D103:E106">D45/D$34</f>
        <v>0.16218629950095143</v>
      </c>
      <c r="E103" s="83">
        <f t="shared" si="30"/>
        <v>0.43695030525171114</v>
      </c>
      <c r="F103" s="83">
        <f aca="true" t="shared" si="31" ref="F103:G106">F45/F$34</f>
        <v>0.4313787210593296</v>
      </c>
      <c r="G103" s="83">
        <f t="shared" si="31"/>
        <v>0.40833016685875734</v>
      </c>
      <c r="H103" s="83">
        <f t="shared" si="28"/>
        <v>0.35094829407830225</v>
      </c>
      <c r="I103" s="2"/>
    </row>
    <row r="104" spans="1:9" ht="15">
      <c r="A104" s="128" t="str">
        <f aca="true" t="shared" si="32" ref="A104:A116">A46</f>
        <v>Deferred Income Taxes</v>
      </c>
      <c r="B104" s="83">
        <f t="shared" si="29"/>
        <v>0</v>
      </c>
      <c r="C104" s="83">
        <f t="shared" si="29"/>
        <v>0</v>
      </c>
      <c r="D104" s="83">
        <f t="shared" si="30"/>
        <v>0</v>
      </c>
      <c r="E104" s="83">
        <f t="shared" si="30"/>
        <v>0</v>
      </c>
      <c r="F104" s="83">
        <f t="shared" si="31"/>
        <v>0</v>
      </c>
      <c r="G104" s="83">
        <f t="shared" si="31"/>
        <v>0</v>
      </c>
      <c r="H104" s="83">
        <f t="shared" si="28"/>
        <v>0</v>
      </c>
      <c r="I104" s="2"/>
    </row>
    <row r="105" spans="1:9" ht="15">
      <c r="A105" s="128" t="str">
        <f t="shared" si="32"/>
        <v>Other Deferred Credits</v>
      </c>
      <c r="B105" s="176">
        <f t="shared" si="29"/>
        <v>0.0061954842777455325</v>
      </c>
      <c r="C105" s="176">
        <f t="shared" si="29"/>
        <v>0.005346043159119472</v>
      </c>
      <c r="D105" s="176">
        <f t="shared" si="30"/>
        <v>0.003524954423421375</v>
      </c>
      <c r="E105" s="176">
        <f t="shared" si="30"/>
        <v>0.0015145433381381346</v>
      </c>
      <c r="F105" s="176">
        <f t="shared" si="31"/>
        <v>0.0011483974131691924</v>
      </c>
      <c r="G105" s="176">
        <f t="shared" si="31"/>
        <v>0.0007436616638996146</v>
      </c>
      <c r="H105" s="85">
        <f t="shared" si="28"/>
        <v>0.0019073727713903796</v>
      </c>
      <c r="I105" s="3"/>
    </row>
    <row r="106" spans="1:9" ht="15">
      <c r="A106" s="128" t="str">
        <f t="shared" si="32"/>
        <v>Total LTD &amp; Deferrals</v>
      </c>
      <c r="B106" s="83">
        <f t="shared" si="29"/>
        <v>0.08013744645868122</v>
      </c>
      <c r="C106" s="83">
        <f t="shared" si="29"/>
        <v>0.06752578164294079</v>
      </c>
      <c r="D106" s="83">
        <f t="shared" si="30"/>
        <v>0.1657112539243728</v>
      </c>
      <c r="E106" s="83">
        <f t="shared" si="30"/>
        <v>0.4384648485898493</v>
      </c>
      <c r="F106" s="83">
        <f t="shared" si="31"/>
        <v>0.4325271184724988</v>
      </c>
      <c r="G106" s="83">
        <f t="shared" si="31"/>
        <v>0.409073828522657</v>
      </c>
      <c r="H106" s="83">
        <f t="shared" si="28"/>
        <v>0.3528556668496926</v>
      </c>
      <c r="I106" s="2"/>
    </row>
    <row r="107" spans="1:9" ht="15">
      <c r="A107" s="158"/>
      <c r="B107" s="83"/>
      <c r="C107" s="83"/>
      <c r="D107" s="83"/>
      <c r="E107" s="83"/>
      <c r="F107" s="83"/>
      <c r="G107" s="83"/>
      <c r="H107" s="83"/>
      <c r="I107" s="2"/>
    </row>
    <row r="108" spans="1:9" ht="15">
      <c r="A108" s="128" t="str">
        <f t="shared" si="32"/>
        <v>Total Liabilities</v>
      </c>
      <c r="B108" s="83">
        <f aca="true" t="shared" si="33" ref="B108:G108">B50/B$34</f>
        <v>0.42000123972297826</v>
      </c>
      <c r="C108" s="83">
        <f t="shared" si="33"/>
        <v>0.42027891193336164</v>
      </c>
      <c r="D108" s="83">
        <f t="shared" si="33"/>
        <v>0.4625459256333848</v>
      </c>
      <c r="E108" s="83">
        <f t="shared" si="33"/>
        <v>0.6415761961772776</v>
      </c>
      <c r="F108" s="83">
        <f t="shared" si="33"/>
        <v>0.6276843079058352</v>
      </c>
      <c r="G108" s="83">
        <f t="shared" si="33"/>
        <v>0.574602929343733</v>
      </c>
      <c r="H108" s="83">
        <f t="shared" si="28"/>
        <v>0.5730286698766015</v>
      </c>
      <c r="I108" s="2"/>
    </row>
    <row r="109" spans="1:9" ht="15">
      <c r="A109" s="128"/>
      <c r="B109" s="83"/>
      <c r="C109" s="83"/>
      <c r="D109" s="83"/>
      <c r="E109" s="83"/>
      <c r="F109" s="83"/>
      <c r="G109" s="83"/>
      <c r="H109" s="83"/>
      <c r="I109" s="2"/>
    </row>
    <row r="110" spans="1:9" ht="15">
      <c r="A110" s="128" t="str">
        <f t="shared" si="32"/>
        <v>Deferred Revenue - Impact Fees</v>
      </c>
      <c r="B110" s="83">
        <f aca="true" t="shared" si="34" ref="B110:G110">B52/B$34</f>
        <v>0</v>
      </c>
      <c r="C110" s="83">
        <f t="shared" si="34"/>
        <v>0</v>
      </c>
      <c r="D110" s="83">
        <f t="shared" si="34"/>
        <v>0.04414645140958285</v>
      </c>
      <c r="E110" s="83">
        <f t="shared" si="34"/>
        <v>0.025766248872996063</v>
      </c>
      <c r="F110" s="83">
        <f t="shared" si="34"/>
        <v>0.028340217943797544</v>
      </c>
      <c r="G110" s="83">
        <f t="shared" si="34"/>
        <v>0.03411094591135868</v>
      </c>
      <c r="H110" s="83">
        <f t="shared" si="28"/>
        <v>0.028278285147777887</v>
      </c>
      <c r="I110" s="2"/>
    </row>
    <row r="111" spans="1:9" ht="15">
      <c r="A111" s="128"/>
      <c r="B111" s="83"/>
      <c r="C111" s="83"/>
      <c r="D111" s="83"/>
      <c r="E111" s="83"/>
      <c r="F111" s="83"/>
      <c r="G111" s="83"/>
      <c r="H111" s="83"/>
      <c r="I111" s="2"/>
    </row>
    <row r="112" spans="1:8" ht="15">
      <c r="A112" s="128" t="str">
        <f t="shared" si="32"/>
        <v>Common Equity:</v>
      </c>
      <c r="B112" s="128"/>
      <c r="C112" s="128"/>
      <c r="D112" s="128"/>
      <c r="E112" s="128"/>
      <c r="F112" s="128"/>
      <c r="G112" s="128"/>
      <c r="H112" s="83"/>
    </row>
    <row r="113" spans="1:9" ht="15">
      <c r="A113" s="128" t="str">
        <f t="shared" si="32"/>
        <v>Patrons Capital</v>
      </c>
      <c r="B113" s="83">
        <f aca="true" t="shared" si="35" ref="B113:C116">B55/B$34</f>
        <v>0.5799987602770217</v>
      </c>
      <c r="C113" s="83">
        <f t="shared" si="35"/>
        <v>0.5797210880666384</v>
      </c>
      <c r="D113" s="83">
        <f aca="true" t="shared" si="36" ref="D113:E116">D55/D$34</f>
        <v>0.49330762295703234</v>
      </c>
      <c r="E113" s="83">
        <f t="shared" si="36"/>
        <v>0.3326575549497263</v>
      </c>
      <c r="F113" s="83">
        <f aca="true" t="shared" si="37" ref="F113:G116">F55/F$34</f>
        <v>0.3439754741503673</v>
      </c>
      <c r="G113" s="83">
        <f t="shared" si="37"/>
        <v>0.39128612474490826</v>
      </c>
      <c r="H113" s="83">
        <f t="shared" si="28"/>
        <v>0.39869304497562064</v>
      </c>
      <c r="I113" s="2"/>
    </row>
    <row r="114" spans="1:9" ht="15">
      <c r="A114" s="128" t="str">
        <f t="shared" si="32"/>
        <v>Retained Earnings</v>
      </c>
      <c r="B114" s="176">
        <f t="shared" si="35"/>
        <v>0</v>
      </c>
      <c r="C114" s="176">
        <f t="shared" si="35"/>
        <v>0</v>
      </c>
      <c r="D114" s="176">
        <f t="shared" si="36"/>
        <v>0</v>
      </c>
      <c r="E114" s="176">
        <f t="shared" si="36"/>
        <v>0</v>
      </c>
      <c r="F114" s="176">
        <f t="shared" si="37"/>
        <v>0</v>
      </c>
      <c r="G114" s="176">
        <f t="shared" si="37"/>
        <v>0</v>
      </c>
      <c r="H114" s="85">
        <f t="shared" si="28"/>
        <v>0</v>
      </c>
      <c r="I114" s="2"/>
    </row>
    <row r="115" spans="1:9" ht="15">
      <c r="A115" s="128" t="str">
        <f t="shared" si="32"/>
        <v>Total Patronage Equity</v>
      </c>
      <c r="B115" s="176">
        <f t="shared" si="35"/>
        <v>0.5799987602770217</v>
      </c>
      <c r="C115" s="176">
        <f t="shared" si="35"/>
        <v>0.5797210880666384</v>
      </c>
      <c r="D115" s="176">
        <f t="shared" si="36"/>
        <v>0.49330762295703234</v>
      </c>
      <c r="E115" s="176">
        <f t="shared" si="36"/>
        <v>0.3326575549497263</v>
      </c>
      <c r="F115" s="176">
        <f t="shared" si="37"/>
        <v>0.3439754741503673</v>
      </c>
      <c r="G115" s="176">
        <f t="shared" si="37"/>
        <v>0.39128612474490826</v>
      </c>
      <c r="H115" s="150">
        <f t="shared" si="28"/>
        <v>0.39869304497562064</v>
      </c>
      <c r="I115" s="2"/>
    </row>
    <row r="116" spans="1:9" ht="15.75" thickBot="1">
      <c r="A116" s="128" t="str">
        <f t="shared" si="32"/>
        <v>Total Liabilities &amp; Equity</v>
      </c>
      <c r="B116" s="179">
        <f t="shared" si="35"/>
        <v>1</v>
      </c>
      <c r="C116" s="179">
        <f t="shared" si="35"/>
        <v>1</v>
      </c>
      <c r="D116" s="179">
        <f>D58/D$34</f>
        <v>1</v>
      </c>
      <c r="E116" s="179">
        <f t="shared" si="36"/>
        <v>1</v>
      </c>
      <c r="F116" s="179">
        <f t="shared" si="37"/>
        <v>1</v>
      </c>
      <c r="G116" s="179">
        <f t="shared" si="37"/>
        <v>1</v>
      </c>
      <c r="H116" s="160">
        <f t="shared" si="28"/>
        <v>1</v>
      </c>
      <c r="I116" s="2"/>
    </row>
    <row r="117" spans="1:9" ht="13.5" thickTop="1">
      <c r="A117" s="36"/>
      <c r="B117" s="36"/>
      <c r="C117" s="36"/>
      <c r="D117" s="36"/>
      <c r="E117" s="36"/>
      <c r="F117" s="36"/>
      <c r="G117" s="36"/>
      <c r="H117" s="64"/>
      <c r="I117" s="2"/>
    </row>
    <row r="118" spans="1:9" ht="12.75">
      <c r="A118" s="36"/>
      <c r="B118" s="36"/>
      <c r="C118" s="36"/>
      <c r="D118" s="36"/>
      <c r="E118" s="36"/>
      <c r="F118" s="36"/>
      <c r="G118" s="36"/>
      <c r="H118" s="64"/>
      <c r="I118" s="2"/>
    </row>
    <row r="119" spans="1:9" ht="15">
      <c r="A119" s="36"/>
      <c r="B119" s="36"/>
      <c r="C119" s="36"/>
      <c r="D119" s="36"/>
      <c r="E119" s="36"/>
      <c r="F119" s="36"/>
      <c r="G119" s="36"/>
      <c r="H119" s="166" t="str">
        <f>H60</f>
        <v>Exhibit 1</v>
      </c>
      <c r="I119" s="2"/>
    </row>
    <row r="120" spans="1:9" ht="15">
      <c r="A120" s="36"/>
      <c r="B120" s="36"/>
      <c r="C120" s="36"/>
      <c r="D120" s="36"/>
      <c r="E120" s="36"/>
      <c r="F120" s="36"/>
      <c r="G120" s="36"/>
      <c r="H120" s="167" t="s">
        <v>241</v>
      </c>
      <c r="I120" s="2"/>
    </row>
    <row r="121" spans="1:9" ht="18">
      <c r="A121" s="66" t="str">
        <f>A3</f>
        <v>Flowell Electric Association, Inc.</v>
      </c>
      <c r="B121" s="57"/>
      <c r="C121" s="57"/>
      <c r="D121" s="57"/>
      <c r="E121" s="57"/>
      <c r="F121" s="57"/>
      <c r="G121" s="57"/>
      <c r="H121" s="58"/>
      <c r="I121" s="2"/>
    </row>
    <row r="122" spans="1:9" ht="15.75">
      <c r="A122" s="67" t="s">
        <v>19</v>
      </c>
      <c r="B122" s="57"/>
      <c r="C122" s="57"/>
      <c r="D122" s="57"/>
      <c r="E122" s="57"/>
      <c r="F122" s="57"/>
      <c r="G122" s="57"/>
      <c r="H122" s="58"/>
      <c r="I122" s="2"/>
    </row>
    <row r="123" spans="1:9" ht="15.75">
      <c r="A123" s="68" t="str">
        <f>A5</f>
        <v>Years Ended December 31</v>
      </c>
      <c r="B123" s="57"/>
      <c r="C123" s="57"/>
      <c r="D123" s="57"/>
      <c r="E123" s="57"/>
      <c r="F123" s="57"/>
      <c r="G123" s="57"/>
      <c r="H123" s="58"/>
      <c r="I123" s="2"/>
    </row>
    <row r="124" spans="1:9" ht="15.75">
      <c r="A124" s="67"/>
      <c r="B124" s="57"/>
      <c r="C124" s="57"/>
      <c r="D124" s="57"/>
      <c r="E124" s="57"/>
      <c r="F124" s="57"/>
      <c r="G124" s="57"/>
      <c r="H124" s="58"/>
      <c r="I124" s="2"/>
    </row>
    <row r="125" spans="1:9" ht="15.75">
      <c r="A125" s="76"/>
      <c r="B125" s="76"/>
      <c r="C125" s="76"/>
      <c r="D125" s="76"/>
      <c r="E125" s="98"/>
      <c r="F125" s="98"/>
      <c r="G125" s="98"/>
      <c r="H125" s="171" t="str">
        <f>+H7</f>
        <v>2005 to 2009</v>
      </c>
      <c r="I125" s="2"/>
    </row>
    <row r="126" spans="1:9" ht="12.75">
      <c r="A126" s="76"/>
      <c r="B126" s="76"/>
      <c r="C126" s="76"/>
      <c r="D126" s="98"/>
      <c r="E126" s="98"/>
      <c r="F126" s="98"/>
      <c r="G126" s="98"/>
      <c r="H126" s="99" t="s">
        <v>5</v>
      </c>
      <c r="I126" s="2"/>
    </row>
    <row r="127" spans="1:9" ht="15.75">
      <c r="A127" s="172" t="s">
        <v>1</v>
      </c>
      <c r="B127" s="181">
        <f>+B68</f>
        <v>2004</v>
      </c>
      <c r="C127" s="181">
        <f>+C68</f>
        <v>2005</v>
      </c>
      <c r="D127" s="181">
        <f>+D68</f>
        <v>2006</v>
      </c>
      <c r="E127" s="181">
        <f>+E68</f>
        <v>2007</v>
      </c>
      <c r="F127" s="181">
        <f>+F68</f>
        <v>2008</v>
      </c>
      <c r="G127" s="173">
        <f>G9</f>
        <v>2009</v>
      </c>
      <c r="H127" s="101" t="s">
        <v>32</v>
      </c>
      <c r="I127" s="47"/>
    </row>
    <row r="128" spans="1:9" ht="15">
      <c r="A128" s="128" t="s">
        <v>30</v>
      </c>
      <c r="B128" s="128"/>
      <c r="C128" s="128"/>
      <c r="D128" s="148"/>
      <c r="E128" s="148"/>
      <c r="F128" s="158"/>
      <c r="G128" s="158"/>
      <c r="H128" s="83"/>
      <c r="I128" s="2"/>
    </row>
    <row r="129" spans="1:14" ht="15">
      <c r="A129" s="128" t="s">
        <v>125</v>
      </c>
      <c r="B129" s="128">
        <v>1368016</v>
      </c>
      <c r="C129" s="138">
        <v>1405531</v>
      </c>
      <c r="D129" s="138">
        <v>1536786</v>
      </c>
      <c r="E129" s="182">
        <v>1708992</v>
      </c>
      <c r="F129" s="182">
        <v>1741611</v>
      </c>
      <c r="G129" s="182">
        <v>2072765</v>
      </c>
      <c r="H129" s="83">
        <f>RATE(4,,-C129,G129)</f>
        <v>0.10198938076561241</v>
      </c>
      <c r="I129" s="64"/>
      <c r="N129" s="3">
        <f>RATE(3,,-D129,G129)</f>
        <v>0.10487265139244933</v>
      </c>
    </row>
    <row r="130" spans="1:9" ht="15">
      <c r="A130" s="128"/>
      <c r="B130" s="183"/>
      <c r="C130" s="184"/>
      <c r="D130" s="184"/>
      <c r="E130" s="182"/>
      <c r="F130" s="182"/>
      <c r="G130" s="182"/>
      <c r="H130" s="85"/>
      <c r="I130" s="2"/>
    </row>
    <row r="131" spans="1:10" ht="15">
      <c r="A131" s="128" t="s">
        <v>68</v>
      </c>
      <c r="B131" s="185">
        <f aca="true" t="shared" si="38" ref="B131:G131">SUM(B128:B130)</f>
        <v>1368016</v>
      </c>
      <c r="C131" s="186">
        <f t="shared" si="38"/>
        <v>1405531</v>
      </c>
      <c r="D131" s="186">
        <f t="shared" si="38"/>
        <v>1536786</v>
      </c>
      <c r="E131" s="187">
        <f t="shared" si="38"/>
        <v>1708992</v>
      </c>
      <c r="F131" s="187">
        <f t="shared" si="38"/>
        <v>1741611</v>
      </c>
      <c r="G131" s="187">
        <f t="shared" si="38"/>
        <v>2072765</v>
      </c>
      <c r="H131" s="83">
        <f>RATE(4,,-C131,G131)</f>
        <v>0.10198938076561241</v>
      </c>
      <c r="I131" s="2"/>
      <c r="J131" s="56">
        <f>((+G131-F131)/F131)</f>
        <v>0.19014234521945486</v>
      </c>
    </row>
    <row r="132" spans="1:9" ht="15">
      <c r="A132" s="128"/>
      <c r="B132" s="183"/>
      <c r="C132" s="184"/>
      <c r="D132" s="184"/>
      <c r="E132" s="182"/>
      <c r="F132" s="182"/>
      <c r="G132" s="182"/>
      <c r="H132" s="83"/>
      <c r="I132" s="2"/>
    </row>
    <row r="133" spans="1:9" ht="15">
      <c r="A133" s="128" t="s">
        <v>28</v>
      </c>
      <c r="B133" s="183"/>
      <c r="C133" s="184"/>
      <c r="D133" s="184"/>
      <c r="E133" s="182"/>
      <c r="F133" s="182"/>
      <c r="G133" s="182"/>
      <c r="H133" s="83"/>
      <c r="I133" s="2"/>
    </row>
    <row r="134" spans="1:10" ht="15">
      <c r="A134" s="188" t="s">
        <v>139</v>
      </c>
      <c r="B134" s="183">
        <v>580586</v>
      </c>
      <c r="C134" s="184">
        <v>725230</v>
      </c>
      <c r="D134" s="184">
        <v>825092</v>
      </c>
      <c r="E134" s="182">
        <v>837007</v>
      </c>
      <c r="F134" s="182">
        <v>854059</v>
      </c>
      <c r="G134" s="182">
        <v>924116</v>
      </c>
      <c r="H134" s="83">
        <f aca="true" t="shared" si="39" ref="H134:H141">RATE(4,,-C134,G134)</f>
        <v>0.062460229164212656</v>
      </c>
      <c r="I134" s="2"/>
      <c r="J134" s="3">
        <f>RATE(2,,-E134,G134)</f>
        <v>0.05074830904252222</v>
      </c>
    </row>
    <row r="135" spans="1:12" ht="15">
      <c r="A135" s="188" t="s">
        <v>156</v>
      </c>
      <c r="B135" s="183"/>
      <c r="C135" s="184"/>
      <c r="D135" s="189"/>
      <c r="E135" s="190"/>
      <c r="F135" s="190"/>
      <c r="G135" s="190"/>
      <c r="H135" s="83"/>
      <c r="I135" s="2"/>
      <c r="J135" s="3"/>
      <c r="L135">
        <f>15692247-14152538+285555+173547</f>
        <v>1998811</v>
      </c>
    </row>
    <row r="136" spans="1:9" ht="15">
      <c r="A136" s="191" t="s">
        <v>101</v>
      </c>
      <c r="B136" s="183">
        <f>221381+18563</f>
        <v>239944</v>
      </c>
      <c r="C136" s="184">
        <f>233113+24055</f>
        <v>257168</v>
      </c>
      <c r="D136" s="182">
        <f>297232+37932+15566</f>
        <v>350730</v>
      </c>
      <c r="E136" s="182">
        <f>189658+26836+15508</f>
        <v>232002</v>
      </c>
      <c r="F136" s="182">
        <f>302197+75618+15352</f>
        <v>393167</v>
      </c>
      <c r="G136" s="182">
        <f>361991+70688+22335</f>
        <v>455014</v>
      </c>
      <c r="H136" s="83">
        <f t="shared" si="39"/>
        <v>0.15332566896156163</v>
      </c>
      <c r="I136" s="64">
        <f>RATE(3,,-D136,G136)</f>
        <v>0.0906463443928695</v>
      </c>
    </row>
    <row r="137" spans="1:15" ht="15">
      <c r="A137" s="192" t="s">
        <v>62</v>
      </c>
      <c r="B137" s="183">
        <v>63361</v>
      </c>
      <c r="C137" s="184">
        <v>52802</v>
      </c>
      <c r="D137" s="182">
        <v>51599</v>
      </c>
      <c r="E137" s="182">
        <v>61514</v>
      </c>
      <c r="F137" s="182">
        <v>115806</v>
      </c>
      <c r="G137" s="182">
        <v>121323</v>
      </c>
      <c r="H137" s="83">
        <f t="shared" si="39"/>
        <v>0.2311846493567856</v>
      </c>
      <c r="I137" s="2"/>
      <c r="J137" s="48">
        <f>+C137/C22</f>
        <v>0.022783130076389633</v>
      </c>
      <c r="K137" s="48">
        <f>+D137/D22</f>
        <v>0.017815267289430507</v>
      </c>
      <c r="L137" s="48">
        <f>+E137/E22</f>
        <v>0.013390240148822046</v>
      </c>
      <c r="M137" s="48">
        <f>+F137/F22</f>
        <v>0.024206610905161196</v>
      </c>
      <c r="N137" s="48">
        <f>+G137/G22</f>
        <v>0.024235468966302503</v>
      </c>
      <c r="O137" s="1">
        <f>AVERAGE(J137:N137)</f>
        <v>0.020486143477221178</v>
      </c>
    </row>
    <row r="138" spans="1:10" ht="15">
      <c r="A138" s="191" t="s">
        <v>199</v>
      </c>
      <c r="B138" s="183">
        <f>177175+13857</f>
        <v>191032</v>
      </c>
      <c r="C138" s="184">
        <f>13035+190400</f>
        <v>203435</v>
      </c>
      <c r="D138" s="184">
        <v>229436</v>
      </c>
      <c r="E138" s="182">
        <v>183109</v>
      </c>
      <c r="F138" s="182">
        <v>220140</v>
      </c>
      <c r="G138" s="182">
        <v>230182</v>
      </c>
      <c r="H138" s="83">
        <f t="shared" si="39"/>
        <v>0.031362701711470105</v>
      </c>
      <c r="I138" s="2"/>
      <c r="J138" s="3">
        <f>RATE(3,,-C138,F138)</f>
        <v>0.026654770783903787</v>
      </c>
    </row>
    <row r="139" spans="1:15" ht="15">
      <c r="A139" s="192" t="s">
        <v>63</v>
      </c>
      <c r="B139" s="183">
        <v>7861</v>
      </c>
      <c r="C139" s="184">
        <v>12078</v>
      </c>
      <c r="D139" s="184">
        <v>14419</v>
      </c>
      <c r="E139" s="182">
        <v>15444</v>
      </c>
      <c r="F139" s="182">
        <v>25337</v>
      </c>
      <c r="G139" s="182">
        <v>25536</v>
      </c>
      <c r="H139" s="85">
        <f t="shared" si="39"/>
        <v>0.20583937516436407</v>
      </c>
      <c r="I139" s="2"/>
      <c r="J139" s="56">
        <f>+C139/C129</f>
        <v>0.008593193604410005</v>
      </c>
      <c r="K139" s="56">
        <f>+D139/D129</f>
        <v>0.0093825685554137</v>
      </c>
      <c r="L139" s="56">
        <f>+E139/E129</f>
        <v>0.00903690596562184</v>
      </c>
      <c r="M139" s="56">
        <f>+F139/F129</f>
        <v>0.01454802478854348</v>
      </c>
      <c r="N139" s="56">
        <f>+G139/G129</f>
        <v>0.012319775758467554</v>
      </c>
      <c r="O139" s="1">
        <f>(+N139+M139)/2</f>
        <v>0.013433900273505517</v>
      </c>
    </row>
    <row r="140" spans="1:9" ht="15">
      <c r="A140" s="128" t="s">
        <v>52</v>
      </c>
      <c r="B140" s="185">
        <f aca="true" t="shared" si="40" ref="B140:G140">SUM(B133:B139)</f>
        <v>1082784</v>
      </c>
      <c r="C140" s="186">
        <f t="shared" si="40"/>
        <v>1250713</v>
      </c>
      <c r="D140" s="186">
        <f t="shared" si="40"/>
        <v>1471276</v>
      </c>
      <c r="E140" s="187">
        <f t="shared" si="40"/>
        <v>1329076</v>
      </c>
      <c r="F140" s="187">
        <f t="shared" si="40"/>
        <v>1608509</v>
      </c>
      <c r="G140" s="187">
        <f t="shared" si="40"/>
        <v>1756171</v>
      </c>
      <c r="H140" s="150">
        <f t="shared" si="39"/>
        <v>0.08855978081355922</v>
      </c>
      <c r="I140" s="2"/>
    </row>
    <row r="141" spans="1:9" ht="15">
      <c r="A141" s="128" t="s">
        <v>16</v>
      </c>
      <c r="B141" s="185">
        <f aca="true" t="shared" si="41" ref="B141:G141">B131-B140</f>
        <v>285232</v>
      </c>
      <c r="C141" s="186">
        <f t="shared" si="41"/>
        <v>154818</v>
      </c>
      <c r="D141" s="186">
        <f t="shared" si="41"/>
        <v>65510</v>
      </c>
      <c r="E141" s="187">
        <f t="shared" si="41"/>
        <v>379916</v>
      </c>
      <c r="F141" s="187">
        <f t="shared" si="41"/>
        <v>133102</v>
      </c>
      <c r="G141" s="187">
        <f t="shared" si="41"/>
        <v>316594</v>
      </c>
      <c r="H141" s="83">
        <f t="shared" si="39"/>
        <v>0.19583237450651667</v>
      </c>
      <c r="I141" s="2"/>
    </row>
    <row r="142" spans="1:9" ht="15">
      <c r="A142" s="128"/>
      <c r="B142" s="183"/>
      <c r="C142" s="184"/>
      <c r="D142" s="184"/>
      <c r="E142" s="182"/>
      <c r="F142" s="182"/>
      <c r="G142" s="182"/>
      <c r="H142" s="83"/>
      <c r="I142" s="2"/>
    </row>
    <row r="143" spans="1:12" ht="15">
      <c r="A143" s="192" t="s">
        <v>64</v>
      </c>
      <c r="B143" s="183">
        <v>13763</v>
      </c>
      <c r="C143" s="184">
        <v>12100</v>
      </c>
      <c r="D143" s="184">
        <v>21453</v>
      </c>
      <c r="E143" s="182">
        <v>91169</v>
      </c>
      <c r="F143" s="182">
        <v>125856</v>
      </c>
      <c r="G143" s="182">
        <v>118306</v>
      </c>
      <c r="H143" s="83">
        <f>RATE(4,,-C143,G143)</f>
        <v>0.7682975700447386</v>
      </c>
      <c r="I143" s="2"/>
      <c r="J143" s="1">
        <f>D143/(D45+D37)</f>
        <v>0.061531092518922824</v>
      </c>
      <c r="K143" s="1">
        <f>E143/(E45+E37)</f>
        <v>0.05458509009003615</v>
      </c>
      <c r="L143" s="1">
        <f>F143/(F45+F37)</f>
        <v>0.07712837508648568</v>
      </c>
    </row>
    <row r="144" spans="1:9" ht="15">
      <c r="A144" s="191" t="s">
        <v>107</v>
      </c>
      <c r="B144" s="183">
        <v>-1374</v>
      </c>
      <c r="C144" s="184">
        <v>-2820</v>
      </c>
      <c r="D144" s="184">
        <v>-2787</v>
      </c>
      <c r="E144" s="182">
        <v>-5951</v>
      </c>
      <c r="F144" s="182">
        <v>-2794</v>
      </c>
      <c r="G144" s="182">
        <v>-1370</v>
      </c>
      <c r="H144" s="83">
        <f>RATE(4,,-C144,G144)</f>
        <v>-0.16513190467252314</v>
      </c>
      <c r="I144" s="2"/>
    </row>
    <row r="145" spans="1:10" ht="15">
      <c r="A145" s="192" t="s">
        <v>69</v>
      </c>
      <c r="B145" s="183">
        <f>27219</f>
        <v>27219</v>
      </c>
      <c r="C145" s="184">
        <f>11690</f>
        <v>11690</v>
      </c>
      <c r="D145" s="184">
        <f>8269</f>
        <v>8269</v>
      </c>
      <c r="E145" s="182"/>
      <c r="F145" s="182"/>
      <c r="G145" s="182"/>
      <c r="H145" s="83"/>
      <c r="I145" s="2"/>
      <c r="J145" s="2">
        <f>AVERAGE(D145,E145)</f>
        <v>8269</v>
      </c>
    </row>
    <row r="146" spans="1:10" ht="15">
      <c r="A146" s="140" t="s">
        <v>140</v>
      </c>
      <c r="B146" s="183">
        <v>-1413</v>
      </c>
      <c r="C146" s="184">
        <v>-1413</v>
      </c>
      <c r="D146" s="184">
        <v>-1413</v>
      </c>
      <c r="E146" s="182">
        <v>-1413</v>
      </c>
      <c r="F146" s="182">
        <v>-1413</v>
      </c>
      <c r="G146" s="182">
        <v>-1413</v>
      </c>
      <c r="H146" s="85"/>
      <c r="I146" s="2"/>
      <c r="J146" s="2">
        <f>AVERAGE(E146,D146)</f>
        <v>-1413</v>
      </c>
    </row>
    <row r="147" spans="1:9" ht="15">
      <c r="A147" s="128" t="s">
        <v>66</v>
      </c>
      <c r="B147" s="185">
        <f aca="true" t="shared" si="42" ref="B147:G147">SUM(B143:B146)</f>
        <v>38195</v>
      </c>
      <c r="C147" s="186">
        <f t="shared" si="42"/>
        <v>19557</v>
      </c>
      <c r="D147" s="186">
        <f t="shared" si="42"/>
        <v>25522</v>
      </c>
      <c r="E147" s="187">
        <f t="shared" si="42"/>
        <v>83805</v>
      </c>
      <c r="F147" s="187">
        <f t="shared" si="42"/>
        <v>121649</v>
      </c>
      <c r="G147" s="187">
        <f t="shared" si="42"/>
        <v>115523</v>
      </c>
      <c r="H147" s="83">
        <f>RATE(4,,-C147,G147)</f>
        <v>0.558983632699652</v>
      </c>
      <c r="I147" s="2"/>
    </row>
    <row r="148" spans="1:9" ht="7.5" customHeight="1">
      <c r="A148" s="128"/>
      <c r="B148" s="183"/>
      <c r="C148" s="184"/>
      <c r="D148" s="184"/>
      <c r="E148" s="182"/>
      <c r="F148" s="182"/>
      <c r="G148" s="182"/>
      <c r="H148" s="83"/>
      <c r="I148" s="2"/>
    </row>
    <row r="149" spans="1:9" ht="15">
      <c r="A149" s="128" t="s">
        <v>15</v>
      </c>
      <c r="B149" s="183">
        <f aca="true" t="shared" si="43" ref="B149:G149">B141-B147</f>
        <v>247037</v>
      </c>
      <c r="C149" s="184">
        <f t="shared" si="43"/>
        <v>135261</v>
      </c>
      <c r="D149" s="184">
        <f t="shared" si="43"/>
        <v>39988</v>
      </c>
      <c r="E149" s="182">
        <f t="shared" si="43"/>
        <v>296111</v>
      </c>
      <c r="F149" s="193">
        <f t="shared" si="43"/>
        <v>11453</v>
      </c>
      <c r="G149" s="193">
        <f t="shared" si="43"/>
        <v>201071</v>
      </c>
      <c r="H149" s="85">
        <f>RATE(4,,-C149,G149)</f>
        <v>0.1041910203392956</v>
      </c>
      <c r="I149" s="2"/>
    </row>
    <row r="150" spans="1:9" ht="15">
      <c r="A150" s="128" t="s">
        <v>174</v>
      </c>
      <c r="B150" s="185">
        <v>2840</v>
      </c>
      <c r="C150" s="186">
        <v>1251</v>
      </c>
      <c r="D150" s="186">
        <v>1762</v>
      </c>
      <c r="E150" s="187">
        <f>4241+4515</f>
        <v>8756</v>
      </c>
      <c r="F150" s="182">
        <f>5655+13451</f>
        <v>19106</v>
      </c>
      <c r="G150" s="182">
        <f>5655+11420</f>
        <v>17075</v>
      </c>
      <c r="H150" s="83"/>
      <c r="I150" s="2"/>
    </row>
    <row r="151" spans="1:10" ht="15">
      <c r="A151" s="128" t="s">
        <v>21</v>
      </c>
      <c r="B151" s="183"/>
      <c r="C151" s="184"/>
      <c r="D151" s="184"/>
      <c r="E151" s="182"/>
      <c r="F151" s="182"/>
      <c r="G151" s="182"/>
      <c r="H151" s="85"/>
      <c r="I151" s="2"/>
      <c r="J151" s="1">
        <f>E151/E149</f>
        <v>0</v>
      </c>
    </row>
    <row r="152" spans="1:14" ht="15.75" thickBot="1">
      <c r="A152" s="128" t="s">
        <v>164</v>
      </c>
      <c r="B152" s="194">
        <f aca="true" t="shared" si="44" ref="B152:G152">B149+B150-B151</f>
        <v>249877</v>
      </c>
      <c r="C152" s="187">
        <f t="shared" si="44"/>
        <v>136512</v>
      </c>
      <c r="D152" s="187">
        <f t="shared" si="44"/>
        <v>41750</v>
      </c>
      <c r="E152" s="195">
        <f t="shared" si="44"/>
        <v>304867</v>
      </c>
      <c r="F152" s="195">
        <f t="shared" si="44"/>
        <v>30559</v>
      </c>
      <c r="G152" s="195">
        <f t="shared" si="44"/>
        <v>218146</v>
      </c>
      <c r="H152" s="160">
        <f>RATE(4,,-C152,G152)</f>
        <v>0.1243307954065822</v>
      </c>
      <c r="I152" s="2">
        <f>AVERAGE(C152:G152)</f>
        <v>146366.8</v>
      </c>
      <c r="J152" s="1">
        <f>N55/D152</f>
        <v>0</v>
      </c>
      <c r="K152" s="1">
        <f>O55/E152</f>
        <v>0.4668060170500579</v>
      </c>
      <c r="L152" s="1">
        <f>1-AVERAGE(J152:K152)</f>
        <v>0.7665969914749711</v>
      </c>
      <c r="N152" s="3">
        <f>RATE(3,,-D152,G152)</f>
        <v>0.7352561464888709</v>
      </c>
    </row>
    <row r="153" spans="1:12" ht="15.75" thickTop="1">
      <c r="A153" s="128"/>
      <c r="B153" s="196"/>
      <c r="C153" s="197"/>
      <c r="D153" s="197"/>
      <c r="E153" s="182"/>
      <c r="F153" s="182"/>
      <c r="G153" s="182"/>
      <c r="H153" s="83"/>
      <c r="I153" s="2"/>
      <c r="J153" s="1">
        <f>N55/D57</f>
        <v>0</v>
      </c>
      <c r="K153" s="1">
        <f>O55/E57</f>
        <v>0.11455703793620844</v>
      </c>
      <c r="L153" s="1">
        <f>AVERAGE(J153:K153)</f>
        <v>0.05727851896810422</v>
      </c>
    </row>
    <row r="154" spans="1:9" ht="15">
      <c r="A154" s="128" t="s">
        <v>70</v>
      </c>
      <c r="B154" s="183">
        <v>0</v>
      </c>
      <c r="C154" s="184">
        <v>0</v>
      </c>
      <c r="D154" s="184">
        <v>0</v>
      </c>
      <c r="E154" s="182">
        <v>0</v>
      </c>
      <c r="F154" s="182">
        <v>0</v>
      </c>
      <c r="G154" s="182">
        <v>0</v>
      </c>
      <c r="H154" s="83"/>
      <c r="I154" s="2"/>
    </row>
    <row r="155" spans="1:15" ht="15">
      <c r="A155" s="140" t="s">
        <v>158</v>
      </c>
      <c r="B155" s="81"/>
      <c r="C155" s="81"/>
      <c r="D155" s="198"/>
      <c r="E155" s="198"/>
      <c r="F155" s="198"/>
      <c r="G155" s="199"/>
      <c r="H155" s="83"/>
      <c r="I155" s="2"/>
      <c r="J155" s="1">
        <f>C155/C57</f>
        <v>0</v>
      </c>
      <c r="K155" s="1">
        <f>D155/D57</f>
        <v>0</v>
      </c>
      <c r="L155" s="1">
        <f>E155/E57</f>
        <v>0</v>
      </c>
      <c r="M155" s="1">
        <f>F155/F57</f>
        <v>0</v>
      </c>
      <c r="N155" s="1">
        <f>G155/G57</f>
        <v>0</v>
      </c>
      <c r="O155" s="1">
        <f>AVERAGE(K155:N155)</f>
        <v>0</v>
      </c>
    </row>
    <row r="156" spans="1:9" ht="12.75">
      <c r="A156" s="36"/>
      <c r="B156" s="69"/>
      <c r="C156" s="56"/>
      <c r="D156" s="56"/>
      <c r="E156" s="56"/>
      <c r="F156" s="56"/>
      <c r="G156" s="56"/>
      <c r="H156" s="64"/>
      <c r="I156" s="2"/>
    </row>
    <row r="157" spans="1:9" ht="15">
      <c r="A157" s="36"/>
      <c r="B157" s="69"/>
      <c r="C157" s="69"/>
      <c r="D157" s="69"/>
      <c r="E157" s="69"/>
      <c r="F157" s="69"/>
      <c r="G157" s="69"/>
      <c r="H157" s="166" t="str">
        <f>H119</f>
        <v>Exhibit 1</v>
      </c>
      <c r="I157" s="2"/>
    </row>
    <row r="158" spans="1:9" ht="15">
      <c r="A158" s="36"/>
      <c r="B158" s="65"/>
      <c r="C158" s="65"/>
      <c r="D158" s="65"/>
      <c r="E158" s="65"/>
      <c r="F158" s="65"/>
      <c r="G158" s="65"/>
      <c r="H158" s="167" t="s">
        <v>240</v>
      </c>
      <c r="I158" s="2"/>
    </row>
    <row r="159" spans="1:9" ht="18">
      <c r="A159" s="66" t="str">
        <f>A3</f>
        <v>Flowell Electric Association, Inc.</v>
      </c>
      <c r="B159" s="57"/>
      <c r="C159" s="57"/>
      <c r="D159" s="57"/>
      <c r="E159" s="57"/>
      <c r="F159" s="57"/>
      <c r="G159" s="57"/>
      <c r="H159" s="58"/>
      <c r="I159" s="2"/>
    </row>
    <row r="160" spans="1:9" ht="15.75">
      <c r="A160" s="67" t="s">
        <v>57</v>
      </c>
      <c r="B160" s="57"/>
      <c r="C160" s="57"/>
      <c r="D160" s="57"/>
      <c r="E160" s="57"/>
      <c r="F160" s="57"/>
      <c r="G160" s="57"/>
      <c r="H160" s="58"/>
      <c r="I160" s="2"/>
    </row>
    <row r="161" spans="1:9" ht="15.75">
      <c r="A161" s="67" t="s">
        <v>19</v>
      </c>
      <c r="B161" s="57"/>
      <c r="C161" s="57"/>
      <c r="D161" s="57"/>
      <c r="E161" s="57"/>
      <c r="F161" s="57"/>
      <c r="G161" s="57"/>
      <c r="H161" s="58"/>
      <c r="I161" s="2"/>
    </row>
    <row r="162" spans="1:9" ht="15.75">
      <c r="A162" s="67"/>
      <c r="B162" s="57"/>
      <c r="C162" s="57"/>
      <c r="D162" s="57"/>
      <c r="E162" s="57"/>
      <c r="F162" s="57"/>
      <c r="G162" s="57"/>
      <c r="H162" s="58"/>
      <c r="I162" s="2"/>
    </row>
    <row r="163" spans="1:9" ht="12.75">
      <c r="A163" s="36"/>
      <c r="B163" s="36"/>
      <c r="C163" s="36"/>
      <c r="D163" s="36"/>
      <c r="E163" s="36"/>
      <c r="F163" s="36"/>
      <c r="G163" s="36"/>
      <c r="H163" s="64"/>
      <c r="I163" s="2"/>
    </row>
    <row r="164" spans="1:9" ht="15.75">
      <c r="A164" s="76"/>
      <c r="B164" s="76"/>
      <c r="C164" s="76"/>
      <c r="D164" s="98"/>
      <c r="E164" s="98"/>
      <c r="F164" s="98"/>
      <c r="G164" s="76"/>
      <c r="H164" s="127" t="str">
        <f>H7</f>
        <v>2005 to 2009</v>
      </c>
      <c r="I164" s="2"/>
    </row>
    <row r="165" spans="1:9" ht="15.75">
      <c r="A165" s="172" t="s">
        <v>1</v>
      </c>
      <c r="B165" s="100">
        <f>+B127</f>
        <v>2004</v>
      </c>
      <c r="C165" s="181">
        <f>+C127</f>
        <v>2005</v>
      </c>
      <c r="D165" s="181">
        <f>+D127</f>
        <v>2006</v>
      </c>
      <c r="E165" s="181">
        <f>+E127</f>
        <v>2007</v>
      </c>
      <c r="F165" s="181">
        <f>+F127</f>
        <v>2008</v>
      </c>
      <c r="G165" s="200">
        <f>+G9</f>
        <v>2009</v>
      </c>
      <c r="H165" s="202" t="s">
        <v>4</v>
      </c>
      <c r="I165" s="2"/>
    </row>
    <row r="166" spans="1:9" ht="15">
      <c r="A166" s="128" t="s">
        <v>29</v>
      </c>
      <c r="B166" s="178"/>
      <c r="C166" s="178"/>
      <c r="D166" s="178"/>
      <c r="E166" s="178"/>
      <c r="F166" s="177"/>
      <c r="G166" s="201"/>
      <c r="H166" s="83"/>
      <c r="I166" s="2"/>
    </row>
    <row r="167" spans="1:9" ht="15">
      <c r="A167" s="128" t="str">
        <f>A129</f>
        <v>Operating Revenues</v>
      </c>
      <c r="B167" s="83">
        <f aca="true" t="shared" si="45" ref="B167:C169">B129/B$131</f>
        <v>1</v>
      </c>
      <c r="C167" s="83">
        <f t="shared" si="45"/>
        <v>1</v>
      </c>
      <c r="D167" s="83">
        <f aca="true" t="shared" si="46" ref="D167:E169">D129/D$131</f>
        <v>1</v>
      </c>
      <c r="E167" s="83">
        <f t="shared" si="46"/>
        <v>1</v>
      </c>
      <c r="F167" s="83">
        <f aca="true" t="shared" si="47" ref="F167:G169">F129/F$131</f>
        <v>1</v>
      </c>
      <c r="G167" s="83">
        <f t="shared" si="47"/>
        <v>1</v>
      </c>
      <c r="H167" s="83">
        <f>SUM(C129:G129)/SUM(C$131:G$131)</f>
        <v>1</v>
      </c>
      <c r="I167" s="2"/>
    </row>
    <row r="168" spans="1:9" ht="15">
      <c r="A168" s="128"/>
      <c r="B168" s="176">
        <f t="shared" si="45"/>
        <v>0</v>
      </c>
      <c r="C168" s="176">
        <f t="shared" si="45"/>
        <v>0</v>
      </c>
      <c r="D168" s="176">
        <f t="shared" si="46"/>
        <v>0</v>
      </c>
      <c r="E168" s="176">
        <f t="shared" si="46"/>
        <v>0</v>
      </c>
      <c r="F168" s="176">
        <f t="shared" si="47"/>
        <v>0</v>
      </c>
      <c r="G168" s="176">
        <f t="shared" si="47"/>
        <v>0</v>
      </c>
      <c r="H168" s="85">
        <f>SUM(C130:G130)/SUM(C$131:G$131)</f>
        <v>0</v>
      </c>
      <c r="I168" s="2"/>
    </row>
    <row r="169" spans="1:9" ht="15">
      <c r="A169" s="128" t="str">
        <f>A131</f>
        <v>Total Revenues</v>
      </c>
      <c r="B169" s="83">
        <f t="shared" si="45"/>
        <v>1</v>
      </c>
      <c r="C169" s="83">
        <f t="shared" si="45"/>
        <v>1</v>
      </c>
      <c r="D169" s="83">
        <f t="shared" si="46"/>
        <v>1</v>
      </c>
      <c r="E169" s="83">
        <f t="shared" si="46"/>
        <v>1</v>
      </c>
      <c r="F169" s="83">
        <f t="shared" si="47"/>
        <v>1</v>
      </c>
      <c r="G169" s="83">
        <f t="shared" si="47"/>
        <v>1</v>
      </c>
      <c r="H169" s="83">
        <f>SUM(C131:G131)/SUM(C$131:G$131)</f>
        <v>1</v>
      </c>
      <c r="I169" s="2"/>
    </row>
    <row r="170" spans="1:9" ht="15">
      <c r="A170" s="128"/>
      <c r="B170" s="83"/>
      <c r="C170" s="83"/>
      <c r="D170" s="83"/>
      <c r="E170" s="83"/>
      <c r="F170" s="83"/>
      <c r="G170" s="83"/>
      <c r="H170" s="83"/>
      <c r="I170" s="2"/>
    </row>
    <row r="171" spans="1:9" ht="15">
      <c r="A171" s="128" t="s">
        <v>28</v>
      </c>
      <c r="B171" s="83"/>
      <c r="C171" s="83"/>
      <c r="D171" s="83"/>
      <c r="E171" s="83"/>
      <c r="F171" s="83"/>
      <c r="G171" s="83"/>
      <c r="H171" s="83"/>
      <c r="I171" s="2"/>
    </row>
    <row r="172" spans="1:11" ht="15">
      <c r="A172" s="265" t="str">
        <f aca="true" t="shared" si="48" ref="A172:A177">A134</f>
        <v>Cost of Purchased Power</v>
      </c>
      <c r="B172" s="157">
        <f aca="true" t="shared" si="49" ref="B172:C179">B134/B$131</f>
        <v>0.4244000070174618</v>
      </c>
      <c r="C172" s="157">
        <f t="shared" si="49"/>
        <v>0.515982927448772</v>
      </c>
      <c r="D172" s="157">
        <f>D134/D$131</f>
        <v>0.5368945318346211</v>
      </c>
      <c r="E172" s="157">
        <f>E134/E$131</f>
        <v>0.489766482230461</v>
      </c>
      <c r="F172" s="157">
        <f>F134/F$131</f>
        <v>0.49038447736032903</v>
      </c>
      <c r="G172" s="157">
        <f>G134/G$131</f>
        <v>0.4458373235750314</v>
      </c>
      <c r="H172" s="157">
        <f aca="true" t="shared" si="50" ref="H172:H192">SUM(C134:G134)/SUM(C$131:G$131)</f>
        <v>0.4920457115992386</v>
      </c>
      <c r="I172" s="2"/>
      <c r="J172" s="56">
        <f>((+G172+F172+E172)/3)+0.01</f>
        <v>0.4853294277219405</v>
      </c>
      <c r="K172" s="1"/>
    </row>
    <row r="173" spans="1:9" ht="15">
      <c r="A173" s="265" t="str">
        <f t="shared" si="48"/>
        <v>Administrative and General Expenses</v>
      </c>
      <c r="B173" s="157">
        <f t="shared" si="49"/>
        <v>0</v>
      </c>
      <c r="C173" s="157"/>
      <c r="D173" s="157"/>
      <c r="E173" s="157"/>
      <c r="F173" s="157"/>
      <c r="G173" s="157"/>
      <c r="H173" s="157"/>
      <c r="I173" s="2"/>
    </row>
    <row r="174" spans="1:10" ht="15">
      <c r="A174" s="265" t="str">
        <f t="shared" si="48"/>
        <v>   Operating and Maintenance</v>
      </c>
      <c r="B174" s="157">
        <f t="shared" si="49"/>
        <v>0.1753956094080771</v>
      </c>
      <c r="C174" s="157">
        <f t="shared" si="49"/>
        <v>0.18296857202011196</v>
      </c>
      <c r="D174" s="157">
        <f aca="true" t="shared" si="51" ref="D174:E179">D136/D$131</f>
        <v>0.2282230577321761</v>
      </c>
      <c r="E174" s="157">
        <f t="shared" si="51"/>
        <v>0.13575370744860127</v>
      </c>
      <c r="F174" s="157">
        <f aca="true" t="shared" si="52" ref="F174:G179">F136/F$131</f>
        <v>0.22574903350977915</v>
      </c>
      <c r="G174" s="157">
        <f t="shared" si="52"/>
        <v>0.21952030259098354</v>
      </c>
      <c r="H174" s="157">
        <f t="shared" si="50"/>
        <v>0.19940276539937407</v>
      </c>
      <c r="I174" s="2"/>
      <c r="J174" s="56">
        <f>(G174+F174)/2</f>
        <v>0.22263466805038135</v>
      </c>
    </row>
    <row r="175" spans="1:17" ht="15">
      <c r="A175" s="265" t="str">
        <f t="shared" si="48"/>
        <v>   Depreciation and amortization</v>
      </c>
      <c r="B175" s="157">
        <f t="shared" si="49"/>
        <v>0.04631597876048233</v>
      </c>
      <c r="C175" s="157">
        <f t="shared" si="49"/>
        <v>0.037567296630241526</v>
      </c>
      <c r="D175" s="157">
        <f t="shared" si="51"/>
        <v>0.033575917531783864</v>
      </c>
      <c r="E175" s="157">
        <f t="shared" si="51"/>
        <v>0.035994317117926826</v>
      </c>
      <c r="F175" s="157">
        <f t="shared" si="52"/>
        <v>0.06649360850385075</v>
      </c>
      <c r="G175" s="157">
        <f t="shared" si="52"/>
        <v>0.05853196093141287</v>
      </c>
      <c r="H175" s="157">
        <f t="shared" si="50"/>
        <v>0.04760914208359985</v>
      </c>
      <c r="I175" s="2"/>
      <c r="J175" s="1">
        <f>AVERAGE(E175:G175)</f>
        <v>0.053673295517730146</v>
      </c>
      <c r="K175" s="1"/>
      <c r="L175" s="1"/>
      <c r="M175" s="1"/>
      <c r="N175" s="1"/>
      <c r="O175" s="1"/>
      <c r="P175" s="1"/>
      <c r="Q175" s="1"/>
    </row>
    <row r="176" spans="1:10" ht="15">
      <c r="A176" s="265" t="str">
        <f t="shared" si="48"/>
        <v>   Administrative and General</v>
      </c>
      <c r="B176" s="157">
        <f t="shared" si="49"/>
        <v>0.13964164161822668</v>
      </c>
      <c r="C176" s="157">
        <f t="shared" si="49"/>
        <v>0.14473889227629985</v>
      </c>
      <c r="D176" s="157">
        <f t="shared" si="51"/>
        <v>0.14929599827171772</v>
      </c>
      <c r="E176" s="157">
        <f t="shared" si="51"/>
        <v>0.10714444538066883</v>
      </c>
      <c r="F176" s="157">
        <f t="shared" si="52"/>
        <v>0.12640021221730915</v>
      </c>
      <c r="G176" s="157">
        <f t="shared" si="52"/>
        <v>0.11105069798071658</v>
      </c>
      <c r="H176" s="157">
        <f t="shared" si="50"/>
        <v>0.12595578503098095</v>
      </c>
      <c r="I176" s="2"/>
      <c r="J176" s="1">
        <f>AVERAGE(E176:G176)</f>
        <v>0.11486511852623153</v>
      </c>
    </row>
    <row r="177" spans="1:10" ht="15">
      <c r="A177" s="265" t="str">
        <f t="shared" si="48"/>
        <v>   Taxes, other than income taxes</v>
      </c>
      <c r="B177" s="266">
        <f t="shared" si="49"/>
        <v>0.0057462778213120316</v>
      </c>
      <c r="C177" s="266">
        <f t="shared" si="49"/>
        <v>0.008593193604410005</v>
      </c>
      <c r="D177" s="266">
        <f t="shared" si="51"/>
        <v>0.0093825685554137</v>
      </c>
      <c r="E177" s="266">
        <f t="shared" si="51"/>
        <v>0.00903690596562184</v>
      </c>
      <c r="F177" s="266">
        <f t="shared" si="52"/>
        <v>0.01454802478854348</v>
      </c>
      <c r="G177" s="266">
        <f t="shared" si="52"/>
        <v>0.012319775758467554</v>
      </c>
      <c r="H177" s="267">
        <f t="shared" si="50"/>
        <v>0.010963554632613899</v>
      </c>
      <c r="I177" s="2"/>
      <c r="J177" s="1">
        <f>AVERAGE(E177:G177)</f>
        <v>0.011968235504210958</v>
      </c>
    </row>
    <row r="178" spans="1:10" ht="15">
      <c r="A178" s="268" t="s">
        <v>52</v>
      </c>
      <c r="B178" s="266">
        <f t="shared" si="49"/>
        <v>0.7914995146255599</v>
      </c>
      <c r="C178" s="266">
        <f t="shared" si="49"/>
        <v>0.8898508819798354</v>
      </c>
      <c r="D178" s="266">
        <f t="shared" si="51"/>
        <v>0.9573720739257124</v>
      </c>
      <c r="E178" s="266">
        <f t="shared" si="51"/>
        <v>0.7776958581432798</v>
      </c>
      <c r="F178" s="266">
        <f t="shared" si="52"/>
        <v>0.9235753563798116</v>
      </c>
      <c r="G178" s="266">
        <f t="shared" si="52"/>
        <v>0.847260060836612</v>
      </c>
      <c r="H178" s="269">
        <f t="shared" si="50"/>
        <v>0.8759769587458074</v>
      </c>
      <c r="I178" s="2"/>
      <c r="J178" s="1">
        <f>+J177+J176+J175+J174+J172</f>
        <v>0.8884707453204945</v>
      </c>
    </row>
    <row r="179" spans="1:10" ht="15">
      <c r="A179" s="268" t="s">
        <v>16</v>
      </c>
      <c r="B179" s="157">
        <f t="shared" si="49"/>
        <v>0.20850048537444008</v>
      </c>
      <c r="C179" s="157">
        <f t="shared" si="49"/>
        <v>0.11014911802016462</v>
      </c>
      <c r="D179" s="157">
        <f t="shared" si="51"/>
        <v>0.0426279260742875</v>
      </c>
      <c r="E179" s="157">
        <f t="shared" si="51"/>
        <v>0.2223041418567202</v>
      </c>
      <c r="F179" s="157">
        <f t="shared" si="52"/>
        <v>0.07642464362018843</v>
      </c>
      <c r="G179" s="157">
        <f t="shared" si="52"/>
        <v>0.15273993916338804</v>
      </c>
      <c r="H179" s="157">
        <f t="shared" si="50"/>
        <v>0.12402304125419267</v>
      </c>
      <c r="I179" s="2"/>
      <c r="J179" s="1">
        <f>AVERAGE(E179:G179)-0.01</f>
        <v>0.14048957488009886</v>
      </c>
    </row>
    <row r="180" spans="1:9" ht="15">
      <c r="A180" s="268"/>
      <c r="B180" s="157"/>
      <c r="C180" s="157"/>
      <c r="D180" s="157"/>
      <c r="E180" s="157"/>
      <c r="F180" s="157"/>
      <c r="G180" s="157"/>
      <c r="H180" s="157"/>
      <c r="I180" s="2"/>
    </row>
    <row r="181" spans="1:10" ht="15">
      <c r="A181" s="265" t="str">
        <f>A143</f>
        <v>   Interest expense (net)</v>
      </c>
      <c r="B181" s="270">
        <f aca="true" t="shared" si="53" ref="B181:C185">B143/B$131</f>
        <v>0.010060554847311727</v>
      </c>
      <c r="C181" s="270">
        <f t="shared" si="53"/>
        <v>0.008608846051776873</v>
      </c>
      <c r="D181" s="270">
        <f aca="true" t="shared" si="54" ref="D181:E185">D143/D$131</f>
        <v>0.013959653458581741</v>
      </c>
      <c r="E181" s="270">
        <f t="shared" si="54"/>
        <v>0.053346651125341725</v>
      </c>
      <c r="F181" s="270">
        <f aca="true" t="shared" si="55" ref="F181:G185">F143/F$131</f>
        <v>0.07226412786781894</v>
      </c>
      <c r="G181" s="270">
        <f t="shared" si="55"/>
        <v>0.057076417249422876</v>
      </c>
      <c r="H181" s="157">
        <f t="shared" si="50"/>
        <v>0.043574028563548015</v>
      </c>
      <c r="I181" s="2"/>
      <c r="J181" s="1">
        <f>AVERAGE(E181:G181)</f>
        <v>0.06089573208086119</v>
      </c>
    </row>
    <row r="182" spans="1:10" ht="15">
      <c r="A182" s="265" t="str">
        <f aca="true" t="shared" si="56" ref="A182:A193">A144</f>
        <v>   Interest and Other Income</v>
      </c>
      <c r="B182" s="270">
        <f t="shared" si="53"/>
        <v>-0.0010043742178454053</v>
      </c>
      <c r="C182" s="270">
        <f t="shared" si="53"/>
        <v>-0.00200635916248023</v>
      </c>
      <c r="D182" s="270">
        <f t="shared" si="54"/>
        <v>-0.0018135251101975161</v>
      </c>
      <c r="E182" s="270">
        <f t="shared" si="54"/>
        <v>-0.0034821696064112648</v>
      </c>
      <c r="F182" s="270">
        <f t="shared" si="55"/>
        <v>-0.0016042618012862804</v>
      </c>
      <c r="G182" s="270">
        <f t="shared" si="55"/>
        <v>-0.0006609528817786869</v>
      </c>
      <c r="H182" s="157">
        <f>SUM(D144:G144)/SUM(D$131:G$131)</f>
        <v>-0.0018274388915595892</v>
      </c>
      <c r="I182" s="2"/>
      <c r="J182" s="1">
        <f>AVERAGE(E182:G182)</f>
        <v>-0.0019157947631587438</v>
      </c>
    </row>
    <row r="183" spans="1:10" ht="15">
      <c r="A183" s="265" t="str">
        <f t="shared" si="56"/>
        <v>   Loss (Gain) on Sale of Assets</v>
      </c>
      <c r="B183" s="270">
        <f t="shared" si="53"/>
        <v>0.019896697114653628</v>
      </c>
      <c r="C183" s="270">
        <f t="shared" si="53"/>
        <v>0.008317141350848897</v>
      </c>
      <c r="D183" s="270">
        <f t="shared" si="54"/>
        <v>0.005380710131404112</v>
      </c>
      <c r="E183" s="270">
        <f t="shared" si="54"/>
        <v>0</v>
      </c>
      <c r="F183" s="270">
        <f t="shared" si="55"/>
        <v>0</v>
      </c>
      <c r="G183" s="270">
        <f t="shared" si="55"/>
        <v>0</v>
      </c>
      <c r="H183" s="157">
        <f t="shared" si="50"/>
        <v>0.002357635560501011</v>
      </c>
      <c r="I183" s="2"/>
      <c r="J183" s="1">
        <f>AVERAGE(E183:G183)</f>
        <v>0</v>
      </c>
    </row>
    <row r="184" spans="1:10" ht="15">
      <c r="A184" s="265" t="str">
        <f t="shared" si="56"/>
        <v>   Other (Income) Expense</v>
      </c>
      <c r="B184" s="266">
        <f t="shared" si="53"/>
        <v>-0.0010328826563432006</v>
      </c>
      <c r="C184" s="266">
        <f t="shared" si="53"/>
        <v>-0.0010053140058810513</v>
      </c>
      <c r="D184" s="266">
        <f t="shared" si="54"/>
        <v>-0.0009194513744919592</v>
      </c>
      <c r="E184" s="266">
        <f t="shared" si="54"/>
        <v>-0.0008268031681833501</v>
      </c>
      <c r="F184" s="266">
        <f t="shared" si="55"/>
        <v>-0.0008113177971429901</v>
      </c>
      <c r="G184" s="266">
        <f t="shared" si="55"/>
        <v>-0.0006816981182140763</v>
      </c>
      <c r="H184" s="267">
        <f t="shared" si="50"/>
        <v>-0.0008345455801863641</v>
      </c>
      <c r="I184" s="2"/>
      <c r="J184" s="1">
        <f>AVERAGE(E184:G184)</f>
        <v>-0.0007732730278468056</v>
      </c>
    </row>
    <row r="185" spans="1:10" ht="15">
      <c r="A185" s="265" t="str">
        <f t="shared" si="56"/>
        <v>Total Other Income/Expense</v>
      </c>
      <c r="B185" s="270">
        <f t="shared" si="53"/>
        <v>0.02791999508777675</v>
      </c>
      <c r="C185" s="270">
        <f t="shared" si="53"/>
        <v>0.013914314234264489</v>
      </c>
      <c r="D185" s="270">
        <f t="shared" si="54"/>
        <v>0.016607387105296377</v>
      </c>
      <c r="E185" s="270">
        <f t="shared" si="54"/>
        <v>0.049037678350747106</v>
      </c>
      <c r="F185" s="270">
        <f t="shared" si="55"/>
        <v>0.06984854826938966</v>
      </c>
      <c r="G185" s="270">
        <f t="shared" si="55"/>
        <v>0.055733766249430106</v>
      </c>
      <c r="H185" s="157">
        <f t="shared" si="50"/>
        <v>0.0432399740836093</v>
      </c>
      <c r="I185" s="7"/>
      <c r="J185" s="1">
        <f>AVERAGE(E185:G185)</f>
        <v>0.058206664289855624</v>
      </c>
    </row>
    <row r="186" spans="1:9" ht="15">
      <c r="A186" s="265"/>
      <c r="B186" s="270"/>
      <c r="C186" s="270"/>
      <c r="D186" s="270"/>
      <c r="E186" s="270"/>
      <c r="F186" s="270"/>
      <c r="G186" s="270"/>
      <c r="H186" s="157"/>
      <c r="I186" s="7"/>
    </row>
    <row r="187" spans="1:10" ht="15">
      <c r="A187" s="265" t="str">
        <f t="shared" si="56"/>
        <v>Earnings Before Taxes</v>
      </c>
      <c r="B187" s="157">
        <f aca="true" t="shared" si="57" ref="B187:C190">B149/B$131</f>
        <v>0.18058049028666331</v>
      </c>
      <c r="C187" s="157">
        <f t="shared" si="57"/>
        <v>0.09623480378590013</v>
      </c>
      <c r="D187" s="157">
        <f aca="true" t="shared" si="58" ref="D187:E190">D149/D$131</f>
        <v>0.02602053896899113</v>
      </c>
      <c r="E187" s="157">
        <f t="shared" si="58"/>
        <v>0.1732664635059731</v>
      </c>
      <c r="F187" s="157">
        <f aca="true" t="shared" si="59" ref="F187:G190">F149/F$131</f>
        <v>0.006576095350798772</v>
      </c>
      <c r="G187" s="157">
        <f t="shared" si="59"/>
        <v>0.09700617291395792</v>
      </c>
      <c r="H187" s="157">
        <f t="shared" si="50"/>
        <v>0.08078306717058337</v>
      </c>
      <c r="I187" s="2"/>
      <c r="J187" s="1">
        <f>AVERAGE(E187:G187)-0.01</f>
        <v>0.08228291059024329</v>
      </c>
    </row>
    <row r="188" spans="1:16" ht="15">
      <c r="A188" s="265" t="str">
        <f t="shared" si="56"/>
        <v>Other Capital Credits and Patronage Div</v>
      </c>
      <c r="B188" s="157">
        <f t="shared" si="57"/>
        <v>0.002075999111121507</v>
      </c>
      <c r="C188" s="157">
        <f t="shared" si="57"/>
        <v>0.000890055075270485</v>
      </c>
      <c r="D188" s="157">
        <f t="shared" si="58"/>
        <v>0.001146548706195918</v>
      </c>
      <c r="E188" s="157">
        <f t="shared" si="58"/>
        <v>0.005123487997603266</v>
      </c>
      <c r="F188" s="157">
        <f t="shared" si="59"/>
        <v>0.010970302782883204</v>
      </c>
      <c r="G188" s="157">
        <f t="shared" si="59"/>
        <v>0.008237788654285459</v>
      </c>
      <c r="H188" s="157">
        <f t="shared" si="50"/>
        <v>0.00566404254351538</v>
      </c>
      <c r="I188" s="2"/>
      <c r="J188" s="1">
        <f>AVERAGE(E188:G188)</f>
        <v>0.00811052647825731</v>
      </c>
      <c r="P188" t="s">
        <v>88</v>
      </c>
    </row>
    <row r="189" spans="1:16" ht="15">
      <c r="A189" s="265" t="str">
        <f t="shared" si="56"/>
        <v>Income Taxes</v>
      </c>
      <c r="B189" s="266">
        <f t="shared" si="57"/>
        <v>0</v>
      </c>
      <c r="C189" s="266">
        <f t="shared" si="57"/>
        <v>0</v>
      </c>
      <c r="D189" s="266">
        <f t="shared" si="58"/>
        <v>0</v>
      </c>
      <c r="E189" s="266">
        <f t="shared" si="58"/>
        <v>0</v>
      </c>
      <c r="F189" s="266">
        <f t="shared" si="59"/>
        <v>0</v>
      </c>
      <c r="G189" s="266">
        <f t="shared" si="59"/>
        <v>0</v>
      </c>
      <c r="H189" s="267">
        <f t="shared" si="50"/>
        <v>0</v>
      </c>
      <c r="I189" s="2"/>
      <c r="J189" s="1">
        <f>AVERAGE(E189:G189)</f>
        <v>0</v>
      </c>
      <c r="K189" s="1"/>
      <c r="L189" s="1"/>
      <c r="M189" s="1"/>
      <c r="N189" s="1"/>
      <c r="O189" s="1"/>
      <c r="P189" s="1">
        <f>AVERAGE(J189:O189)</f>
        <v>0</v>
      </c>
    </row>
    <row r="190" spans="1:10" ht="15.75" thickBot="1">
      <c r="A190" s="265" t="str">
        <f t="shared" si="56"/>
        <v>Net Margin</v>
      </c>
      <c r="B190" s="271">
        <f t="shared" si="57"/>
        <v>0.1826564893977848</v>
      </c>
      <c r="C190" s="271">
        <f t="shared" si="57"/>
        <v>0.09712485886117062</v>
      </c>
      <c r="D190" s="271">
        <f t="shared" si="58"/>
        <v>0.027167087675187045</v>
      </c>
      <c r="E190" s="271">
        <f t="shared" si="58"/>
        <v>0.17838995150357637</v>
      </c>
      <c r="F190" s="271">
        <f t="shared" si="59"/>
        <v>0.017546398133681976</v>
      </c>
      <c r="G190" s="271">
        <f t="shared" si="59"/>
        <v>0.10524396156824338</v>
      </c>
      <c r="H190" s="272">
        <f t="shared" si="50"/>
        <v>0.08644710971409875</v>
      </c>
      <c r="I190" s="2"/>
      <c r="J190" s="1">
        <f>AVERAGE(E190:G190)-0.01</f>
        <v>0.09039343706850057</v>
      </c>
    </row>
    <row r="191" spans="1:9" ht="15.75" thickTop="1">
      <c r="A191" s="265"/>
      <c r="B191" s="268"/>
      <c r="C191" s="268"/>
      <c r="D191" s="268"/>
      <c r="E191" s="268"/>
      <c r="F191" s="268"/>
      <c r="G191" s="268"/>
      <c r="H191" s="157"/>
      <c r="I191" s="2"/>
    </row>
    <row r="192" spans="1:9" ht="15">
      <c r="A192" s="265" t="str">
        <f t="shared" si="56"/>
        <v>Preferred Stock Dividends</v>
      </c>
      <c r="B192" s="157">
        <f>B154/B$152</f>
        <v>0</v>
      </c>
      <c r="C192" s="157">
        <f>C154/C$152</f>
        <v>0</v>
      </c>
      <c r="D192" s="157">
        <f aca="true" t="shared" si="60" ref="D192:G193">D154/D$152</f>
        <v>0</v>
      </c>
      <c r="E192" s="157">
        <f t="shared" si="60"/>
        <v>0</v>
      </c>
      <c r="F192" s="157">
        <f t="shared" si="60"/>
        <v>0</v>
      </c>
      <c r="G192" s="157">
        <f t="shared" si="60"/>
        <v>0</v>
      </c>
      <c r="H192" s="157">
        <f t="shared" si="50"/>
        <v>0</v>
      </c>
      <c r="I192" s="2"/>
    </row>
    <row r="193" spans="1:10" ht="12" customHeight="1">
      <c r="A193" s="265" t="str">
        <f t="shared" si="56"/>
        <v>Return of Patrons Capital</v>
      </c>
      <c r="B193" s="157">
        <f>B155/B$152</f>
        <v>0</v>
      </c>
      <c r="C193" s="157">
        <f>C155/C$152</f>
        <v>0</v>
      </c>
      <c r="D193" s="157">
        <f t="shared" si="60"/>
        <v>0</v>
      </c>
      <c r="E193" s="157">
        <f t="shared" si="60"/>
        <v>0</v>
      </c>
      <c r="F193" s="157">
        <f t="shared" si="60"/>
        <v>0</v>
      </c>
      <c r="G193" s="157">
        <f>G155/G$152</f>
        <v>0</v>
      </c>
      <c r="H193" s="157">
        <f>SUM(C155:G155)/SUM(C$152:G$152)</f>
        <v>0</v>
      </c>
      <c r="I193" s="2"/>
      <c r="J193" s="1"/>
    </row>
    <row r="194" spans="1:9" ht="15">
      <c r="A194" s="268"/>
      <c r="B194" s="268"/>
      <c r="C194" s="268"/>
      <c r="D194" s="268"/>
      <c r="E194" s="268"/>
      <c r="F194" s="268"/>
      <c r="G194" s="268"/>
      <c r="H194" s="157"/>
      <c r="I194" s="2"/>
    </row>
    <row r="195" spans="1:9" ht="15">
      <c r="A195" s="268"/>
      <c r="B195" s="268"/>
      <c r="C195" s="268"/>
      <c r="D195" s="268"/>
      <c r="E195" s="268"/>
      <c r="F195" s="268"/>
      <c r="G195" s="268"/>
      <c r="H195" s="273" t="str">
        <f>H157</f>
        <v>Exhibit 1</v>
      </c>
      <c r="I195" s="2"/>
    </row>
    <row r="196" spans="1:9" ht="15">
      <c r="A196" s="268"/>
      <c r="B196" s="268"/>
      <c r="C196" s="268"/>
      <c r="D196" s="268"/>
      <c r="E196" s="268"/>
      <c r="F196" s="268"/>
      <c r="G196" s="268"/>
      <c r="H196" s="274" t="s">
        <v>242</v>
      </c>
      <c r="I196" s="2"/>
    </row>
    <row r="197" spans="1:9" ht="18">
      <c r="A197" s="275" t="str">
        <f>A3</f>
        <v>Flowell Electric Association, Inc.</v>
      </c>
      <c r="B197" s="276"/>
      <c r="C197" s="276"/>
      <c r="D197" s="276"/>
      <c r="E197" s="276"/>
      <c r="F197" s="276"/>
      <c r="G197" s="276"/>
      <c r="H197" s="276"/>
      <c r="I197" s="2"/>
    </row>
    <row r="198" spans="1:9" ht="15.75">
      <c r="A198" s="277" t="s">
        <v>60</v>
      </c>
      <c r="B198" s="276"/>
      <c r="C198" s="276"/>
      <c r="D198" s="276"/>
      <c r="E198" s="276"/>
      <c r="F198" s="276"/>
      <c r="G198" s="276"/>
      <c r="H198" s="278"/>
      <c r="I198" s="2"/>
    </row>
    <row r="199" spans="1:9" ht="15.75">
      <c r="A199" s="279" t="str">
        <f>A5</f>
        <v>Years Ended December 31</v>
      </c>
      <c r="B199" s="276"/>
      <c r="C199" s="276"/>
      <c r="D199" s="276"/>
      <c r="E199" s="276"/>
      <c r="F199" s="276"/>
      <c r="G199" s="276"/>
      <c r="H199" s="278"/>
      <c r="I199" s="2"/>
    </row>
    <row r="200" spans="1:9" ht="15.75">
      <c r="A200" s="277"/>
      <c r="B200" s="276"/>
      <c r="C200" s="276"/>
      <c r="D200" s="276"/>
      <c r="E200" s="276"/>
      <c r="F200" s="276"/>
      <c r="G200" s="276"/>
      <c r="H200" s="278"/>
      <c r="I200" s="2"/>
    </row>
    <row r="201" spans="1:9" ht="12.75">
      <c r="A201" s="280"/>
      <c r="B201" s="280"/>
      <c r="C201" s="280"/>
      <c r="D201" s="280"/>
      <c r="E201" s="280"/>
      <c r="F201" s="280"/>
      <c r="G201" s="280"/>
      <c r="H201" s="281"/>
      <c r="I201" s="2"/>
    </row>
    <row r="202" spans="1:9" ht="15.75">
      <c r="A202" s="282"/>
      <c r="B202" s="282"/>
      <c r="C202" s="282"/>
      <c r="D202" s="283"/>
      <c r="E202" s="283"/>
      <c r="F202" s="283"/>
      <c r="G202" s="284"/>
      <c r="H202" s="285" t="str">
        <f>H7</f>
        <v>2005 to 2009</v>
      </c>
      <c r="I202" s="2"/>
    </row>
    <row r="203" spans="1:9" ht="15.75">
      <c r="A203" s="286" t="s">
        <v>35</v>
      </c>
      <c r="B203" s="287">
        <f>+B165</f>
        <v>2004</v>
      </c>
      <c r="C203" s="287">
        <f>+C165</f>
        <v>2005</v>
      </c>
      <c r="D203" s="287">
        <f>+D165</f>
        <v>2006</v>
      </c>
      <c r="E203" s="287">
        <f>+E165</f>
        <v>2007</v>
      </c>
      <c r="F203" s="287">
        <f>+F165</f>
        <v>2008</v>
      </c>
      <c r="G203" s="288">
        <f>G165</f>
        <v>2009</v>
      </c>
      <c r="H203" s="289" t="s">
        <v>4</v>
      </c>
      <c r="I203" s="2"/>
    </row>
    <row r="204" spans="1:9" ht="7.5" customHeight="1">
      <c r="A204" s="290"/>
      <c r="B204" s="291"/>
      <c r="C204" s="291"/>
      <c r="D204" s="291"/>
      <c r="E204" s="291"/>
      <c r="F204" s="292"/>
      <c r="G204" s="292"/>
      <c r="H204" s="293"/>
      <c r="I204" s="7"/>
    </row>
    <row r="205" spans="1:9" ht="15">
      <c r="A205" s="294" t="s">
        <v>43</v>
      </c>
      <c r="B205" s="295"/>
      <c r="C205" s="295"/>
      <c r="D205" s="295"/>
      <c r="E205" s="295"/>
      <c r="F205" s="295"/>
      <c r="G205" s="295"/>
      <c r="H205" s="157"/>
      <c r="I205" s="2"/>
    </row>
    <row r="206" spans="1:9" ht="15">
      <c r="A206" s="268" t="s">
        <v>8</v>
      </c>
      <c r="B206" s="296">
        <f aca="true" t="shared" si="61" ref="B206:G206">B16/B43</f>
        <v>1.1291011353943483</v>
      </c>
      <c r="C206" s="296">
        <f t="shared" si="61"/>
        <v>0.9800795460230562</v>
      </c>
      <c r="D206" s="296">
        <f t="shared" si="61"/>
        <v>0.7680508401970847</v>
      </c>
      <c r="E206" s="296">
        <f t="shared" si="61"/>
        <v>0.7161425477020109</v>
      </c>
      <c r="F206" s="296">
        <f t="shared" si="61"/>
        <v>0.5744483738991748</v>
      </c>
      <c r="G206" s="296">
        <f t="shared" si="61"/>
        <v>0.656507175514351</v>
      </c>
      <c r="H206" s="296">
        <f>AVERAGE(C206:G206)</f>
        <v>0.7390456966671355</v>
      </c>
      <c r="I206" s="2"/>
    </row>
    <row r="207" spans="1:9" ht="15">
      <c r="A207" s="268" t="s">
        <v>34</v>
      </c>
      <c r="B207" s="296">
        <f aca="true" t="shared" si="62" ref="B207:G207">(B12+B13)/B43</f>
        <v>0.68426162521854</v>
      </c>
      <c r="C207" s="296">
        <f t="shared" si="62"/>
        <v>0.5475310715485388</v>
      </c>
      <c r="D207" s="296">
        <f t="shared" si="62"/>
        <v>0.39007554466240085</v>
      </c>
      <c r="E207" s="296">
        <f t="shared" si="62"/>
        <v>0.41950874806034455</v>
      </c>
      <c r="F207" s="296">
        <f t="shared" si="62"/>
        <v>0.26240343942861105</v>
      </c>
      <c r="G207" s="296">
        <f t="shared" si="62"/>
        <v>0.27229013208026415</v>
      </c>
      <c r="H207" s="296">
        <f aca="true" t="shared" si="63" ref="H207:H226">AVERAGE(C207:G207)</f>
        <v>0.37836178715603186</v>
      </c>
      <c r="I207" s="2"/>
    </row>
    <row r="208" spans="1:9" ht="15">
      <c r="A208" s="268" t="s">
        <v>11</v>
      </c>
      <c r="B208" s="296"/>
      <c r="C208" s="296"/>
      <c r="D208" s="296">
        <f>365*(((C13+D13)/2)/((C131+D131)/2))</f>
        <v>35.35020019936669</v>
      </c>
      <c r="E208" s="296">
        <f>365*(((D13+E13)/2)/((D131+E131)/2))</f>
        <v>27.43163734549929</v>
      </c>
      <c r="F208" s="296">
        <f>365*(((E13+F13)/2)/((E131+F131)/2))</f>
        <v>27.64323076285507</v>
      </c>
      <c r="G208" s="296">
        <f>365*(((F13+G13)/2)/((F131+G131)/2))</f>
        <v>24.527132354020686</v>
      </c>
      <c r="H208" s="296">
        <f t="shared" si="63"/>
        <v>28.738050165435432</v>
      </c>
      <c r="I208" s="2"/>
    </row>
    <row r="209" spans="1:9" ht="15">
      <c r="A209" s="268"/>
      <c r="B209" s="296"/>
      <c r="C209" s="296"/>
      <c r="D209" s="296"/>
      <c r="E209" s="296"/>
      <c r="F209" s="296"/>
      <c r="G209" s="296"/>
      <c r="H209" s="296"/>
      <c r="I209" s="2"/>
    </row>
    <row r="210" spans="1:9" ht="15">
      <c r="A210" s="294" t="s">
        <v>23</v>
      </c>
      <c r="B210" s="296"/>
      <c r="C210" s="296"/>
      <c r="D210" s="296"/>
      <c r="E210" s="296"/>
      <c r="F210" s="296"/>
      <c r="G210" s="296"/>
      <c r="H210" s="296"/>
      <c r="I210" s="2"/>
    </row>
    <row r="211" spans="1:9" ht="15">
      <c r="A211" s="268" t="s">
        <v>27</v>
      </c>
      <c r="B211" s="296">
        <f aca="true" t="shared" si="64" ref="B211:G211">B57/B50</f>
        <v>1.3809453530650853</v>
      </c>
      <c r="C211" s="296">
        <f t="shared" si="64"/>
        <v>1.379372296839289</v>
      </c>
      <c r="D211" s="296">
        <f t="shared" si="64"/>
        <v>1.0665051741219516</v>
      </c>
      <c r="E211" s="296">
        <f t="shared" si="64"/>
        <v>0.5185004632837217</v>
      </c>
      <c r="F211" s="296">
        <f t="shared" si="64"/>
        <v>0.5480071268596541</v>
      </c>
      <c r="G211" s="296">
        <f t="shared" si="64"/>
        <v>0.6809678558231594</v>
      </c>
      <c r="H211" s="296">
        <f t="shared" si="63"/>
        <v>0.8386705833855551</v>
      </c>
      <c r="I211" s="2"/>
    </row>
    <row r="212" spans="1:9" ht="15">
      <c r="A212" s="268" t="s">
        <v>26</v>
      </c>
      <c r="B212" s="296">
        <f aca="true" t="shared" si="65" ref="B212:G212">B57/B48</f>
        <v>7.2375498085787955</v>
      </c>
      <c r="C212" s="296">
        <f t="shared" si="65"/>
        <v>8.585181451612904</v>
      </c>
      <c r="D212" s="296">
        <f t="shared" si="65"/>
        <v>2.976910808858931</v>
      </c>
      <c r="E212" s="296">
        <f t="shared" si="65"/>
        <v>0.7586869415406714</v>
      </c>
      <c r="F212" s="296">
        <f t="shared" si="65"/>
        <v>0.7952691506723135</v>
      </c>
      <c r="G212" s="296">
        <f t="shared" si="65"/>
        <v>0.9565171308025551</v>
      </c>
      <c r="H212" s="296">
        <f t="shared" si="63"/>
        <v>2.814513096697475</v>
      </c>
      <c r="I212" s="2"/>
    </row>
    <row r="213" spans="1:9" ht="15">
      <c r="A213" s="268" t="s">
        <v>25</v>
      </c>
      <c r="B213" s="296">
        <f aca="true" t="shared" si="66" ref="B213:G213">B57/B26</f>
        <v>1.0148913931866836</v>
      </c>
      <c r="C213" s="296">
        <f t="shared" si="66"/>
        <v>0.9518448952981171</v>
      </c>
      <c r="D213" s="296">
        <f t="shared" si="66"/>
        <v>0.6702209461533094</v>
      </c>
      <c r="E213" s="296">
        <f t="shared" si="66"/>
        <v>0.3991756192013634</v>
      </c>
      <c r="F213" s="296">
        <f t="shared" si="66"/>
        <v>0.39883978195307035</v>
      </c>
      <c r="G213" s="296">
        <f t="shared" si="66"/>
        <v>0.4529952310431226</v>
      </c>
      <c r="H213" s="296">
        <f t="shared" si="63"/>
        <v>0.5746152947297966</v>
      </c>
      <c r="I213" s="2"/>
    </row>
    <row r="214" spans="1:9" ht="15">
      <c r="A214" s="268" t="s">
        <v>45</v>
      </c>
      <c r="B214" s="296">
        <f aca="true" t="shared" si="67" ref="B214:G214">(B149+B143)/B143</f>
        <v>18.949356971590497</v>
      </c>
      <c r="C214" s="296">
        <f t="shared" si="67"/>
        <v>12.178595041322314</v>
      </c>
      <c r="D214" s="296">
        <f t="shared" si="67"/>
        <v>2.8639817274973196</v>
      </c>
      <c r="E214" s="296">
        <f t="shared" si="67"/>
        <v>4.24793515339644</v>
      </c>
      <c r="F214" s="296">
        <f t="shared" si="67"/>
        <v>1.0910008263412154</v>
      </c>
      <c r="G214" s="296">
        <f t="shared" si="67"/>
        <v>2.6995841292918366</v>
      </c>
      <c r="H214" s="296">
        <f>AVERAGE(D214:G214)</f>
        <v>2.7256254591317024</v>
      </c>
      <c r="I214" s="2"/>
    </row>
    <row r="215" spans="1:9" ht="15">
      <c r="A215" s="268"/>
      <c r="B215" s="296"/>
      <c r="C215" s="296"/>
      <c r="D215" s="296"/>
      <c r="E215" s="296"/>
      <c r="F215" s="296"/>
      <c r="G215" s="296"/>
      <c r="H215" s="296"/>
      <c r="I215" s="2"/>
    </row>
    <row r="216" spans="1:9" ht="15">
      <c r="A216" s="294" t="s">
        <v>82</v>
      </c>
      <c r="B216" s="296"/>
      <c r="C216" s="296"/>
      <c r="D216" s="296"/>
      <c r="E216" s="296"/>
      <c r="F216" s="296"/>
      <c r="G216" s="296"/>
      <c r="H216" s="296"/>
      <c r="I216" s="2"/>
    </row>
    <row r="217" spans="1:9" ht="15">
      <c r="A217" s="268" t="s">
        <v>37</v>
      </c>
      <c r="B217" s="157"/>
      <c r="C217" s="157">
        <f>(C152+(C143*(1-(C151/C149))))/((B34+C34)/2)</f>
        <v>0.09335730944098501</v>
      </c>
      <c r="D217" s="157">
        <f>(D152+(D143*(1-(D151/D149))))/((C34+D34)/2)</f>
        <v>0.035190881985295144</v>
      </c>
      <c r="E217" s="157">
        <f>(E152+(E143*(1-(E151/E149))))/((D34+E34)/2)</f>
        <v>0.1379946427404778</v>
      </c>
      <c r="F217" s="157">
        <f>(F152+(F143*(1-(F151/F149))))/((E34+F34)/2)</f>
        <v>0.042108320805020964</v>
      </c>
      <c r="G217" s="157">
        <f>(G152+(G143*(1-(G151/G149))))/((F34+G34)/2)</f>
        <v>0.08971804515288109</v>
      </c>
      <c r="H217" s="297">
        <f t="shared" si="63"/>
        <v>0.07967384002493201</v>
      </c>
      <c r="I217" s="2"/>
    </row>
    <row r="218" spans="1:9" ht="15">
      <c r="A218" s="268" t="s">
        <v>81</v>
      </c>
      <c r="B218" s="157"/>
      <c r="C218" s="157">
        <f>(C152+(C143*(1-(C151/C149))))/((B45+C45+B52+C52+B57+C57)/2)</f>
        <v>0.144083107716695</v>
      </c>
      <c r="D218" s="157">
        <f>(D152+(D143*(1-(D151/D149))))/((C45+D45+C52+D52+C57+D57)/2)</f>
        <v>0.052201398633742804</v>
      </c>
      <c r="E218" s="157">
        <f>(E152+(E143*(1-(E151/E149))))/((D45+E45+D52+E52+D57+E57)/2)</f>
        <v>0.18111283721768287</v>
      </c>
      <c r="F218" s="157">
        <f>(F152+(F143*(1-(F151/F149))))/((E45+F45+E52+F52+E57+F57)/2)</f>
        <v>0.0526675278755051</v>
      </c>
      <c r="G218" s="157">
        <f>(G152+(G143*(1-(G151/G149))))/((F45+G45+F52+G52+F57+G57)/2)</f>
        <v>0.10955485565757352</v>
      </c>
      <c r="H218" s="297">
        <f t="shared" si="63"/>
        <v>0.10792394542023986</v>
      </c>
      <c r="I218" s="2"/>
    </row>
    <row r="219" spans="1:9" ht="15">
      <c r="A219" s="268" t="s">
        <v>170</v>
      </c>
      <c r="B219" s="157"/>
      <c r="C219" s="157">
        <f>(C152-C154)/((C57+B57)/2)</f>
        <v>0.1478910317661512</v>
      </c>
      <c r="D219" s="157">
        <f>(D152-D154)/((D57+C57)/2)</f>
        <v>0.04373859719056776</v>
      </c>
      <c r="E219" s="157">
        <f>(E152-E154)/((E57+D57)/2)</f>
        <v>0.2732293622957336</v>
      </c>
      <c r="F219" s="157">
        <f>(F152-F154)/((F57+E57)/2)</f>
        <v>0.024318922547347254</v>
      </c>
      <c r="G219" s="157">
        <f>(G152-G154)/((G57+F57)/2)</f>
        <v>0.15808093544469276</v>
      </c>
      <c r="H219" s="297">
        <f t="shared" si="63"/>
        <v>0.12945176984889853</v>
      </c>
      <c r="I219" s="2"/>
    </row>
    <row r="220" spans="1:9" ht="15">
      <c r="A220" s="268"/>
      <c r="B220" s="296"/>
      <c r="C220" s="296"/>
      <c r="D220" s="296"/>
      <c r="E220" s="296"/>
      <c r="F220" s="296"/>
      <c r="G220" s="296"/>
      <c r="H220" s="296"/>
      <c r="I220" s="2"/>
    </row>
    <row r="221" spans="1:9" ht="15">
      <c r="A221" s="294" t="s">
        <v>3</v>
      </c>
      <c r="B221" s="296"/>
      <c r="C221" s="296"/>
      <c r="D221" s="296"/>
      <c r="E221" s="296"/>
      <c r="F221" s="296"/>
      <c r="G221" s="296"/>
      <c r="H221" s="296"/>
      <c r="I221" s="2"/>
    </row>
    <row r="222" spans="1:9" ht="15">
      <c r="A222" s="268" t="s">
        <v>39</v>
      </c>
      <c r="B222" s="296"/>
      <c r="C222" s="296">
        <f>C131/((B12+C12)/2)</f>
        <v>10.093289959354848</v>
      </c>
      <c r="D222" s="296">
        <f>D131/((C12+D12)/2)</f>
        <v>12.115941343424787</v>
      </c>
      <c r="E222" s="296">
        <f>E131/((D12+E12)/2)</f>
        <v>11.152825091037236</v>
      </c>
      <c r="F222" s="296">
        <f>F131/((E12+F12)/2)</f>
        <v>14.155008391682278</v>
      </c>
      <c r="G222" s="296">
        <f>G131/((F12+G12)/2)</f>
        <v>39.70433866487884</v>
      </c>
      <c r="H222" s="296">
        <f t="shared" si="63"/>
        <v>17.444280690075598</v>
      </c>
      <c r="I222" s="2"/>
    </row>
    <row r="223" spans="1:9" ht="15">
      <c r="A223" s="268" t="s">
        <v>38</v>
      </c>
      <c r="B223" s="296"/>
      <c r="C223" s="296">
        <f>C131/((B13+C13)/2)</f>
        <v>7.039023022180822</v>
      </c>
      <c r="D223" s="296">
        <f>D131/((C13+D13)/2)</f>
        <v>10.78586342788362</v>
      </c>
      <c r="E223" s="296">
        <f>E131/((D13+E13)/2)</f>
        <v>14.011748935175886</v>
      </c>
      <c r="F223" s="296">
        <f>F131/((E13+F13)/2)</f>
        <v>13.328774619161141</v>
      </c>
      <c r="G223" s="296">
        <f>G131/((F13+G13)/2)</f>
        <v>16.17344928350441</v>
      </c>
      <c r="H223" s="296">
        <f t="shared" si="63"/>
        <v>12.267771857581176</v>
      </c>
      <c r="I223" s="2"/>
    </row>
    <row r="224" spans="1:9" ht="15">
      <c r="A224" s="268" t="s">
        <v>42</v>
      </c>
      <c r="B224" s="296"/>
      <c r="C224" s="296">
        <f>C131/((B16+C16-B43-C43)/2)</f>
        <v>47.70333288080369</v>
      </c>
      <c r="D224" s="296">
        <f>D131/((C16+D16-C43-D43)/2)</f>
        <v>-20.59717335799441</v>
      </c>
      <c r="E224" s="296">
        <f>E131/((D16+E16-D43-E43)/2)</f>
        <v>-9.67218004261665</v>
      </c>
      <c r="F224" s="296">
        <f>F131/((E16+F16-E43-F43)/2)</f>
        <v>-6.670883821408667</v>
      </c>
      <c r="G224" s="296">
        <f>G131/((F16+G16-F43-G43)/2)</f>
        <v>-7.923156166561866</v>
      </c>
      <c r="H224" s="296">
        <f>AVERAGE(E224:G224)</f>
        <v>-8.088740010195728</v>
      </c>
      <c r="I224" s="2"/>
    </row>
    <row r="225" spans="1:9" ht="15">
      <c r="A225" s="268" t="s">
        <v>40</v>
      </c>
      <c r="B225" s="296"/>
      <c r="C225" s="296">
        <f>C131/((B26+C26)/2)</f>
        <v>1.4959961299737048</v>
      </c>
      <c r="D225" s="296">
        <f>D131/((C26+D26)/2)</f>
        <v>1.2584352286462035</v>
      </c>
      <c r="E225" s="296">
        <f>E131/((C26+E26)/2)</f>
        <v>0.8380556527461653</v>
      </c>
      <c r="F225" s="296">
        <f>F131/((D26+F26)/2)</f>
        <v>0.7470667755345756</v>
      </c>
      <c r="G225" s="296">
        <f>G131/((E26+G26)/2)</f>
        <v>0.6478153832498391</v>
      </c>
      <c r="H225" s="296">
        <f t="shared" si="63"/>
        <v>0.9974738340300977</v>
      </c>
      <c r="I225" s="2"/>
    </row>
    <row r="226" spans="1:9" ht="15">
      <c r="A226" s="268" t="s">
        <v>41</v>
      </c>
      <c r="B226" s="296"/>
      <c r="C226" s="296">
        <f>C131/((B34+C34)/2)</f>
        <v>0.8829474907537554</v>
      </c>
      <c r="D226" s="296">
        <f>D131/((C34+D34)/2)</f>
        <v>0.8556691100525889</v>
      </c>
      <c r="E226" s="296">
        <f>E131/((D34+E34)/2)</f>
        <v>0.5954805636011237</v>
      </c>
      <c r="F226" s="296">
        <f>F131/((E34+F34)/2)</f>
        <v>0.4688573008058905</v>
      </c>
      <c r="G226" s="296">
        <f>G131/((F34+G34)/2)</f>
        <v>0.5527220045097416</v>
      </c>
      <c r="H226" s="296">
        <f t="shared" si="63"/>
        <v>0.67113529394462</v>
      </c>
      <c r="I226" s="2"/>
    </row>
    <row r="227" spans="1:9" ht="15">
      <c r="A227" s="268"/>
      <c r="B227" s="268"/>
      <c r="C227" s="268"/>
      <c r="D227" s="268"/>
      <c r="E227" s="268"/>
      <c r="F227" s="268"/>
      <c r="G227" s="268"/>
      <c r="H227" s="296"/>
      <c r="I227" s="2"/>
    </row>
    <row r="228" spans="1:9" ht="15">
      <c r="A228" s="294" t="s">
        <v>168</v>
      </c>
      <c r="B228" s="268"/>
      <c r="C228" s="268"/>
      <c r="D228" s="268"/>
      <c r="E228" s="268"/>
      <c r="F228" s="268"/>
      <c r="G228" s="268"/>
      <c r="H228" s="296"/>
      <c r="I228" s="2"/>
    </row>
    <row r="229" spans="1:9" ht="15">
      <c r="A229" s="268" t="s">
        <v>197</v>
      </c>
      <c r="B229" s="298">
        <f aca="true" t="shared" si="68" ref="B229:G229">(+B149-B144+B143+B137)/(B143+B37)</f>
        <v>2.4683995420113587</v>
      </c>
      <c r="C229" s="298">
        <f t="shared" si="68"/>
        <v>1.5431041036322999</v>
      </c>
      <c r="D229" s="298">
        <f t="shared" si="68"/>
        <v>2.582253929327834</v>
      </c>
      <c r="E229" s="298">
        <f t="shared" si="68"/>
        <v>3.5084558766799883</v>
      </c>
      <c r="F229" s="298">
        <f t="shared" si="68"/>
        <v>1.5622497069740184</v>
      </c>
      <c r="G229" s="298">
        <f t="shared" si="68"/>
        <v>2.7938620606841984</v>
      </c>
      <c r="H229" s="296">
        <f>AVERAGE(D229:G229)</f>
        <v>2.6117053934165098</v>
      </c>
      <c r="I229" s="2"/>
    </row>
    <row r="230" spans="1:9" ht="15">
      <c r="A230" s="268"/>
      <c r="B230" s="268"/>
      <c r="C230" s="268"/>
      <c r="D230" s="268"/>
      <c r="E230" s="268"/>
      <c r="F230" s="268"/>
      <c r="G230" s="268"/>
      <c r="H230" s="296"/>
      <c r="I230" s="2"/>
    </row>
    <row r="231" spans="1:9" ht="15">
      <c r="A231" s="294" t="s">
        <v>110</v>
      </c>
      <c r="B231" s="268"/>
      <c r="C231" s="268"/>
      <c r="D231" s="268"/>
      <c r="E231" s="268"/>
      <c r="F231" s="268"/>
      <c r="G231" s="268"/>
      <c r="H231" s="296"/>
      <c r="I231" s="2"/>
    </row>
    <row r="232" spans="1:9" ht="15">
      <c r="A232" s="268" t="s">
        <v>76</v>
      </c>
      <c r="B232" s="157">
        <f aca="true" t="shared" si="69" ref="B232:G232">B45/(B$45+B$57)</f>
        <v>0.11307135286362213</v>
      </c>
      <c r="C232" s="157">
        <f t="shared" si="69"/>
        <v>0.09686813898958796</v>
      </c>
      <c r="D232" s="157">
        <f t="shared" si="69"/>
        <v>0.24742609190453224</v>
      </c>
      <c r="E232" s="157">
        <f t="shared" si="69"/>
        <v>0.5677570719422533</v>
      </c>
      <c r="F232" s="157">
        <f t="shared" si="69"/>
        <v>0.5563634319959563</v>
      </c>
      <c r="G232" s="157">
        <f t="shared" si="69"/>
        <v>0.510657638102687</v>
      </c>
      <c r="H232" s="297">
        <f>AVERAGE(E232:G232)</f>
        <v>0.5449260473469656</v>
      </c>
      <c r="I232" s="2"/>
    </row>
    <row r="233" spans="1:9" ht="15">
      <c r="A233" s="268" t="s">
        <v>111</v>
      </c>
      <c r="B233" s="157">
        <f aca="true" t="shared" si="70" ref="B233:G233">B57/(B$45+B$57)</f>
        <v>0.8869286471363779</v>
      </c>
      <c r="C233" s="157">
        <f t="shared" si="70"/>
        <v>0.9031318610104121</v>
      </c>
      <c r="D233" s="157">
        <f t="shared" si="70"/>
        <v>0.7525739080954678</v>
      </c>
      <c r="E233" s="157">
        <f t="shared" si="70"/>
        <v>0.4322429280577467</v>
      </c>
      <c r="F233" s="157">
        <f t="shared" si="70"/>
        <v>0.44363656800404366</v>
      </c>
      <c r="G233" s="157">
        <f t="shared" si="70"/>
        <v>0.48934236189731295</v>
      </c>
      <c r="H233" s="297">
        <f>AVERAGE(E233:G233)</f>
        <v>0.45507395265303446</v>
      </c>
      <c r="I233" s="2"/>
    </row>
    <row r="234" spans="1:9" ht="15">
      <c r="A234" s="268"/>
      <c r="B234" s="268"/>
      <c r="C234" s="268"/>
      <c r="D234" s="268"/>
      <c r="E234" s="268"/>
      <c r="F234" s="268"/>
      <c r="G234" s="268"/>
      <c r="H234" s="297"/>
      <c r="I234" s="2"/>
    </row>
    <row r="235" spans="1:9" ht="15">
      <c r="A235" s="294" t="s">
        <v>112</v>
      </c>
      <c r="B235" s="268"/>
      <c r="C235" s="268"/>
      <c r="D235" s="268"/>
      <c r="E235" s="268"/>
      <c r="F235" s="268"/>
      <c r="G235" s="268"/>
      <c r="H235" s="297"/>
      <c r="I235" s="2"/>
    </row>
    <row r="236" spans="1:9" ht="15">
      <c r="A236" s="268" t="s">
        <v>113</v>
      </c>
      <c r="B236" s="157">
        <f aca="true" t="shared" si="71" ref="B236:G236">B$37/(B$37+B$45+B$57)</f>
        <v>0.10160277390935592</v>
      </c>
      <c r="C236" s="157">
        <f t="shared" si="71"/>
        <v>0.10496907401320704</v>
      </c>
      <c r="D236" s="157">
        <f t="shared" si="71"/>
        <v>0.017491068358820278</v>
      </c>
      <c r="E236" s="157">
        <f t="shared" si="71"/>
        <v>0.01319993654966122</v>
      </c>
      <c r="F236" s="157">
        <f t="shared" si="71"/>
        <v>0.013074885691213314</v>
      </c>
      <c r="G236" s="157">
        <f t="shared" si="71"/>
        <v>0.01294999639944493</v>
      </c>
      <c r="H236" s="297">
        <f>AVERAGE(E236:G236)</f>
        <v>0.013074939546773153</v>
      </c>
      <c r="I236" s="2"/>
    </row>
    <row r="237" spans="1:9" ht="15">
      <c r="A237" s="268" t="s">
        <v>76</v>
      </c>
      <c r="B237" s="157">
        <f aca="true" t="shared" si="72" ref="B237:G237">B$45/(B$37+B$45+B$57)</f>
        <v>0.10158298976299453</v>
      </c>
      <c r="C237" s="157">
        <f t="shared" si="72"/>
        <v>0.08669998013846827</v>
      </c>
      <c r="D237" s="157">
        <f t="shared" si="72"/>
        <v>0.24309834521727433</v>
      </c>
      <c r="E237" s="157">
        <f t="shared" si="72"/>
        <v>0.5602627146169941</v>
      </c>
      <c r="F237" s="157">
        <f t="shared" si="72"/>
        <v>0.549089043719838</v>
      </c>
      <c r="G237" s="157">
        <f t="shared" si="72"/>
        <v>0.5040446235279082</v>
      </c>
      <c r="H237" s="297">
        <f>AVERAGE(E237:G237)</f>
        <v>0.5377987939549135</v>
      </c>
      <c r="I237" s="2"/>
    </row>
    <row r="238" spans="1:9" ht="15">
      <c r="A238" s="268" t="s">
        <v>111</v>
      </c>
      <c r="B238" s="157">
        <f aca="true" t="shared" si="73" ref="B238:G238">B$57/(B$37+B$45+B$57)</f>
        <v>0.7968142363276496</v>
      </c>
      <c r="C238" s="157">
        <f t="shared" si="73"/>
        <v>0.8083309458483247</v>
      </c>
      <c r="D238" s="157">
        <f t="shared" si="73"/>
        <v>0.7394105864239054</v>
      </c>
      <c r="E238" s="157">
        <f t="shared" si="73"/>
        <v>0.42653734883334465</v>
      </c>
      <c r="F238" s="157">
        <f t="shared" si="73"/>
        <v>0.43783607058894863</v>
      </c>
      <c r="G238" s="157">
        <f t="shared" si="73"/>
        <v>0.4830053800726469</v>
      </c>
      <c r="H238" s="297">
        <f>AVERAGE(E238:G238)</f>
        <v>0.4491262664983134</v>
      </c>
      <c r="I238" s="2"/>
    </row>
    <row r="239" spans="1:9" ht="15">
      <c r="A239" s="268"/>
      <c r="B239" s="268"/>
      <c r="C239" s="268"/>
      <c r="D239" s="268"/>
      <c r="E239" s="268"/>
      <c r="F239" s="268"/>
      <c r="G239" s="268"/>
      <c r="H239" s="296"/>
      <c r="I239" s="2"/>
    </row>
    <row r="240" spans="1:9" ht="15">
      <c r="A240" s="268"/>
      <c r="B240" s="268"/>
      <c r="C240" s="268"/>
      <c r="D240" s="268"/>
      <c r="E240" s="268"/>
      <c r="F240" s="268"/>
      <c r="G240" s="268"/>
      <c r="H240" s="157"/>
      <c r="I240" s="2"/>
    </row>
    <row r="241" spans="1:8" ht="15">
      <c r="A241" s="268"/>
      <c r="B241" s="268"/>
      <c r="C241" s="268"/>
      <c r="D241" s="268"/>
      <c r="E241" s="268"/>
      <c r="F241" s="268"/>
      <c r="G241" s="268"/>
      <c r="H241" s="273" t="s">
        <v>105</v>
      </c>
    </row>
    <row r="242" spans="1:8" ht="15">
      <c r="A242" s="268"/>
      <c r="B242" s="268"/>
      <c r="C242" s="268"/>
      <c r="D242" s="268"/>
      <c r="E242" s="268"/>
      <c r="F242" s="268"/>
      <c r="G242" s="268"/>
      <c r="H242" s="299" t="s">
        <v>243</v>
      </c>
    </row>
    <row r="243" spans="1:8" ht="18">
      <c r="A243" s="318" t="str">
        <f>+A197</f>
        <v>Flowell Electric Association, Inc.</v>
      </c>
      <c r="B243" s="318"/>
      <c r="C243" s="318"/>
      <c r="D243" s="318"/>
      <c r="E243" s="318"/>
      <c r="F243" s="318"/>
      <c r="G243" s="318"/>
      <c r="H243" s="94"/>
    </row>
    <row r="244" spans="1:8" ht="15.75">
      <c r="A244" s="319" t="s">
        <v>194</v>
      </c>
      <c r="B244" s="319"/>
      <c r="C244" s="319"/>
      <c r="D244" s="319"/>
      <c r="E244" s="319"/>
      <c r="F244" s="319"/>
      <c r="G244" s="319"/>
      <c r="H244" s="278"/>
    </row>
    <row r="245" spans="1:8" ht="15.75">
      <c r="A245" s="279" t="str">
        <f>+A199</f>
        <v>Years Ended December 31</v>
      </c>
      <c r="B245" s="279"/>
      <c r="C245" s="276"/>
      <c r="D245" s="276"/>
      <c r="E245" s="276"/>
      <c r="F245" s="276"/>
      <c r="G245" s="276"/>
      <c r="H245" s="285" t="str">
        <f>+H202</f>
        <v>2005 to 2009</v>
      </c>
    </row>
    <row r="246" spans="1:8" ht="12.75">
      <c r="A246" s="280"/>
      <c r="B246" s="280"/>
      <c r="C246" s="300"/>
      <c r="D246" s="300"/>
      <c r="E246" s="300"/>
      <c r="F246" s="300"/>
      <c r="G246" s="300"/>
      <c r="H246" s="301" t="s">
        <v>5</v>
      </c>
    </row>
    <row r="247" spans="1:13" ht="15.75">
      <c r="A247" s="280"/>
      <c r="B247" s="280"/>
      <c r="C247" s="287">
        <f>+C203</f>
        <v>2005</v>
      </c>
      <c r="D247" s="287">
        <f>+D203</f>
        <v>2006</v>
      </c>
      <c r="E247" s="287">
        <f>+E203</f>
        <v>2007</v>
      </c>
      <c r="F247" s="287">
        <f>+F203</f>
        <v>2008</v>
      </c>
      <c r="G247" s="287">
        <f>+G203</f>
        <v>2009</v>
      </c>
      <c r="H247" s="302" t="s">
        <v>32</v>
      </c>
      <c r="J247" s="27">
        <f>+D247</f>
        <v>2006</v>
      </c>
      <c r="K247" s="27">
        <f>+E247</f>
        <v>2007</v>
      </c>
      <c r="L247" s="27">
        <f>+F247</f>
        <v>2008</v>
      </c>
      <c r="M247" s="27">
        <f>+G247</f>
        <v>2009</v>
      </c>
    </row>
    <row r="248" spans="1:8" ht="15.75">
      <c r="A248" s="303" t="s">
        <v>180</v>
      </c>
      <c r="B248" s="303"/>
      <c r="C248" s="268"/>
      <c r="D248" s="268"/>
      <c r="E248" s="268"/>
      <c r="F248" s="268"/>
      <c r="G248" s="268"/>
      <c r="H248" s="157"/>
    </row>
    <row r="249" spans="1:8" ht="15">
      <c r="A249" s="268" t="s">
        <v>175</v>
      </c>
      <c r="B249" s="268"/>
      <c r="C249" s="304">
        <v>153978</v>
      </c>
      <c r="D249" s="304">
        <v>165866</v>
      </c>
      <c r="E249" s="304">
        <v>188828</v>
      </c>
      <c r="F249" s="304">
        <v>191738</v>
      </c>
      <c r="G249" s="304">
        <v>212532</v>
      </c>
      <c r="H249" s="305">
        <f>RATE(4,,-C249,G249)</f>
        <v>0.08390548423319238</v>
      </c>
    </row>
    <row r="250" spans="1:13" ht="15">
      <c r="A250" s="268" t="s">
        <v>176</v>
      </c>
      <c r="B250" s="268"/>
      <c r="C250" s="304">
        <v>1088089</v>
      </c>
      <c r="D250" s="304">
        <v>1194269</v>
      </c>
      <c r="E250" s="304">
        <v>1335201</v>
      </c>
      <c r="F250" s="304">
        <v>1360956</v>
      </c>
      <c r="G250" s="304">
        <v>1630213</v>
      </c>
      <c r="H250" s="305">
        <f>RATE(4,,-C250,G250)</f>
        <v>0.10635622313393957</v>
      </c>
      <c r="J250" s="78">
        <f>+D250-C250</f>
        <v>106180</v>
      </c>
      <c r="K250" s="78">
        <f>+E250-D250</f>
        <v>140932</v>
      </c>
      <c r="L250" s="78">
        <f>+F250-E250</f>
        <v>25755</v>
      </c>
      <c r="M250" s="78">
        <f>+G250-F250</f>
        <v>269257</v>
      </c>
    </row>
    <row r="251" spans="1:13" ht="15">
      <c r="A251" s="268" t="s">
        <v>177</v>
      </c>
      <c r="B251" s="268"/>
      <c r="C251" s="304"/>
      <c r="D251" s="304"/>
      <c r="E251" s="304"/>
      <c r="F251" s="304"/>
      <c r="G251" s="304"/>
      <c r="H251" s="305"/>
      <c r="J251" s="70">
        <f>+J250/J255</f>
        <v>0.8571820684421697</v>
      </c>
      <c r="K251" s="70">
        <f>+K250/K255</f>
        <v>0.7918951721657826</v>
      </c>
      <c r="L251" s="70">
        <f>+L250/L255</f>
        <v>0.6865985977446616</v>
      </c>
      <c r="M251" s="70">
        <f>+M250/M255</f>
        <v>0.8224802365504685</v>
      </c>
    </row>
    <row r="252" spans="1:8" ht="15">
      <c r="A252" s="268" t="s">
        <v>178</v>
      </c>
      <c r="B252" s="268"/>
      <c r="C252" s="304">
        <v>132590</v>
      </c>
      <c r="D252" s="304">
        <v>138050</v>
      </c>
      <c r="E252" s="304">
        <v>147795</v>
      </c>
      <c r="F252" s="304">
        <v>167035</v>
      </c>
      <c r="G252" s="304">
        <v>199228</v>
      </c>
      <c r="H252" s="305">
        <f>RATE(4,,-C252,G252)</f>
        <v>0.10715876140717587</v>
      </c>
    </row>
    <row r="253" spans="1:8" ht="15">
      <c r="A253" s="268" t="s">
        <v>179</v>
      </c>
      <c r="B253" s="268"/>
      <c r="C253" s="304">
        <v>9877</v>
      </c>
      <c r="D253" s="304">
        <v>9202</v>
      </c>
      <c r="E253" s="304">
        <v>13820</v>
      </c>
      <c r="F253" s="304">
        <v>2569</v>
      </c>
      <c r="G253" s="304">
        <v>6892</v>
      </c>
      <c r="H253" s="305">
        <f>RATE(4,,-C253,G253)</f>
        <v>-0.08603397118278745</v>
      </c>
    </row>
    <row r="254" spans="1:8" ht="15">
      <c r="A254" s="268" t="s">
        <v>182</v>
      </c>
      <c r="B254" s="268"/>
      <c r="C254" s="306">
        <v>1577</v>
      </c>
      <c r="D254" s="306">
        <v>2595</v>
      </c>
      <c r="E254" s="306">
        <v>2306</v>
      </c>
      <c r="F254" s="306">
        <v>3163</v>
      </c>
      <c r="G254" s="306">
        <v>3968</v>
      </c>
      <c r="H254" s="307">
        <f>RATE(4,,-C254,G254)</f>
        <v>0.259461779226033</v>
      </c>
    </row>
    <row r="255" spans="1:13" ht="15">
      <c r="A255" s="268" t="s">
        <v>183</v>
      </c>
      <c r="B255" s="268"/>
      <c r="C255" s="304">
        <f>SUM(C249:C254)</f>
        <v>1386111</v>
      </c>
      <c r="D255" s="304">
        <f>SUM(D249:D254)</f>
        <v>1509982</v>
      </c>
      <c r="E255" s="304">
        <f>SUM(E249:E254)</f>
        <v>1687950</v>
      </c>
      <c r="F255" s="304">
        <f>SUM(F249:F254)</f>
        <v>1725461</v>
      </c>
      <c r="G255" s="304">
        <f>SUM(G249:G254)</f>
        <v>2052833</v>
      </c>
      <c r="H255" s="305"/>
      <c r="J255" s="78">
        <f>+D255-C255</f>
        <v>123871</v>
      </c>
      <c r="K255" s="78">
        <f>+E255-D255</f>
        <v>177968</v>
      </c>
      <c r="L255" s="78">
        <f>+F255-E255</f>
        <v>37511</v>
      </c>
      <c r="M255" s="78">
        <f>+G255-F255</f>
        <v>327372</v>
      </c>
    </row>
    <row r="256" spans="1:8" ht="12" customHeight="1">
      <c r="A256" s="268"/>
      <c r="B256" s="268"/>
      <c r="C256" s="308"/>
      <c r="D256" s="308"/>
      <c r="E256" s="308"/>
      <c r="F256" s="308"/>
      <c r="G256" s="308"/>
      <c r="H256" s="305"/>
    </row>
    <row r="257" spans="1:8" ht="15.75">
      <c r="A257" s="303" t="s">
        <v>228</v>
      </c>
      <c r="B257" s="303"/>
      <c r="C257" s="308"/>
      <c r="D257" s="308"/>
      <c r="E257" s="308"/>
      <c r="F257" s="308"/>
      <c r="G257" s="308"/>
      <c r="H257" s="305"/>
    </row>
    <row r="258" spans="1:8" ht="15">
      <c r="A258" s="268" t="s">
        <v>175</v>
      </c>
      <c r="B258" s="268"/>
      <c r="C258" s="304">
        <v>2228216</v>
      </c>
      <c r="D258" s="304">
        <v>2443890</v>
      </c>
      <c r="E258" s="304">
        <v>2685733</v>
      </c>
      <c r="F258" s="304">
        <v>2639057</v>
      </c>
      <c r="G258" s="304">
        <v>2642372</v>
      </c>
      <c r="H258" s="305">
        <f>RATE(4,,-C258,G258)</f>
        <v>0.043540160697039365</v>
      </c>
    </row>
    <row r="259" spans="1:13" ht="15">
      <c r="A259" s="268" t="s">
        <v>176</v>
      </c>
      <c r="B259" s="268"/>
      <c r="C259" s="304">
        <f>19805422+120</f>
        <v>19805542</v>
      </c>
      <c r="D259" s="304">
        <v>22121092</v>
      </c>
      <c r="E259" s="304">
        <v>23265715</v>
      </c>
      <c r="F259" s="304">
        <v>23056320</v>
      </c>
      <c r="G259" s="304">
        <v>25297016</v>
      </c>
      <c r="H259" s="305">
        <f>RATE(4,,-C259,G259)</f>
        <v>0.06309148814791912</v>
      </c>
      <c r="J259" s="78">
        <f>+D259-C259</f>
        <v>2315550</v>
      </c>
      <c r="K259" s="78">
        <f>+E259-D259</f>
        <v>1144623</v>
      </c>
      <c r="L259" s="78">
        <f>+F259-E259</f>
        <v>-209395</v>
      </c>
      <c r="M259" s="78">
        <f>+G259-F259</f>
        <v>2240696</v>
      </c>
    </row>
    <row r="260" spans="1:13" ht="15">
      <c r="A260" s="268" t="s">
        <v>177</v>
      </c>
      <c r="B260" s="268"/>
      <c r="C260" s="304"/>
      <c r="D260" s="304"/>
      <c r="E260" s="304"/>
      <c r="F260" s="304"/>
      <c r="G260" s="304"/>
      <c r="H260" s="304"/>
      <c r="J260" s="56">
        <f>+J259/J264</f>
        <v>0.948693408413219</v>
      </c>
      <c r="K260" s="56">
        <f>+K259/K264</f>
        <v>0.7718195114155652</v>
      </c>
      <c r="L260" s="56">
        <f>+L259/L264</f>
        <v>2.4997313978058187</v>
      </c>
      <c r="M260" s="56">
        <f>+M259/M264</f>
        <v>0.9161032405671697</v>
      </c>
    </row>
    <row r="261" spans="1:8" ht="15">
      <c r="A261" s="268" t="s">
        <v>178</v>
      </c>
      <c r="B261" s="268"/>
      <c r="C261" s="304">
        <v>2068811</v>
      </c>
      <c r="D261" s="304">
        <v>2001563</v>
      </c>
      <c r="E261" s="304">
        <v>2080349</v>
      </c>
      <c r="F261" s="304">
        <v>2292887</v>
      </c>
      <c r="G261" s="304">
        <v>2483136</v>
      </c>
      <c r="H261" s="305">
        <f>RATE(4,,-C261,G261)</f>
        <v>0.04669445246560648</v>
      </c>
    </row>
    <row r="262" spans="1:8" ht="15">
      <c r="A262" s="268" t="s">
        <v>179</v>
      </c>
      <c r="B262" s="268"/>
      <c r="C262" s="304">
        <v>62760</v>
      </c>
      <c r="D262" s="304">
        <v>41080</v>
      </c>
      <c r="E262" s="304">
        <v>53960</v>
      </c>
      <c r="F262" s="304">
        <v>9520</v>
      </c>
      <c r="G262" s="304">
        <v>17880</v>
      </c>
      <c r="H262" s="305">
        <f>RATE(4,,-C262,G262)</f>
        <v>-0.2694143378177607</v>
      </c>
    </row>
    <row r="263" spans="1:8" ht="15">
      <c r="A263" s="268" t="str">
        <f>+A254</f>
        <v>Other Sales or Public Authority</v>
      </c>
      <c r="B263" s="268"/>
      <c r="C263" s="306">
        <v>6831</v>
      </c>
      <c r="D263" s="306">
        <v>5313</v>
      </c>
      <c r="E263" s="306">
        <v>10200</v>
      </c>
      <c r="F263" s="306">
        <v>14406</v>
      </c>
      <c r="G263" s="306">
        <v>17685</v>
      </c>
      <c r="H263" s="307">
        <f>RATE(4,,-C263,G263)</f>
        <v>0.2684699834206867</v>
      </c>
    </row>
    <row r="264" spans="1:13" ht="15">
      <c r="A264" s="268" t="s">
        <v>183</v>
      </c>
      <c r="B264" s="268"/>
      <c r="C264" s="304">
        <f>SUM(C258:C263)</f>
        <v>24172160</v>
      </c>
      <c r="D264" s="304">
        <f>SUM(D258:D263)</f>
        <v>26612938</v>
      </c>
      <c r="E264" s="304">
        <f>SUM(E258:E263)</f>
        <v>28095957</v>
      </c>
      <c r="F264" s="304">
        <f>SUM(F258:F263)</f>
        <v>28012190</v>
      </c>
      <c r="G264" s="304">
        <f>SUM(G258:G263)</f>
        <v>30458089</v>
      </c>
      <c r="H264" s="305">
        <f>RATE(4,,-C264,G264)</f>
        <v>0.05948984338255896</v>
      </c>
      <c r="J264" s="78">
        <f>+D264-C264</f>
        <v>2440778</v>
      </c>
      <c r="K264" s="78">
        <f>+E264-D264</f>
        <v>1483019</v>
      </c>
      <c r="L264" s="78">
        <f>+F264-E264</f>
        <v>-83767</v>
      </c>
      <c r="M264" s="78">
        <f>+G264-F264</f>
        <v>2445899</v>
      </c>
    </row>
    <row r="265" spans="1:13" ht="15">
      <c r="A265" s="268"/>
      <c r="B265" s="268"/>
      <c r="C265" s="304"/>
      <c r="D265" s="304"/>
      <c r="E265" s="304"/>
      <c r="F265" s="304"/>
      <c r="G265" s="304"/>
      <c r="H265" s="309"/>
      <c r="J265" s="78"/>
      <c r="K265" s="78"/>
      <c r="L265" s="78"/>
      <c r="M265" s="78"/>
    </row>
    <row r="266" spans="1:13" ht="15.75">
      <c r="A266" s="303" t="s">
        <v>229</v>
      </c>
      <c r="B266" s="303"/>
      <c r="C266" s="304"/>
      <c r="D266" s="304"/>
      <c r="E266" s="304"/>
      <c r="F266" s="304"/>
      <c r="G266" s="304"/>
      <c r="H266" s="309"/>
      <c r="J266" s="78"/>
      <c r="K266" s="78"/>
      <c r="L266" s="78"/>
      <c r="M266" s="78"/>
    </row>
    <row r="267" spans="1:13" ht="15">
      <c r="A267" s="268" t="str">
        <f>+A258</f>
        <v>Residential Sales</v>
      </c>
      <c r="B267" s="268"/>
      <c r="C267" s="310">
        <f>+C258/C$264</f>
        <v>0.09218108766448675</v>
      </c>
      <c r="D267" s="310">
        <f>+D258/D$264</f>
        <v>0.09183089818944455</v>
      </c>
      <c r="E267" s="310">
        <f>+E258/E$264</f>
        <v>0.0955914404339386</v>
      </c>
      <c r="F267" s="310">
        <f>+F258/F$264</f>
        <v>0.09421102027367372</v>
      </c>
      <c r="G267" s="310">
        <f>+G258/G$264</f>
        <v>0.0867543594084317</v>
      </c>
      <c r="H267" s="305">
        <f>RATE(4,,-C267,G267)</f>
        <v>-0.01505411570025164</v>
      </c>
      <c r="I267" s="1">
        <f>AVERAGE(C267:G267)</f>
        <v>0.09211376119399506</v>
      </c>
      <c r="J267" s="78"/>
      <c r="K267" s="78"/>
      <c r="L267" s="78"/>
      <c r="M267" s="78"/>
    </row>
    <row r="268" spans="1:13" ht="15">
      <c r="A268" s="268" t="str">
        <f aca="true" t="shared" si="74" ref="A268:A273">+A259</f>
        <v>Irrigation Sales</v>
      </c>
      <c r="B268" s="268"/>
      <c r="C268" s="310">
        <f aca="true" t="shared" si="75" ref="C268:D273">+C259/C$264</f>
        <v>0.8193534214567503</v>
      </c>
      <c r="D268" s="310">
        <f t="shared" si="75"/>
        <v>0.8312157041811769</v>
      </c>
      <c r="E268" s="310">
        <f>+E259/E$264</f>
        <v>0.8280805313020659</v>
      </c>
      <c r="F268" s="310">
        <f>+F259/F$264</f>
        <v>0.8230816655177621</v>
      </c>
      <c r="G268" s="310">
        <f>+G259/G$264</f>
        <v>0.8305516475442698</v>
      </c>
      <c r="H268" s="305">
        <f>RATE(4,,-C268,G268)</f>
        <v>0.0033994141530041323</v>
      </c>
      <c r="I268" s="1">
        <f>AVERAGE(C268:G268)</f>
        <v>0.8264565940004049</v>
      </c>
      <c r="J268" s="78"/>
      <c r="K268" s="78"/>
      <c r="L268" s="78"/>
      <c r="M268" s="78"/>
    </row>
    <row r="269" spans="1:13" ht="15">
      <c r="A269" s="268" t="str">
        <f t="shared" si="74"/>
        <v>Commercial &amp; Industrial Sales</v>
      </c>
      <c r="B269" s="268"/>
      <c r="C269" s="310"/>
      <c r="D269" s="310"/>
      <c r="E269" s="310"/>
      <c r="F269" s="310"/>
      <c r="G269" s="310"/>
      <c r="H269" s="309"/>
      <c r="J269" s="78"/>
      <c r="K269" s="78"/>
      <c r="L269" s="78"/>
      <c r="M269" s="78"/>
    </row>
    <row r="270" spans="1:13" ht="15">
      <c r="A270" s="268" t="str">
        <f t="shared" si="74"/>
        <v>     Small (or Commercial)</v>
      </c>
      <c r="B270" s="268"/>
      <c r="C270" s="310">
        <f t="shared" si="75"/>
        <v>0.08558651771293918</v>
      </c>
      <c r="D270" s="310">
        <f t="shared" si="75"/>
        <v>0.07521014778601295</v>
      </c>
      <c r="E270" s="310">
        <f aca="true" t="shared" si="76" ref="E270:G273">+E261/E$264</f>
        <v>0.07404442568017883</v>
      </c>
      <c r="F270" s="310">
        <f t="shared" si="76"/>
        <v>0.08185318605935488</v>
      </c>
      <c r="G270" s="310">
        <f t="shared" si="76"/>
        <v>0.08152632294166584</v>
      </c>
      <c r="H270" s="305">
        <f>RATE(4,,-C270,G270)</f>
        <v>-0.012076935892186629</v>
      </c>
      <c r="I270" s="1">
        <f>AVERAGE(C270:G270)</f>
        <v>0.07964412003603034</v>
      </c>
      <c r="J270" s="78"/>
      <c r="K270" s="78"/>
      <c r="L270" s="78"/>
      <c r="M270" s="78"/>
    </row>
    <row r="271" spans="1:13" ht="15">
      <c r="A271" s="268" t="str">
        <f t="shared" si="74"/>
        <v>     Large (or Industrial)</v>
      </c>
      <c r="B271" s="268"/>
      <c r="C271" s="310">
        <f t="shared" si="75"/>
        <v>0.002596375334268845</v>
      </c>
      <c r="D271" s="310">
        <f t="shared" si="75"/>
        <v>0.0015436101042282516</v>
      </c>
      <c r="E271" s="310">
        <f t="shared" si="76"/>
        <v>0.0019205610259155792</v>
      </c>
      <c r="F271" s="310">
        <f t="shared" si="76"/>
        <v>0.0003398520429855716</v>
      </c>
      <c r="G271" s="310">
        <f t="shared" si="76"/>
        <v>0.0005870361728866181</v>
      </c>
      <c r="H271" s="305">
        <f>RATE(4,,-C271,G271)</f>
        <v>-0.3104363701592868</v>
      </c>
      <c r="I271" s="1">
        <f>AVERAGE(C271:G271)</f>
        <v>0.0013974869360569731</v>
      </c>
      <c r="J271" s="78"/>
      <c r="K271" s="78"/>
      <c r="L271" s="78"/>
      <c r="M271" s="78"/>
    </row>
    <row r="272" spans="1:13" ht="15">
      <c r="A272" s="268" t="str">
        <f t="shared" si="74"/>
        <v>Other Sales or Public Authority</v>
      </c>
      <c r="B272" s="268"/>
      <c r="C272" s="310">
        <f t="shared" si="75"/>
        <v>0.00028259783155497895</v>
      </c>
      <c r="D272" s="310">
        <f t="shared" si="75"/>
        <v>0.00019963973913740752</v>
      </c>
      <c r="E272" s="310">
        <f t="shared" si="76"/>
        <v>0.0003630415579010176</v>
      </c>
      <c r="F272" s="310">
        <f t="shared" si="76"/>
        <v>0.0005142761062237548</v>
      </c>
      <c r="G272" s="310">
        <f t="shared" si="76"/>
        <v>0.0005806339327460761</v>
      </c>
      <c r="H272" s="305">
        <f>RATE(4,,-C272,G272)</f>
        <v>0.1972460060287762</v>
      </c>
      <c r="I272" s="1">
        <f>AVERAGE(C272:G272)</f>
        <v>0.000388037833512647</v>
      </c>
      <c r="J272" s="78"/>
      <c r="K272" s="78"/>
      <c r="L272" s="78"/>
      <c r="M272" s="78"/>
    </row>
    <row r="273" spans="1:13" ht="15">
      <c r="A273" s="268" t="str">
        <f t="shared" si="74"/>
        <v>Total</v>
      </c>
      <c r="B273" s="268"/>
      <c r="C273" s="310">
        <f t="shared" si="75"/>
        <v>1</v>
      </c>
      <c r="D273" s="310">
        <f t="shared" si="75"/>
        <v>1</v>
      </c>
      <c r="E273" s="310">
        <f t="shared" si="76"/>
        <v>1</v>
      </c>
      <c r="F273" s="310">
        <f t="shared" si="76"/>
        <v>1</v>
      </c>
      <c r="G273" s="310">
        <f t="shared" si="76"/>
        <v>1</v>
      </c>
      <c r="H273" s="305"/>
      <c r="J273" s="78"/>
      <c r="K273" s="78"/>
      <c r="L273" s="78"/>
      <c r="M273" s="78"/>
    </row>
    <row r="274" spans="1:8" ht="15">
      <c r="A274" s="268"/>
      <c r="B274" s="268"/>
      <c r="C274" s="304"/>
      <c r="D274" s="304"/>
      <c r="E274" s="304"/>
      <c r="F274" s="304"/>
      <c r="G274" s="304"/>
      <c r="H274" s="304"/>
    </row>
    <row r="275" spans="1:8" ht="15.75">
      <c r="A275" s="303" t="s">
        <v>181</v>
      </c>
      <c r="B275" s="303"/>
      <c r="C275" s="304"/>
      <c r="D275" s="304"/>
      <c r="E275" s="304"/>
      <c r="F275" s="304"/>
      <c r="G275" s="304"/>
      <c r="H275" s="304"/>
    </row>
    <row r="276" spans="1:8" ht="15">
      <c r="A276" s="268" t="s">
        <v>191</v>
      </c>
      <c r="B276" s="268"/>
      <c r="C276" s="304">
        <v>175</v>
      </c>
      <c r="D276" s="304">
        <v>179</v>
      </c>
      <c r="E276" s="304">
        <v>184</v>
      </c>
      <c r="F276" s="304">
        <v>186</v>
      </c>
      <c r="G276" s="304">
        <v>190</v>
      </c>
      <c r="H276" s="305">
        <f>RATE(4,,-C276,G276)</f>
        <v>0.020772327457954744</v>
      </c>
    </row>
    <row r="277" spans="1:8" ht="15">
      <c r="A277" s="268" t="s">
        <v>192</v>
      </c>
      <c r="B277" s="268"/>
      <c r="C277" s="304">
        <v>151</v>
      </c>
      <c r="D277" s="304">
        <v>152</v>
      </c>
      <c r="E277" s="304">
        <v>161</v>
      </c>
      <c r="F277" s="304">
        <v>161</v>
      </c>
      <c r="G277" s="304">
        <v>163</v>
      </c>
      <c r="H277" s="305">
        <f>RATE(4,,-C277,G277)</f>
        <v>0.01930150225158198</v>
      </c>
    </row>
    <row r="278" spans="1:8" ht="15">
      <c r="A278" s="268" t="s">
        <v>193</v>
      </c>
      <c r="B278" s="268"/>
      <c r="C278" s="304"/>
      <c r="D278" s="304"/>
      <c r="E278" s="304"/>
      <c r="F278" s="304"/>
      <c r="G278" s="304"/>
      <c r="H278" s="304"/>
    </row>
    <row r="279" spans="1:8" ht="15">
      <c r="A279" s="268" t="s">
        <v>178</v>
      </c>
      <c r="B279" s="268"/>
      <c r="C279" s="304">
        <v>91</v>
      </c>
      <c r="D279" s="304">
        <v>93</v>
      </c>
      <c r="E279" s="304">
        <v>96</v>
      </c>
      <c r="F279" s="304">
        <v>100</v>
      </c>
      <c r="G279" s="304">
        <v>103</v>
      </c>
      <c r="H279" s="305">
        <f>RATE(4,,-C279,G279)</f>
        <v>0.03145184750534482</v>
      </c>
    </row>
    <row r="280" spans="1:8" ht="15">
      <c r="A280" s="268" t="s">
        <v>179</v>
      </c>
      <c r="B280" s="268"/>
      <c r="C280" s="304">
        <v>1</v>
      </c>
      <c r="D280" s="304">
        <v>1</v>
      </c>
      <c r="E280" s="304">
        <v>1</v>
      </c>
      <c r="F280" s="304">
        <v>1</v>
      </c>
      <c r="G280" s="304">
        <v>1</v>
      </c>
      <c r="H280" s="305"/>
    </row>
    <row r="281" spans="1:14" ht="15">
      <c r="A281" s="268" t="str">
        <f>+A263</f>
        <v>Other Sales or Public Authority</v>
      </c>
      <c r="B281" s="268"/>
      <c r="C281" s="306">
        <v>2</v>
      </c>
      <c r="D281" s="306">
        <v>2</v>
      </c>
      <c r="E281" s="306">
        <v>2</v>
      </c>
      <c r="F281" s="306">
        <v>2</v>
      </c>
      <c r="G281" s="306">
        <v>2</v>
      </c>
      <c r="H281" s="307"/>
      <c r="N281" s="60" t="s">
        <v>200</v>
      </c>
    </row>
    <row r="282" spans="1:14" ht="15">
      <c r="A282" s="268" t="s">
        <v>183</v>
      </c>
      <c r="B282" s="268"/>
      <c r="C282" s="304">
        <f>SUM(C276:C281)</f>
        <v>420</v>
      </c>
      <c r="D282" s="304">
        <f>SUM(D276:D281)</f>
        <v>427</v>
      </c>
      <c r="E282" s="304">
        <f>SUM(E276:E281)</f>
        <v>444</v>
      </c>
      <c r="F282" s="304">
        <f>SUM(F276:F281)</f>
        <v>450</v>
      </c>
      <c r="G282" s="304">
        <f>SUM(G276:G281)</f>
        <v>459</v>
      </c>
      <c r="H282" s="305">
        <f>RATE(4,,-C282,G282)</f>
        <v>0.022447103109063293</v>
      </c>
      <c r="M282" s="78">
        <f>+G282-C282</f>
        <v>39</v>
      </c>
      <c r="N282" s="79">
        <f>+M282/4</f>
        <v>9.75</v>
      </c>
    </row>
    <row r="283" spans="1:8" ht="15">
      <c r="A283" s="268"/>
      <c r="B283" s="268"/>
      <c r="C283" s="308"/>
      <c r="D283" s="308"/>
      <c r="E283" s="308"/>
      <c r="F283" s="308"/>
      <c r="G283" s="308"/>
      <c r="H283" s="305"/>
    </row>
    <row r="284" spans="1:8" ht="15.75">
      <c r="A284" s="311" t="s">
        <v>184</v>
      </c>
      <c r="B284" s="312"/>
      <c r="C284" s="308"/>
      <c r="D284" s="308"/>
      <c r="E284" s="308"/>
      <c r="F284" s="308"/>
      <c r="G284" s="308"/>
      <c r="H284" s="305"/>
    </row>
    <row r="285" spans="1:13" ht="15">
      <c r="A285" s="268" t="s">
        <v>185</v>
      </c>
      <c r="B285" s="268"/>
      <c r="C285" s="304">
        <v>26576036</v>
      </c>
      <c r="D285" s="304">
        <v>29824297</v>
      </c>
      <c r="E285" s="304">
        <v>31010279</v>
      </c>
      <c r="F285" s="304">
        <v>31788991</v>
      </c>
      <c r="G285" s="304">
        <v>33510682</v>
      </c>
      <c r="H285" s="305">
        <f>RATE(4,,-C285,G285)</f>
        <v>0.05967640853386132</v>
      </c>
      <c r="J285" s="78">
        <f>+D285-C285</f>
        <v>3248261</v>
      </c>
      <c r="K285" s="78">
        <f>+E285-D285</f>
        <v>1185982</v>
      </c>
      <c r="L285" s="78">
        <f>+F285-E285</f>
        <v>778712</v>
      </c>
      <c r="M285" s="78">
        <f>+G285-F285</f>
        <v>1721691</v>
      </c>
    </row>
    <row r="286" spans="1:13" ht="15">
      <c r="A286" s="268" t="s">
        <v>186</v>
      </c>
      <c r="B286" s="268"/>
      <c r="C286" s="313">
        <v>2.7</v>
      </c>
      <c r="D286" s="313">
        <v>2.77</v>
      </c>
      <c r="E286" s="313">
        <v>2.7</v>
      </c>
      <c r="F286" s="313">
        <v>2.68</v>
      </c>
      <c r="G286" s="313">
        <v>2.75</v>
      </c>
      <c r="H286" s="305">
        <f>RATE(4,,-C286,G286)</f>
        <v>0.004597822366903882</v>
      </c>
      <c r="J286" s="70">
        <f>+J285/C285</f>
        <v>0.12222518813565725</v>
      </c>
      <c r="K286" s="70">
        <f>+K285/D285</f>
        <v>0.03976563135754717</v>
      </c>
      <c r="L286" s="70">
        <f>+L285/E285</f>
        <v>0.02511141547613938</v>
      </c>
      <c r="M286" s="70">
        <f>+M285/F285</f>
        <v>0.05415997632639551</v>
      </c>
    </row>
    <row r="287" spans="1:8" ht="15">
      <c r="A287" s="268"/>
      <c r="B287" s="268"/>
      <c r="C287" s="313"/>
      <c r="D287" s="313"/>
      <c r="E287" s="313"/>
      <c r="F287" s="313"/>
      <c r="G287" s="313"/>
      <c r="H287" s="305"/>
    </row>
    <row r="288" spans="1:8" ht="15">
      <c r="A288" s="268" t="s">
        <v>195</v>
      </c>
      <c r="B288" s="268"/>
      <c r="C288" s="314">
        <f>+C285-C264</f>
        <v>2403876</v>
      </c>
      <c r="D288" s="314">
        <f>+D285-D264</f>
        <v>3211359</v>
      </c>
      <c r="E288" s="314">
        <f>+E285-E264</f>
        <v>2914322</v>
      </c>
      <c r="F288" s="314">
        <f>+F285-F264</f>
        <v>3776801</v>
      </c>
      <c r="G288" s="314">
        <f>+G285-G264</f>
        <v>3052593</v>
      </c>
      <c r="H288" s="314">
        <f>AVERAGE(C288:G288)</f>
        <v>3071790.2</v>
      </c>
    </row>
    <row r="289" spans="1:8" ht="15">
      <c r="A289" s="268" t="s">
        <v>196</v>
      </c>
      <c r="B289" s="268"/>
      <c r="C289" s="310">
        <f>+C288/C285</f>
        <v>0.09045276729757591</v>
      </c>
      <c r="D289" s="310">
        <f>+D288/D285</f>
        <v>0.10767593281410791</v>
      </c>
      <c r="E289" s="310">
        <f>+E288/E285</f>
        <v>0.09397922540458278</v>
      </c>
      <c r="F289" s="310">
        <f>+F288/F285</f>
        <v>0.11880845793438363</v>
      </c>
      <c r="G289" s="310">
        <f>+G288/G285</f>
        <v>0.09109313263155909</v>
      </c>
      <c r="H289" s="305">
        <f>RATE(4,,-C289,G289)+AVERAGE(C289:G289)</f>
        <v>0.10216711250236901</v>
      </c>
    </row>
    <row r="290" spans="1:8" ht="15">
      <c r="A290" s="268"/>
      <c r="B290" s="268"/>
      <c r="C290" s="308"/>
      <c r="D290" s="308"/>
      <c r="E290" s="308"/>
      <c r="F290" s="308"/>
      <c r="G290" s="308"/>
      <c r="H290" s="305"/>
    </row>
    <row r="291" spans="1:8" ht="12.75">
      <c r="A291" s="95"/>
      <c r="B291" s="95"/>
      <c r="C291" s="95"/>
      <c r="D291" s="95"/>
      <c r="E291" s="95"/>
      <c r="F291" s="95"/>
      <c r="G291" s="95"/>
      <c r="H291" s="94"/>
    </row>
    <row r="292" spans="1:8" ht="12.75">
      <c r="A292" s="95"/>
      <c r="B292" s="95"/>
      <c r="C292" s="95"/>
      <c r="D292" s="95"/>
      <c r="E292" s="95"/>
      <c r="F292" s="95"/>
      <c r="G292" s="95"/>
      <c r="H292" s="94"/>
    </row>
    <row r="293" spans="1:8" ht="12.75">
      <c r="A293" s="95"/>
      <c r="B293" s="95"/>
      <c r="C293" s="95"/>
      <c r="D293" s="95"/>
      <c r="E293" s="95"/>
      <c r="F293" s="315"/>
      <c r="G293" s="315"/>
      <c r="H293" s="94"/>
    </row>
    <row r="295" spans="4:6" ht="12.75">
      <c r="D295" s="1"/>
      <c r="F295" s="1"/>
    </row>
  </sheetData>
  <sheetProtection/>
  <mergeCells count="2">
    <mergeCell ref="A243:G243"/>
    <mergeCell ref="A244:G244"/>
  </mergeCells>
  <printOptions horizontalCentered="1"/>
  <pageMargins left="0.75" right="0.75" top="1" bottom="1" header="0.5" footer="0.5"/>
  <pageSetup fitToHeight="5" horizontalDpi="600" verticalDpi="600" orientation="portrait" scale="75" r:id="rId1"/>
  <rowBreaks count="5" manualBreakCount="5">
    <brk id="59" max="6" man="1"/>
    <brk id="118" max="6" man="1"/>
    <brk id="156" max="6" man="1"/>
    <brk id="194" max="6" man="1"/>
    <brk id="2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GridLines="0" view="pageBreakPreview" zoomScaleSheetLayoutView="100" zoomScalePageLayoutView="0" workbookViewId="0" topLeftCell="A13">
      <selection activeCell="L14" sqref="L14"/>
    </sheetView>
  </sheetViews>
  <sheetFormatPr defaultColWidth="9.140625" defaultRowHeight="12.75"/>
  <cols>
    <col min="1" max="1" width="42.00390625" style="0" customWidth="1"/>
    <col min="2" max="2" width="11.7109375" style="0" hidden="1" customWidth="1"/>
    <col min="3" max="4" width="11.7109375" style="0" customWidth="1"/>
    <col min="5" max="5" width="13.28125" style="0" customWidth="1"/>
    <col min="6" max="7" width="11.7109375" style="0" customWidth="1"/>
    <col min="8" max="8" width="11.7109375" style="0" hidden="1" customWidth="1"/>
  </cols>
  <sheetData>
    <row r="1" ht="15">
      <c r="G1" s="166" t="s">
        <v>105</v>
      </c>
    </row>
    <row r="2" ht="15">
      <c r="G2" s="167" t="s">
        <v>238</v>
      </c>
    </row>
    <row r="3" spans="1:8" ht="18">
      <c r="A3" s="67" t="str">
        <f>Assumptions!D3</f>
        <v>Flowell Electric Association, Inc.</v>
      </c>
      <c r="B3" s="66"/>
      <c r="C3" s="5"/>
      <c r="D3" s="5"/>
      <c r="E3" s="5"/>
      <c r="F3" s="5"/>
      <c r="G3" s="5"/>
      <c r="H3" s="6"/>
    </row>
    <row r="4" spans="1:8" ht="15.75">
      <c r="A4" s="67" t="s">
        <v>201</v>
      </c>
      <c r="B4" s="67"/>
      <c r="C4" s="5"/>
      <c r="D4" s="5"/>
      <c r="E4" s="5"/>
      <c r="F4" s="5"/>
      <c r="G4" s="5"/>
      <c r="H4" s="6"/>
    </row>
    <row r="5" spans="1:8" ht="15.75">
      <c r="A5" s="68" t="s">
        <v>103</v>
      </c>
      <c r="B5" s="68"/>
      <c r="C5" s="5"/>
      <c r="D5" s="5"/>
      <c r="E5" s="5"/>
      <c r="F5" s="5"/>
      <c r="G5" s="5"/>
      <c r="H5" s="6"/>
    </row>
    <row r="6" spans="1:8" ht="12.75">
      <c r="A6" s="63"/>
      <c r="B6" s="63"/>
      <c r="C6" s="57"/>
      <c r="D6" s="57"/>
      <c r="E6" s="57"/>
      <c r="F6" s="57"/>
      <c r="G6" s="57"/>
      <c r="H6" s="58"/>
    </row>
    <row r="7" spans="1:8" ht="12.75">
      <c r="A7" s="57"/>
      <c r="B7" s="57"/>
      <c r="C7" s="57"/>
      <c r="D7" s="57"/>
      <c r="E7" s="57"/>
      <c r="F7" s="57"/>
      <c r="G7" s="57"/>
      <c r="H7" s="59" t="s">
        <v>172</v>
      </c>
    </row>
    <row r="8" spans="1:8" ht="12.75">
      <c r="A8" s="36"/>
      <c r="B8" s="36"/>
      <c r="C8" s="36"/>
      <c r="D8" s="60"/>
      <c r="E8" s="61"/>
      <c r="F8" s="61"/>
      <c r="G8" s="62"/>
      <c r="H8" s="74" t="s">
        <v>5</v>
      </c>
    </row>
    <row r="9" spans="1:8" ht="15.75">
      <c r="A9" s="132"/>
      <c r="B9" s="133">
        <v>2004</v>
      </c>
      <c r="C9" s="133">
        <v>2005</v>
      </c>
      <c r="D9" s="133">
        <v>2006</v>
      </c>
      <c r="E9" s="134">
        <v>2007</v>
      </c>
      <c r="F9" s="134">
        <v>2008</v>
      </c>
      <c r="G9" s="134">
        <v>2009</v>
      </c>
      <c r="H9" s="75" t="s">
        <v>32</v>
      </c>
    </row>
    <row r="10" spans="1:8" ht="15">
      <c r="A10" s="205" t="s">
        <v>202</v>
      </c>
      <c r="B10" s="205"/>
      <c r="C10" s="206"/>
      <c r="D10" s="81"/>
      <c r="E10" s="81"/>
      <c r="F10" s="81"/>
      <c r="G10" s="81"/>
      <c r="H10" s="81"/>
    </row>
    <row r="11" spans="1:8" ht="15">
      <c r="A11" s="207" t="s">
        <v>218</v>
      </c>
      <c r="B11" s="208">
        <f>+Historical!B152</f>
        <v>249877</v>
      </c>
      <c r="C11" s="208">
        <f>+Historical!C152</f>
        <v>136512</v>
      </c>
      <c r="D11" s="208">
        <f>+Historical!D152</f>
        <v>41750</v>
      </c>
      <c r="E11" s="208">
        <f>+Historical!E152</f>
        <v>304867</v>
      </c>
      <c r="F11" s="208">
        <f>+Historical!F152</f>
        <v>30559</v>
      </c>
      <c r="G11" s="208">
        <f>+Historical!G152</f>
        <v>218146</v>
      </c>
      <c r="H11" s="83">
        <f>RATE(4,,-C11,G11)</f>
        <v>0.1243307954065822</v>
      </c>
    </row>
    <row r="12" spans="1:8" ht="15">
      <c r="A12" s="205" t="s">
        <v>203</v>
      </c>
      <c r="B12" s="205"/>
      <c r="C12" s="190"/>
      <c r="D12" s="190"/>
      <c r="E12" s="190"/>
      <c r="F12" s="190"/>
      <c r="G12" s="190"/>
      <c r="H12" s="80"/>
    </row>
    <row r="13" spans="1:8" ht="15">
      <c r="A13" s="207" t="s">
        <v>204</v>
      </c>
      <c r="B13" s="207">
        <v>63361</v>
      </c>
      <c r="C13" s="208">
        <v>52802</v>
      </c>
      <c r="D13" s="209">
        <v>51599</v>
      </c>
      <c r="E13" s="209">
        <v>61514</v>
      </c>
      <c r="F13" s="209">
        <v>115806</v>
      </c>
      <c r="G13" s="209">
        <v>121323</v>
      </c>
      <c r="H13" s="83">
        <f>RATE(4,,-C13,G13)</f>
        <v>0.2311846493567856</v>
      </c>
    </row>
    <row r="14" spans="1:8" ht="15">
      <c r="A14" s="207" t="s">
        <v>219</v>
      </c>
      <c r="B14" s="207"/>
      <c r="C14" s="189"/>
      <c r="D14" s="209"/>
      <c r="E14" s="209">
        <v>-5502</v>
      </c>
      <c r="F14" s="209">
        <v>-6238</v>
      </c>
      <c r="G14" s="209">
        <v>-6832</v>
      </c>
      <c r="H14" s="83"/>
    </row>
    <row r="15" spans="1:8" ht="15">
      <c r="A15" s="210" t="s">
        <v>220</v>
      </c>
      <c r="B15" s="211">
        <v>-1413</v>
      </c>
      <c r="C15" s="189">
        <v>-1413</v>
      </c>
      <c r="D15" s="209">
        <v>-1413</v>
      </c>
      <c r="E15" s="209">
        <v>-1413</v>
      </c>
      <c r="F15" s="209">
        <v>-1413</v>
      </c>
      <c r="G15" s="209">
        <v>-1413</v>
      </c>
      <c r="H15" s="83"/>
    </row>
    <row r="16" spans="1:8" ht="15">
      <c r="A16" s="210" t="s">
        <v>205</v>
      </c>
      <c r="B16" s="211">
        <v>-166304</v>
      </c>
      <c r="C16" s="189"/>
      <c r="D16" s="209">
        <v>141640</v>
      </c>
      <c r="E16" s="209"/>
      <c r="F16" s="209"/>
      <c r="G16" s="209"/>
      <c r="H16" s="83"/>
    </row>
    <row r="17" spans="1:8" ht="15">
      <c r="A17" s="205" t="s">
        <v>222</v>
      </c>
      <c r="B17" s="212"/>
      <c r="C17" s="208"/>
      <c r="D17" s="209"/>
      <c r="E17" s="209"/>
      <c r="F17" s="138"/>
      <c r="G17" s="138"/>
      <c r="H17" s="83"/>
    </row>
    <row r="18" spans="1:8" ht="15">
      <c r="A18" s="213" t="s">
        <v>224</v>
      </c>
      <c r="B18" s="214">
        <v>-29103</v>
      </c>
      <c r="C18" s="190">
        <v>37154</v>
      </c>
      <c r="D18" s="209">
        <v>77237</v>
      </c>
      <c r="E18" s="209">
        <v>-36211</v>
      </c>
      <c r="F18" s="209">
        <v>18817</v>
      </c>
      <c r="G18" s="209">
        <v>-13803</v>
      </c>
      <c r="H18" s="83"/>
    </row>
    <row r="19" spans="1:8" ht="15">
      <c r="A19" s="213" t="s">
        <v>221</v>
      </c>
      <c r="B19" s="214"/>
      <c r="C19" s="190"/>
      <c r="D19" s="209"/>
      <c r="E19" s="209">
        <v>-1225</v>
      </c>
      <c r="F19" s="209">
        <v>-14935</v>
      </c>
      <c r="G19" s="209">
        <v>-10817</v>
      </c>
      <c r="H19" s="83"/>
    </row>
    <row r="20" spans="1:8" ht="15">
      <c r="A20" s="213" t="s">
        <v>223</v>
      </c>
      <c r="B20" s="214">
        <v>145766</v>
      </c>
      <c r="C20" s="189">
        <v>-81207</v>
      </c>
      <c r="D20" s="209">
        <v>214166</v>
      </c>
      <c r="E20" s="209">
        <v>-107181</v>
      </c>
      <c r="F20" s="209">
        <v>-39035</v>
      </c>
      <c r="G20" s="209">
        <v>-99655</v>
      </c>
      <c r="H20" s="83">
        <f>RATE(4,,-C20,G20)</f>
        <v>0.052510426213608505</v>
      </c>
    </row>
    <row r="21" spans="1:8" ht="15">
      <c r="A21" s="215" t="s">
        <v>232</v>
      </c>
      <c r="B21" s="214"/>
      <c r="C21" s="189"/>
      <c r="D21" s="209"/>
      <c r="E21" s="209"/>
      <c r="F21" s="209"/>
      <c r="G21" s="209"/>
      <c r="H21" s="83"/>
    </row>
    <row r="22" spans="1:8" ht="15">
      <c r="A22" s="213" t="s">
        <v>225</v>
      </c>
      <c r="B22" s="214">
        <v>-111</v>
      </c>
      <c r="C22" s="189">
        <v>2180</v>
      </c>
      <c r="D22" s="209">
        <v>-9225</v>
      </c>
      <c r="E22" s="209">
        <v>-118</v>
      </c>
      <c r="F22" s="209">
        <v>-24</v>
      </c>
      <c r="G22" s="209">
        <v>-400</v>
      </c>
      <c r="H22" s="83"/>
    </row>
    <row r="23" spans="1:8" ht="15">
      <c r="A23" s="213" t="s">
        <v>226</v>
      </c>
      <c r="B23" s="214">
        <v>24613</v>
      </c>
      <c r="C23" s="189">
        <v>19217</v>
      </c>
      <c r="D23" s="209">
        <v>2055</v>
      </c>
      <c r="E23" s="209">
        <v>6253</v>
      </c>
      <c r="F23" s="209">
        <v>127</v>
      </c>
      <c r="G23" s="209">
        <v>-2546</v>
      </c>
      <c r="H23" s="83"/>
    </row>
    <row r="24" spans="1:8" ht="15">
      <c r="A24" s="213" t="s">
        <v>206</v>
      </c>
      <c r="B24" s="214">
        <v>-16463</v>
      </c>
      <c r="C24" s="189">
        <v>-625</v>
      </c>
      <c r="D24" s="209">
        <v>17087</v>
      </c>
      <c r="E24" s="209"/>
      <c r="F24" s="209"/>
      <c r="G24" s="209">
        <v>-7526</v>
      </c>
      <c r="H24" s="83">
        <f>RATE(4,,-C24,G24)</f>
        <v>0.8628206738941574</v>
      </c>
    </row>
    <row r="25" spans="1:8" ht="15">
      <c r="A25" s="207"/>
      <c r="B25" s="216"/>
      <c r="C25" s="208"/>
      <c r="D25" s="209"/>
      <c r="E25" s="209"/>
      <c r="F25" s="209"/>
      <c r="G25" s="209"/>
      <c r="H25" s="85"/>
    </row>
    <row r="26" spans="1:11" ht="15">
      <c r="A26" s="207" t="s">
        <v>207</v>
      </c>
      <c r="B26" s="217">
        <f aca="true" t="shared" si="0" ref="B26:G26">SUM(B10:B25)</f>
        <v>270223</v>
      </c>
      <c r="C26" s="217">
        <f t="shared" si="0"/>
        <v>164620</v>
      </c>
      <c r="D26" s="217">
        <f t="shared" si="0"/>
        <v>534896</v>
      </c>
      <c r="E26" s="217">
        <f t="shared" si="0"/>
        <v>220984</v>
      </c>
      <c r="F26" s="217">
        <f t="shared" si="0"/>
        <v>103664</v>
      </c>
      <c r="G26" s="217">
        <f t="shared" si="0"/>
        <v>196477</v>
      </c>
      <c r="H26" s="83">
        <f>RATE(4,,-C26,G26)</f>
        <v>0.045218962689705516</v>
      </c>
      <c r="I26" s="78"/>
      <c r="J26" s="78"/>
      <c r="K26" s="86"/>
    </row>
    <row r="27" spans="1:8" ht="15">
      <c r="A27" s="207"/>
      <c r="B27" s="189"/>
      <c r="C27" s="189"/>
      <c r="D27" s="209"/>
      <c r="E27" s="209"/>
      <c r="F27" s="209"/>
      <c r="G27" s="209"/>
      <c r="H27" s="81"/>
    </row>
    <row r="28" spans="1:8" ht="15">
      <c r="A28" s="205" t="s">
        <v>208</v>
      </c>
      <c r="B28" s="208"/>
      <c r="C28" s="208"/>
      <c r="D28" s="209"/>
      <c r="E28" s="209"/>
      <c r="F28" s="209"/>
      <c r="G28" s="209"/>
      <c r="H28" s="81"/>
    </row>
    <row r="29" spans="1:9" ht="15">
      <c r="A29" s="207" t="s">
        <v>233</v>
      </c>
      <c r="B29" s="190">
        <v>-327966</v>
      </c>
      <c r="C29" s="190">
        <v>-282066</v>
      </c>
      <c r="D29" s="209">
        <v>-593835</v>
      </c>
      <c r="E29" s="209">
        <v>-1697607</v>
      </c>
      <c r="F29" s="209">
        <v>-190122</v>
      </c>
      <c r="G29" s="209">
        <v>-221945</v>
      </c>
      <c r="H29" s="83"/>
      <c r="I29" s="36"/>
    </row>
    <row r="30" spans="1:9" ht="15">
      <c r="A30" s="207" t="s">
        <v>234</v>
      </c>
      <c r="B30" s="190">
        <v>172066</v>
      </c>
      <c r="C30" s="190">
        <v>175593</v>
      </c>
      <c r="D30" s="209">
        <v>15091</v>
      </c>
      <c r="E30" s="209"/>
      <c r="F30" s="209"/>
      <c r="G30" s="209"/>
      <c r="H30" s="83"/>
      <c r="I30" s="36"/>
    </row>
    <row r="31" spans="1:8" ht="15">
      <c r="A31" s="207" t="s">
        <v>209</v>
      </c>
      <c r="B31" s="208"/>
      <c r="C31" s="208"/>
      <c r="D31" s="209"/>
      <c r="E31" s="209"/>
      <c r="F31" s="209"/>
      <c r="G31" s="209"/>
      <c r="H31" s="81"/>
    </row>
    <row r="32" spans="1:8" ht="15">
      <c r="A32" s="207" t="s">
        <v>210</v>
      </c>
      <c r="B32" s="208"/>
      <c r="C32" s="208"/>
      <c r="D32" s="209"/>
      <c r="E32" s="209"/>
      <c r="F32" s="209"/>
      <c r="G32" s="209"/>
      <c r="H32" s="81"/>
    </row>
    <row r="33" spans="1:8" ht="15">
      <c r="A33" s="207"/>
      <c r="B33" s="208"/>
      <c r="C33" s="208"/>
      <c r="D33" s="209"/>
      <c r="E33" s="209"/>
      <c r="F33" s="209"/>
      <c r="G33" s="209"/>
      <c r="H33" s="84"/>
    </row>
    <row r="34" spans="1:8" ht="15">
      <c r="A34" s="207" t="s">
        <v>211</v>
      </c>
      <c r="B34" s="217">
        <f aca="true" t="shared" si="1" ref="B34:G34">SUM(B29:B33)</f>
        <v>-155900</v>
      </c>
      <c r="C34" s="217">
        <f t="shared" si="1"/>
        <v>-106473</v>
      </c>
      <c r="D34" s="217">
        <f t="shared" si="1"/>
        <v>-578744</v>
      </c>
      <c r="E34" s="217">
        <f t="shared" si="1"/>
        <v>-1697607</v>
      </c>
      <c r="F34" s="217">
        <f t="shared" si="1"/>
        <v>-190122</v>
      </c>
      <c r="G34" s="217">
        <f t="shared" si="1"/>
        <v>-221945</v>
      </c>
      <c r="H34" s="83"/>
    </row>
    <row r="35" spans="1:8" ht="15">
      <c r="A35" s="207"/>
      <c r="B35" s="208"/>
      <c r="C35" s="209"/>
      <c r="D35" s="209"/>
      <c r="E35" s="209"/>
      <c r="F35" s="209"/>
      <c r="G35" s="209"/>
      <c r="H35" s="81"/>
    </row>
    <row r="36" spans="1:8" ht="15">
      <c r="A36" s="205" t="s">
        <v>212</v>
      </c>
      <c r="B36" s="208"/>
      <c r="C36" s="208"/>
      <c r="D36" s="209"/>
      <c r="E36" s="209"/>
      <c r="F36" s="209"/>
      <c r="G36" s="209"/>
      <c r="H36" s="81"/>
    </row>
    <row r="37" spans="1:8" ht="15">
      <c r="A37" s="213" t="s">
        <v>227</v>
      </c>
      <c r="B37" s="208"/>
      <c r="C37" s="189">
        <v>75355</v>
      </c>
      <c r="D37" s="209">
        <v>13177</v>
      </c>
      <c r="E37" s="209">
        <v>13193</v>
      </c>
      <c r="F37" s="209">
        <v>14724</v>
      </c>
      <c r="G37" s="209">
        <v>31932</v>
      </c>
      <c r="H37" s="83">
        <f>RATE(4,,-C37,G37)</f>
        <v>-0.1931765513241948</v>
      </c>
    </row>
    <row r="38" spans="1:8" ht="15">
      <c r="A38" s="215" t="s">
        <v>231</v>
      </c>
      <c r="B38" s="208">
        <v>-131226</v>
      </c>
      <c r="C38" s="208">
        <v>-142965</v>
      </c>
      <c r="D38" s="209">
        <v>-96487</v>
      </c>
      <c r="E38" s="209">
        <v>-52621</v>
      </c>
      <c r="F38" s="209"/>
      <c r="G38" s="209"/>
      <c r="H38" s="83"/>
    </row>
    <row r="39" spans="1:8" ht="15">
      <c r="A39" s="213" t="s">
        <v>235</v>
      </c>
      <c r="B39" s="208"/>
      <c r="C39" s="208"/>
      <c r="D39" s="209">
        <v>250000</v>
      </c>
      <c r="E39" s="209">
        <v>1600000</v>
      </c>
      <c r="F39" s="209"/>
      <c r="G39" s="209"/>
      <c r="H39" s="81"/>
    </row>
    <row r="40" spans="1:8" ht="15">
      <c r="A40" s="213" t="s">
        <v>213</v>
      </c>
      <c r="B40" s="208">
        <v>-16883</v>
      </c>
      <c r="C40" s="208">
        <v>-18118</v>
      </c>
      <c r="D40" s="209">
        <v>-119442</v>
      </c>
      <c r="E40" s="209">
        <v>-34161</v>
      </c>
      <c r="F40" s="209">
        <v>-38445</v>
      </c>
      <c r="G40" s="209">
        <v>-37952</v>
      </c>
      <c r="H40" s="83">
        <f>RATE(4,,-C40,G40)</f>
        <v>0.2030428685133022</v>
      </c>
    </row>
    <row r="41" spans="1:8" ht="15">
      <c r="A41" s="207" t="s">
        <v>210</v>
      </c>
      <c r="B41" s="208">
        <v>-1790</v>
      </c>
      <c r="C41" s="208">
        <v>-247</v>
      </c>
      <c r="D41" s="209">
        <v>-400</v>
      </c>
      <c r="E41" s="209"/>
      <c r="F41" s="209"/>
      <c r="G41" s="209"/>
      <c r="H41" s="81"/>
    </row>
    <row r="42" spans="1:8" ht="15">
      <c r="A42" s="207"/>
      <c r="B42" s="208"/>
      <c r="C42" s="208"/>
      <c r="D42" s="209"/>
      <c r="E42" s="209"/>
      <c r="F42" s="209"/>
      <c r="G42" s="209"/>
      <c r="H42" s="84"/>
    </row>
    <row r="43" spans="1:8" ht="15">
      <c r="A43" s="207" t="s">
        <v>214</v>
      </c>
      <c r="B43" s="218">
        <f aca="true" t="shared" si="2" ref="B43:G43">SUM(B37:B42)</f>
        <v>-149899</v>
      </c>
      <c r="C43" s="218">
        <f t="shared" si="2"/>
        <v>-85975</v>
      </c>
      <c r="D43" s="218">
        <f t="shared" si="2"/>
        <v>46848</v>
      </c>
      <c r="E43" s="218">
        <f t="shared" si="2"/>
        <v>1526411</v>
      </c>
      <c r="F43" s="218">
        <f t="shared" si="2"/>
        <v>-23721</v>
      </c>
      <c r="G43" s="218">
        <f t="shared" si="2"/>
        <v>-6020</v>
      </c>
      <c r="H43" s="83">
        <f>RATE(4,,-C43,G43)</f>
        <v>-0.48559393940157963</v>
      </c>
    </row>
    <row r="44" spans="1:8" ht="15">
      <c r="A44" s="207"/>
      <c r="B44" s="209"/>
      <c r="C44" s="209"/>
      <c r="D44" s="209"/>
      <c r="E44" s="209"/>
      <c r="F44" s="209"/>
      <c r="G44" s="209"/>
      <c r="H44" s="84"/>
    </row>
    <row r="45" spans="1:8" ht="15">
      <c r="A45" s="207" t="s">
        <v>215</v>
      </c>
      <c r="B45" s="219">
        <f aca="true" t="shared" si="3" ref="B45:G45">+B43+B34+B26</f>
        <v>-35576</v>
      </c>
      <c r="C45" s="219">
        <f t="shared" si="3"/>
        <v>-27828</v>
      </c>
      <c r="D45" s="219">
        <f t="shared" si="3"/>
        <v>3000</v>
      </c>
      <c r="E45" s="219">
        <f t="shared" si="3"/>
        <v>49788</v>
      </c>
      <c r="F45" s="219">
        <f t="shared" si="3"/>
        <v>-110179</v>
      </c>
      <c r="G45" s="219">
        <f t="shared" si="3"/>
        <v>-31488</v>
      </c>
      <c r="H45" s="83">
        <f>RATE(4,,-C45,G45)</f>
        <v>0.03137302982786457</v>
      </c>
    </row>
    <row r="46" spans="1:8" ht="15">
      <c r="A46" s="207"/>
      <c r="B46" s="209"/>
      <c r="C46" s="209"/>
      <c r="D46" s="209"/>
      <c r="E46" s="209"/>
      <c r="F46" s="209"/>
      <c r="G46" s="209"/>
      <c r="H46" s="84"/>
    </row>
    <row r="47" spans="1:8" ht="15">
      <c r="A47" s="207" t="s">
        <v>216</v>
      </c>
      <c r="B47" s="219">
        <v>188744</v>
      </c>
      <c r="C47" s="219">
        <f>+B49</f>
        <v>153168</v>
      </c>
      <c r="D47" s="219">
        <f>+C49</f>
        <v>125340</v>
      </c>
      <c r="E47" s="219">
        <f>+D49</f>
        <v>128340</v>
      </c>
      <c r="F47" s="219">
        <f>+E49</f>
        <v>178128</v>
      </c>
      <c r="G47" s="219">
        <f>+F49</f>
        <v>67949</v>
      </c>
      <c r="H47" s="83">
        <f>RATE(4,,-C47,G47)</f>
        <v>-0.18388049587276828</v>
      </c>
    </row>
    <row r="48" spans="1:8" ht="15">
      <c r="A48" s="207"/>
      <c r="B48" s="209"/>
      <c r="C48" s="209"/>
      <c r="D48" s="209"/>
      <c r="E48" s="209"/>
      <c r="F48" s="209"/>
      <c r="G48" s="209"/>
      <c r="H48" s="84"/>
    </row>
    <row r="49" spans="1:8" ht="15.75" thickBot="1">
      <c r="A49" s="207" t="s">
        <v>217</v>
      </c>
      <c r="B49" s="219">
        <f>+Historical!B12</f>
        <v>153168</v>
      </c>
      <c r="C49" s="219">
        <f>+Historical!C12</f>
        <v>125340</v>
      </c>
      <c r="D49" s="219">
        <f>+Historical!D12</f>
        <v>128340</v>
      </c>
      <c r="E49" s="219">
        <f>+Historical!E12</f>
        <v>178128</v>
      </c>
      <c r="F49" s="219">
        <f>+Historical!F12</f>
        <v>67949</v>
      </c>
      <c r="G49" s="219">
        <f>+Historical!G12</f>
        <v>36461</v>
      </c>
      <c r="H49" s="83">
        <f>RATE(4,,-C49,G49)</f>
        <v>-0.2655965280976353</v>
      </c>
    </row>
    <row r="50" spans="1:8" ht="15.75" thickTop="1">
      <c r="A50" s="220"/>
      <c r="B50" s="220"/>
      <c r="C50" s="154"/>
      <c r="D50" s="197"/>
      <c r="E50" s="154"/>
      <c r="F50" s="154"/>
      <c r="G50" s="154"/>
      <c r="H50" s="82"/>
    </row>
    <row r="51" spans="1:7" ht="15">
      <c r="A51" s="128"/>
      <c r="B51" s="128"/>
      <c r="C51" s="128"/>
      <c r="D51" s="128"/>
      <c r="E51" s="128"/>
      <c r="F51" s="204">
        <f>+F43+F45+F47</f>
        <v>44228</v>
      </c>
      <c r="G51" s="204">
        <f>+G43+G45+G47</f>
        <v>30441</v>
      </c>
    </row>
    <row r="52" spans="1:7" ht="15">
      <c r="A52" s="128"/>
      <c r="B52" s="128"/>
      <c r="C52" s="128"/>
      <c r="D52" s="128"/>
      <c r="E52" s="128"/>
      <c r="F52" s="128"/>
      <c r="G52" s="204">
        <f>+G51-G49</f>
        <v>-6020</v>
      </c>
    </row>
    <row r="54" ht="12.75">
      <c r="G54" s="78"/>
    </row>
    <row r="56" ht="12.75">
      <c r="G56" s="78"/>
    </row>
  </sheetData>
  <sheetProtection/>
  <printOptions horizontalCentered="1"/>
  <pageMargins left="0.7" right="0.7" top="0.75" bottom="0.75" header="0.3" footer="0.3"/>
  <pageSetup horizontalDpi="600" verticalDpi="600" orientation="portrait" scale="75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2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6.00390625" style="27" customWidth="1"/>
    <col min="2" max="2" width="21.421875" style="9" customWidth="1"/>
    <col min="3" max="3" width="12.7109375" style="9" customWidth="1"/>
    <col min="4" max="4" width="16.7109375" style="9" customWidth="1"/>
    <col min="5" max="5" width="23.140625" style="9" customWidth="1"/>
    <col min="6" max="7" width="11.00390625" style="9" customWidth="1"/>
    <col min="8" max="8" width="20.7109375" style="9" customWidth="1"/>
    <col min="9" max="9" width="9.421875" style="9" bestFit="1" customWidth="1"/>
    <col min="10" max="10" width="10.8515625" style="9" customWidth="1"/>
    <col min="11" max="11" width="10.8515625" style="9" bestFit="1" customWidth="1"/>
    <col min="12" max="12" width="11.28125" style="9" customWidth="1"/>
    <col min="13" max="13" width="10.8515625" style="9" bestFit="1" customWidth="1"/>
    <col min="14" max="14" width="11.140625" style="9" customWidth="1"/>
    <col min="15" max="15" width="10.57421875" style="9" customWidth="1"/>
    <col min="16" max="16" width="10.8515625" style="9" bestFit="1" customWidth="1"/>
    <col min="17" max="17" width="11.140625" style="9" customWidth="1"/>
    <col min="18" max="18" width="10.8515625" style="9" customWidth="1"/>
    <col min="19" max="19" width="10.8515625" style="0" customWidth="1"/>
  </cols>
  <sheetData>
    <row r="1" spans="1:4" ht="15.75">
      <c r="A1" s="27">
        <v>1</v>
      </c>
      <c r="B1" s="30" t="s">
        <v>17</v>
      </c>
      <c r="D1" s="29">
        <f ca="1">NOW()</f>
        <v>40393.510978356484</v>
      </c>
    </row>
    <row r="2" spans="1:4" ht="7.5" customHeight="1">
      <c r="A2" s="27">
        <f>A1+1</f>
        <v>2</v>
      </c>
      <c r="B2" s="30"/>
      <c r="D2" s="29"/>
    </row>
    <row r="3" spans="1:4" ht="15.75">
      <c r="A3" s="27">
        <f>A2+1</f>
        <v>3</v>
      </c>
      <c r="B3" s="30" t="s">
        <v>55</v>
      </c>
      <c r="C3" s="30"/>
      <c r="D3" s="55" t="s">
        <v>171</v>
      </c>
    </row>
    <row r="4" ht="7.5" customHeight="1">
      <c r="A4" s="27">
        <f aca="true" t="shared" si="0" ref="A4:A67">A3+1</f>
        <v>4</v>
      </c>
    </row>
    <row r="5" spans="1:13" ht="12.75">
      <c r="A5" s="27">
        <f t="shared" si="0"/>
        <v>5</v>
      </c>
      <c r="B5" s="9" t="s">
        <v>14</v>
      </c>
      <c r="D5" s="14"/>
      <c r="F5" s="15"/>
      <c r="G5" s="14"/>
      <c r="I5" s="17">
        <v>2004</v>
      </c>
      <c r="J5" s="17">
        <v>2005</v>
      </c>
      <c r="K5" s="17">
        <v>2006</v>
      </c>
      <c r="L5" s="42">
        <v>2007</v>
      </c>
      <c r="M5" s="22"/>
    </row>
    <row r="6" spans="1:9" ht="12.75">
      <c r="A6" s="27">
        <f t="shared" si="0"/>
        <v>6</v>
      </c>
      <c r="B6" s="9" t="s">
        <v>22</v>
      </c>
      <c r="D6" s="14">
        <f>2.5%</f>
        <v>0.025</v>
      </c>
      <c r="F6" s="15" t="s">
        <v>106</v>
      </c>
      <c r="G6" s="14"/>
      <c r="I6" s="17"/>
    </row>
    <row r="7" spans="1:17" ht="12.75">
      <c r="A7" s="27">
        <f t="shared" si="0"/>
        <v>7</v>
      </c>
      <c r="B7" s="9" t="s">
        <v>20</v>
      </c>
      <c r="D7" s="14">
        <v>0.07</v>
      </c>
      <c r="F7" s="24" t="s">
        <v>145</v>
      </c>
      <c r="G7" s="14"/>
      <c r="I7" s="23">
        <f>Historical!C151/(Historical!C149+Historical!C150)</f>
        <v>0</v>
      </c>
      <c r="J7" s="23">
        <f>Historical!D151/(Historical!D149+Historical!D150)</f>
        <v>0</v>
      </c>
      <c r="K7" s="23">
        <f>Historical!E151/(Historical!E149+Historical!E150)</f>
        <v>0</v>
      </c>
      <c r="L7" s="23">
        <f>Historical!F151/(Historical!F149+Historical!F150)</f>
        <v>0</v>
      </c>
      <c r="M7" s="23"/>
      <c r="N7" s="23"/>
      <c r="O7" s="23"/>
      <c r="P7" s="23"/>
      <c r="Q7" s="23"/>
    </row>
    <row r="8" spans="1:7" ht="12.75">
      <c r="A8" s="27">
        <f t="shared" si="0"/>
        <v>8</v>
      </c>
      <c r="B8" s="9" t="s">
        <v>13</v>
      </c>
      <c r="D8" s="14">
        <f>5%</f>
        <v>0.05</v>
      </c>
      <c r="F8" s="15"/>
      <c r="G8" s="14"/>
    </row>
    <row r="9" spans="1:7" ht="7.5" customHeight="1">
      <c r="A9" s="27">
        <f t="shared" si="0"/>
        <v>9</v>
      </c>
      <c r="D9" s="14"/>
      <c r="F9" s="24"/>
      <c r="G9" s="14"/>
    </row>
    <row r="10" spans="1:6" ht="7.5" customHeight="1">
      <c r="A10" s="27">
        <f t="shared" si="0"/>
        <v>10</v>
      </c>
      <c r="F10" s="19"/>
    </row>
    <row r="11" ht="7.5" customHeight="1">
      <c r="A11" s="27">
        <f t="shared" si="0"/>
        <v>11</v>
      </c>
    </row>
    <row r="12" spans="1:6" ht="12.75">
      <c r="A12" s="27">
        <f t="shared" si="0"/>
        <v>12</v>
      </c>
      <c r="B12" s="16" t="s">
        <v>122</v>
      </c>
      <c r="D12" s="14">
        <v>0.05</v>
      </c>
      <c r="E12" s="25" t="s">
        <v>146</v>
      </c>
      <c r="F12" s="19"/>
    </row>
    <row r="13" spans="1:5" ht="12.75">
      <c r="A13" s="27">
        <f t="shared" si="0"/>
        <v>13</v>
      </c>
      <c r="B13" s="16" t="s">
        <v>123</v>
      </c>
      <c r="E13" s="25"/>
    </row>
    <row r="14" spans="1:8" ht="12.75">
      <c r="A14" s="27">
        <f t="shared" si="0"/>
        <v>14</v>
      </c>
      <c r="B14" s="16"/>
      <c r="D14" s="14"/>
      <c r="F14" s="23"/>
      <c r="H14" s="23"/>
    </row>
    <row r="15" spans="1:2" ht="12.75">
      <c r="A15" s="27">
        <f t="shared" si="0"/>
        <v>15</v>
      </c>
      <c r="B15" s="18" t="s">
        <v>28</v>
      </c>
    </row>
    <row r="16" spans="1:6" ht="12.75">
      <c r="A16" s="27">
        <f t="shared" si="0"/>
        <v>16</v>
      </c>
      <c r="B16" s="9" t="str">
        <f>Historical!A134</f>
        <v>Cost of Purchased Power</v>
      </c>
      <c r="D16" s="14">
        <f>+Historical!J172</f>
        <v>0.4853294277219405</v>
      </c>
      <c r="E16" s="77" t="s">
        <v>236</v>
      </c>
      <c r="F16" s="19"/>
    </row>
    <row r="17" spans="1:6" ht="12.75">
      <c r="A17" s="27">
        <f t="shared" si="0"/>
        <v>17</v>
      </c>
      <c r="B17" s="9" t="str">
        <f>Historical!A135</f>
        <v>Administrative and General Expenses</v>
      </c>
      <c r="D17" s="14">
        <f>+Historical!H135</f>
        <v>0</v>
      </c>
      <c r="E17" s="25" t="s">
        <v>160</v>
      </c>
      <c r="F17" s="28"/>
    </row>
    <row r="18" spans="1:17" ht="12.75">
      <c r="A18" s="27">
        <f t="shared" si="0"/>
        <v>18</v>
      </c>
      <c r="B18" s="9" t="str">
        <f>Historical!A136</f>
        <v>   Operating and Maintenance</v>
      </c>
      <c r="D18" s="14">
        <f>+Historical!J174-0.005</f>
        <v>0.21763466805038134</v>
      </c>
      <c r="E18" s="77" t="s">
        <v>160</v>
      </c>
      <c r="F18" s="25"/>
      <c r="J18" s="17"/>
      <c r="K18" s="17"/>
      <c r="L18" s="17"/>
      <c r="M18" s="17"/>
      <c r="N18" s="17"/>
      <c r="O18" s="17">
        <v>2005</v>
      </c>
      <c r="P18" s="13" t="s">
        <v>114</v>
      </c>
      <c r="Q18" s="22" t="s">
        <v>115</v>
      </c>
    </row>
    <row r="19" spans="1:17" ht="12.75">
      <c r="A19" s="27">
        <f t="shared" si="0"/>
        <v>19</v>
      </c>
      <c r="B19" s="9" t="str">
        <f>Historical!A137</f>
        <v>   Depreciation and amortization</v>
      </c>
      <c r="D19" s="14">
        <f>+Historical!N137</f>
        <v>0.024235468966302503</v>
      </c>
      <c r="E19" s="77" t="s">
        <v>160</v>
      </c>
      <c r="F19" s="25"/>
      <c r="J19" s="20"/>
      <c r="K19" s="20"/>
      <c r="L19" s="20"/>
      <c r="M19" s="20"/>
      <c r="N19" s="20"/>
      <c r="O19" s="20">
        <f>Historical!C137/Historical!C22</f>
        <v>0.022783130076389633</v>
      </c>
      <c r="P19" s="20">
        <f>40602/(1390087+24077+5)</f>
        <v>0.028710854218979485</v>
      </c>
      <c r="Q19" s="20">
        <f>41285/(1503509+24077+5)</f>
        <v>0.02702621316831534</v>
      </c>
    </row>
    <row r="20" spans="1:16" ht="12.75">
      <c r="A20" s="27">
        <f t="shared" si="0"/>
        <v>20</v>
      </c>
      <c r="B20" s="9" t="str">
        <f>Historical!A138</f>
        <v>   Administrative and General</v>
      </c>
      <c r="D20" s="14">
        <f>+Historical!J176</f>
        <v>0.11486511852623153</v>
      </c>
      <c r="E20" s="25"/>
      <c r="F20" s="25"/>
      <c r="N20" s="20"/>
      <c r="O20" s="20"/>
      <c r="P20" s="20"/>
    </row>
    <row r="21" spans="1:9" ht="12.75">
      <c r="A21" s="27">
        <f t="shared" si="0"/>
        <v>21</v>
      </c>
      <c r="B21" s="9" t="str">
        <f>Historical!A139</f>
        <v>   Taxes, other than income taxes</v>
      </c>
      <c r="D21" s="14">
        <f>+Historical!O139</f>
        <v>0.013433900273505517</v>
      </c>
      <c r="E21" s="25" t="s">
        <v>124</v>
      </c>
      <c r="F21" s="19"/>
      <c r="I21" s="14"/>
    </row>
    <row r="22" ht="12.75">
      <c r="A22" s="27">
        <f t="shared" si="0"/>
        <v>22</v>
      </c>
    </row>
    <row r="23" spans="1:6" ht="12.75">
      <c r="A23" s="27">
        <f t="shared" si="0"/>
        <v>23</v>
      </c>
      <c r="B23" s="9" t="str">
        <f>'Forecast '!A89</f>
        <v>Interest (Surplus Cash)/Add. Loans</v>
      </c>
      <c r="D23" s="14">
        <v>0.02</v>
      </c>
      <c r="E23" s="9" t="s">
        <v>85</v>
      </c>
      <c r="F23" s="19" t="s">
        <v>147</v>
      </c>
    </row>
    <row r="24" spans="1:6" ht="12.75">
      <c r="A24" s="27">
        <f t="shared" si="0"/>
        <v>24</v>
      </c>
      <c r="B24" s="9" t="str">
        <f>Historical!A143</f>
        <v>   Interest expense (net)</v>
      </c>
      <c r="D24" s="41">
        <v>0.0516</v>
      </c>
      <c r="E24" s="19" t="s">
        <v>135</v>
      </c>
      <c r="F24" s="25" t="s">
        <v>136</v>
      </c>
    </row>
    <row r="25" spans="1:6" ht="12.75">
      <c r="A25" s="27">
        <f t="shared" si="0"/>
        <v>25</v>
      </c>
      <c r="B25" s="9" t="str">
        <f>Historical!A144</f>
        <v>   Interest and Other Income</v>
      </c>
      <c r="D25" s="41">
        <f>+Historical!H182</f>
        <v>-0.0018274388915595892</v>
      </c>
      <c r="E25" s="25" t="s">
        <v>134</v>
      </c>
      <c r="F25" s="19"/>
    </row>
    <row r="26" spans="1:6" ht="12.75">
      <c r="A26" s="27">
        <f t="shared" si="0"/>
        <v>26</v>
      </c>
      <c r="B26" s="9" t="str">
        <f>Historical!A145</f>
        <v>   Loss (Gain) on Sale of Assets</v>
      </c>
      <c r="D26" s="45">
        <f>AVERAGE(Historical!C145:F145)</f>
        <v>9979.5</v>
      </c>
      <c r="E26" s="9" t="s">
        <v>86</v>
      </c>
      <c r="F26" s="9" t="s">
        <v>87</v>
      </c>
    </row>
    <row r="27" spans="1:6" ht="12.75">
      <c r="A27" s="27">
        <f t="shared" si="0"/>
        <v>27</v>
      </c>
      <c r="B27" s="9" t="str">
        <f>Historical!A146</f>
        <v>   Other (Income) Expense</v>
      </c>
      <c r="D27" s="45">
        <f>+Historical!G146</f>
        <v>-1413</v>
      </c>
      <c r="E27" s="9" t="s">
        <v>86</v>
      </c>
      <c r="F27" s="9" t="s">
        <v>87</v>
      </c>
    </row>
    <row r="28" spans="1:5" ht="12.75">
      <c r="A28" s="27">
        <f t="shared" si="0"/>
        <v>28</v>
      </c>
      <c r="B28" s="9" t="str">
        <f>Historical!A150</f>
        <v>Other Capital Credits and Patronage Div</v>
      </c>
      <c r="D28" s="45">
        <v>0</v>
      </c>
      <c r="E28" s="9" t="s">
        <v>89</v>
      </c>
    </row>
    <row r="29" spans="1:5" ht="12.75">
      <c r="A29" s="27">
        <f t="shared" si="0"/>
        <v>29</v>
      </c>
      <c r="B29" s="9" t="s">
        <v>21</v>
      </c>
      <c r="D29" s="41">
        <v>0</v>
      </c>
      <c r="E29" s="9" t="s">
        <v>157</v>
      </c>
    </row>
    <row r="30" spans="1:4" ht="12.75">
      <c r="A30" s="27">
        <f t="shared" si="0"/>
        <v>30</v>
      </c>
      <c r="D30" s="14"/>
    </row>
    <row r="31" spans="1:6" ht="12.75">
      <c r="A31" s="27">
        <f t="shared" si="0"/>
        <v>31</v>
      </c>
      <c r="B31" s="9" t="str">
        <f>Historical!A154</f>
        <v>Preferred Stock Dividends</v>
      </c>
      <c r="D31" s="14">
        <v>0</v>
      </c>
      <c r="E31" s="9" t="s">
        <v>90</v>
      </c>
      <c r="F31" s="9" t="s">
        <v>104</v>
      </c>
    </row>
    <row r="32" spans="1:6" ht="12.75">
      <c r="A32" s="27">
        <f t="shared" si="0"/>
        <v>32</v>
      </c>
      <c r="B32" s="9" t="str">
        <f>Historical!A155</f>
        <v>Return of Patrons Capital</v>
      </c>
      <c r="D32" s="14">
        <f>+Historical!O155</f>
        <v>0</v>
      </c>
      <c r="E32" s="9" t="s">
        <v>148</v>
      </c>
      <c r="F32" s="9" t="s">
        <v>149</v>
      </c>
    </row>
    <row r="33" spans="1:14" ht="12.75">
      <c r="A33" s="27">
        <f t="shared" si="0"/>
        <v>33</v>
      </c>
      <c r="I33" s="17"/>
      <c r="J33" s="17"/>
      <c r="K33" s="17"/>
      <c r="L33" s="17"/>
      <c r="M33" s="17"/>
      <c r="N33" s="17"/>
    </row>
    <row r="34" spans="1:15" ht="12.75">
      <c r="A34" s="27">
        <f t="shared" si="0"/>
        <v>34</v>
      </c>
      <c r="B34" s="9" t="str">
        <f>'Forecast '!A12</f>
        <v>Cash &amp; Equivalents</v>
      </c>
      <c r="D34" s="14">
        <f>1/24</f>
        <v>0.041666666666666664</v>
      </c>
      <c r="E34" s="19" t="s">
        <v>118</v>
      </c>
      <c r="F34" s="25" t="s">
        <v>117</v>
      </c>
      <c r="I34" s="20"/>
      <c r="J34" s="20"/>
      <c r="K34" s="20"/>
      <c r="L34" s="20"/>
      <c r="M34" s="20"/>
      <c r="N34" s="20"/>
      <c r="O34" s="20"/>
    </row>
    <row r="35" spans="1:5" ht="12.75">
      <c r="A35" s="27">
        <f t="shared" si="0"/>
        <v>35</v>
      </c>
      <c r="B35" s="9" t="str">
        <f>'Forecast '!A13</f>
        <v>Surplus Cash</v>
      </c>
      <c r="E35" s="9" t="s">
        <v>7</v>
      </c>
    </row>
    <row r="36" spans="1:15" ht="12.75">
      <c r="A36" s="27">
        <f t="shared" si="0"/>
        <v>36</v>
      </c>
      <c r="B36" s="9" t="str">
        <f>'Forecast '!A14</f>
        <v>Accounts Receivable, net</v>
      </c>
      <c r="D36" s="41">
        <f>Historical!O13</f>
        <v>0.06224858149428527</v>
      </c>
      <c r="E36" s="9" t="s">
        <v>61</v>
      </c>
      <c r="F36" s="9" t="s">
        <v>94</v>
      </c>
      <c r="I36" s="14"/>
      <c r="J36" s="14"/>
      <c r="K36" s="14"/>
      <c r="L36" s="14"/>
      <c r="M36" s="14"/>
      <c r="N36" s="14"/>
      <c r="O36" s="20"/>
    </row>
    <row r="37" spans="1:6" ht="12.75">
      <c r="A37" s="27">
        <f t="shared" si="0"/>
        <v>37</v>
      </c>
      <c r="B37" s="9" t="str">
        <f>'Forecast '!A15</f>
        <v>Patronage Capital Credit - DG&amp;T</v>
      </c>
      <c r="D37" s="41">
        <f>Historical!I73</f>
        <v>0.059125043949616006</v>
      </c>
      <c r="E37" s="9" t="s">
        <v>92</v>
      </c>
      <c r="F37" s="9" t="s">
        <v>94</v>
      </c>
    </row>
    <row r="38" spans="1:6" ht="12.75">
      <c r="A38" s="27">
        <f t="shared" si="0"/>
        <v>38</v>
      </c>
      <c r="B38" s="9" t="str">
        <f>'Forecast '!A16</f>
        <v>Other Current Assets</v>
      </c>
      <c r="D38" s="45">
        <f>+Historical!J15</f>
        <v>17056.5</v>
      </c>
      <c r="E38" s="9" t="s">
        <v>92</v>
      </c>
      <c r="F38" s="9" t="s">
        <v>94</v>
      </c>
    </row>
    <row r="39" spans="1:4" ht="12.75">
      <c r="A39" s="27">
        <f t="shared" si="0"/>
        <v>39</v>
      </c>
      <c r="D39" s="45"/>
    </row>
    <row r="40" spans="1:2" ht="12" customHeight="1">
      <c r="A40" s="27">
        <f t="shared" si="0"/>
        <v>40</v>
      </c>
      <c r="B40" s="9" t="str">
        <f>'Forecast '!A19</f>
        <v>Plant &amp; Equipment:</v>
      </c>
    </row>
    <row r="41" spans="1:7" ht="12.75">
      <c r="A41" s="27">
        <f t="shared" si="0"/>
        <v>41</v>
      </c>
      <c r="B41" s="9" t="str">
        <f>'Forecast '!A20</f>
        <v>Plant in Service</v>
      </c>
      <c r="D41" s="14">
        <f>+Historical!I22</f>
        <v>0.04388595705284311</v>
      </c>
      <c r="E41" s="25" t="s">
        <v>159</v>
      </c>
      <c r="F41" s="43"/>
      <c r="G41" s="43"/>
    </row>
    <row r="42" spans="1:4" ht="12.75">
      <c r="A42" s="27">
        <f t="shared" si="0"/>
        <v>42</v>
      </c>
      <c r="D42" s="14"/>
    </row>
    <row r="43" spans="1:6" ht="12.75">
      <c r="A43" s="27">
        <f t="shared" si="0"/>
        <v>43</v>
      </c>
      <c r="B43" s="9" t="str">
        <f>'Forecast '!A21</f>
        <v>  Construction Work in Progress</v>
      </c>
      <c r="D43" s="26"/>
      <c r="E43" s="9" t="s">
        <v>151</v>
      </c>
      <c r="F43" s="19"/>
    </row>
    <row r="44" ht="12.75">
      <c r="A44" s="27">
        <f t="shared" si="0"/>
        <v>44</v>
      </c>
    </row>
    <row r="45" spans="1:6" ht="12.75">
      <c r="A45" s="27">
        <f t="shared" si="0"/>
        <v>45</v>
      </c>
      <c r="B45" s="9" t="str">
        <f>'Forecast '!A22</f>
        <v>Other PP&amp;E</v>
      </c>
      <c r="D45" s="9">
        <v>0</v>
      </c>
      <c r="E45" s="9" t="s">
        <v>95</v>
      </c>
      <c r="F45" s="9" t="s">
        <v>89</v>
      </c>
    </row>
    <row r="46" spans="1:14" ht="12.75">
      <c r="A46" s="27">
        <f t="shared" si="0"/>
        <v>46</v>
      </c>
      <c r="J46" s="17">
        <v>2004</v>
      </c>
      <c r="K46" s="17">
        <v>2005</v>
      </c>
      <c r="L46" s="17">
        <v>2006</v>
      </c>
      <c r="M46" s="53">
        <f>+L46+1</f>
        <v>2007</v>
      </c>
      <c r="N46" s="54">
        <f>+M46+1</f>
        <v>2008</v>
      </c>
    </row>
    <row r="47" spans="1:15" ht="12.75">
      <c r="A47" s="27">
        <f t="shared" si="0"/>
        <v>47</v>
      </c>
      <c r="B47" s="9" t="str">
        <f>'Forecast '!A25</f>
        <v>Accumulated Depreciation &amp; Amort.</v>
      </c>
      <c r="D47" s="41">
        <f>+Historical!P29</f>
        <v>0.4269606991659201</v>
      </c>
      <c r="E47" s="9" t="s">
        <v>155</v>
      </c>
      <c r="F47" s="25"/>
      <c r="J47" s="14">
        <f>Historical!C24/Historical!C19</f>
        <v>0.583052150680534</v>
      </c>
      <c r="K47" s="14">
        <f>Historical!D24/Historical!D19</f>
        <v>0.5367717615970328</v>
      </c>
      <c r="L47" s="14">
        <f>Historical!E24/Historical!E19</f>
        <v>0.32255276132072164</v>
      </c>
      <c r="M47" s="14">
        <f>Historical!F24/Historical!F19</f>
        <v>0.3339409059032434</v>
      </c>
      <c r="N47" s="14">
        <f>Historical!G24/Historical!G19</f>
        <v>0.3433708682164039</v>
      </c>
      <c r="O47" s="14">
        <f>AVERAGE(J47:N47)</f>
        <v>0.4239376895435871</v>
      </c>
    </row>
    <row r="48" spans="1:4" ht="12.75">
      <c r="A48" s="27">
        <f t="shared" si="0"/>
        <v>48</v>
      </c>
      <c r="D48" s="45"/>
    </row>
    <row r="49" spans="1:6" ht="12.75">
      <c r="A49" s="27">
        <f t="shared" si="0"/>
        <v>49</v>
      </c>
      <c r="B49" s="9" t="str">
        <f>'Forecast '!A30</f>
        <v>Regulatory Assets</v>
      </c>
      <c r="D49" s="41"/>
      <c r="F49" s="19"/>
    </row>
    <row r="50" spans="1:4" ht="12" customHeight="1">
      <c r="A50" s="27">
        <f t="shared" si="0"/>
        <v>50</v>
      </c>
      <c r="B50" s="9" t="str">
        <f>'Forecast '!A31</f>
        <v>Goodwill</v>
      </c>
      <c r="D50" s="45"/>
    </row>
    <row r="51" spans="1:6" ht="12.75">
      <c r="A51" s="27">
        <f t="shared" si="0"/>
        <v>51</v>
      </c>
      <c r="B51" s="9" t="str">
        <f>'Forecast '!A32</f>
        <v>Investment in CFC and Others</v>
      </c>
      <c r="D51" s="45">
        <v>0.06</v>
      </c>
      <c r="E51" s="9" t="s">
        <v>162</v>
      </c>
      <c r="F51" s="19" t="s">
        <v>142</v>
      </c>
    </row>
    <row r="52" spans="1:6" ht="12.75">
      <c r="A52" s="27">
        <f t="shared" si="0"/>
        <v>52</v>
      </c>
      <c r="D52" s="45"/>
      <c r="F52" s="15"/>
    </row>
    <row r="53" spans="1:14" ht="12.75">
      <c r="A53" s="27">
        <f t="shared" si="0"/>
        <v>53</v>
      </c>
      <c r="B53" s="9" t="str">
        <f>'Forecast '!A38</f>
        <v>Current Portion of LTD</v>
      </c>
      <c r="C53" s="21"/>
      <c r="D53" s="41">
        <f>+Historical!P37</f>
        <v>0.02435479457399452</v>
      </c>
      <c r="E53" s="25" t="s">
        <v>152</v>
      </c>
      <c r="F53" s="31"/>
      <c r="I53" s="17">
        <v>2004</v>
      </c>
      <c r="J53" s="17">
        <v>2005</v>
      </c>
      <c r="K53" s="17">
        <v>2006</v>
      </c>
      <c r="L53" s="42">
        <v>2007</v>
      </c>
      <c r="M53" s="17"/>
      <c r="N53" s="17"/>
    </row>
    <row r="54" spans="1:15" ht="12.75">
      <c r="A54" s="27">
        <f t="shared" si="0"/>
        <v>54</v>
      </c>
      <c r="B54" s="9" t="str">
        <f>'Forecast '!A39</f>
        <v>Acounts Payable</v>
      </c>
      <c r="C54" s="21"/>
      <c r="D54" s="41">
        <f>+Historical!J96</f>
        <v>0.08437748284083056</v>
      </c>
      <c r="E54" s="9" t="s">
        <v>143</v>
      </c>
      <c r="F54" s="24" t="s">
        <v>141</v>
      </c>
      <c r="I54" s="14">
        <f>Historical!C38/Historical!C131</f>
        <v>0.18493508858929472</v>
      </c>
      <c r="J54" s="14">
        <f>Historical!D38/Historical!D131</f>
        <v>0.3084996870091216</v>
      </c>
      <c r="K54" s="14">
        <f>Historical!E38/Historical!E131</f>
        <v>0.21469790379358125</v>
      </c>
      <c r="L54" s="14">
        <f>Historical!F38/Historical!F131</f>
        <v>0.18826362488523557</v>
      </c>
      <c r="M54" s="14"/>
      <c r="N54" s="14">
        <f>AVERAGE(I54:L54)</f>
        <v>0.2240990760693083</v>
      </c>
      <c r="O54" s="14"/>
    </row>
    <row r="55" spans="1:6" ht="12.75">
      <c r="A55" s="27">
        <f t="shared" si="0"/>
        <v>55</v>
      </c>
      <c r="B55" s="9" t="str">
        <f>'Forecast '!A40</f>
        <v>Accrued Expenses</v>
      </c>
      <c r="C55" s="21"/>
      <c r="D55" s="49">
        <f>+Historical!I39</f>
        <v>100825</v>
      </c>
      <c r="F55" s="24"/>
    </row>
    <row r="56" spans="1:6" ht="12.75">
      <c r="A56" s="27">
        <f t="shared" si="0"/>
        <v>56</v>
      </c>
      <c r="B56" s="9" t="str">
        <f>'Forecast '!A41</f>
        <v>Customer Deposits</v>
      </c>
      <c r="C56" s="21"/>
      <c r="D56" s="49">
        <v>36610</v>
      </c>
      <c r="E56" s="9" t="s">
        <v>163</v>
      </c>
      <c r="F56" s="24" t="s">
        <v>144</v>
      </c>
    </row>
    <row r="57" spans="1:6" ht="12.75">
      <c r="A57" s="27">
        <f t="shared" si="0"/>
        <v>57</v>
      </c>
      <c r="B57" s="9" t="str">
        <f>'Forecast '!A42</f>
        <v>Perpetual Line of Credit</v>
      </c>
      <c r="C57" s="21"/>
      <c r="D57" s="41">
        <v>0</v>
      </c>
      <c r="E57" s="9" t="s">
        <v>96</v>
      </c>
      <c r="F57" s="15" t="s">
        <v>91</v>
      </c>
    </row>
    <row r="58" spans="1:6" ht="12.75">
      <c r="A58" s="27">
        <f t="shared" si="0"/>
        <v>58</v>
      </c>
      <c r="B58" s="9" t="str">
        <f>'Forecast '!A43</f>
        <v>Other Current and Accrued Liabilities</v>
      </c>
      <c r="C58" s="21"/>
      <c r="D58" s="41">
        <v>0</v>
      </c>
      <c r="E58" s="9" t="s">
        <v>92</v>
      </c>
      <c r="F58" s="9" t="s">
        <v>94</v>
      </c>
    </row>
    <row r="59" spans="1:20" ht="12.75">
      <c r="A59" s="27">
        <f t="shared" si="0"/>
        <v>59</v>
      </c>
      <c r="B59" s="9" t="s">
        <v>153</v>
      </c>
      <c r="C59" s="21"/>
      <c r="D59" s="41">
        <v>0.06</v>
      </c>
      <c r="F59" s="15"/>
      <c r="I59"/>
      <c r="J59"/>
      <c r="K59"/>
      <c r="L59"/>
      <c r="M59"/>
      <c r="N59"/>
      <c r="O59"/>
      <c r="P59"/>
      <c r="Q59"/>
      <c r="R59"/>
      <c r="T59" s="33"/>
    </row>
    <row r="60" spans="1:18" ht="12.75">
      <c r="A60" s="27">
        <f t="shared" si="0"/>
        <v>60</v>
      </c>
      <c r="B60" s="9" t="str">
        <f>'Forecast '!A46</f>
        <v>Long-Term Debt</v>
      </c>
      <c r="C60" s="21"/>
      <c r="D60" s="41">
        <f>+D53*-1</f>
        <v>-0.02435479457399452</v>
      </c>
      <c r="E60" s="19" t="s">
        <v>135</v>
      </c>
      <c r="F60" s="25"/>
      <c r="I60"/>
      <c r="J60"/>
      <c r="K60"/>
      <c r="L60"/>
      <c r="M60"/>
      <c r="N60"/>
      <c r="O60"/>
      <c r="P60"/>
      <c r="Q60"/>
      <c r="R60"/>
    </row>
    <row r="61" spans="1:19" ht="12.75">
      <c r="A61" s="27">
        <f t="shared" si="0"/>
        <v>61</v>
      </c>
      <c r="B61" s="9" t="str">
        <f>'Forecast '!A47</f>
        <v>Deferred Income Taxes</v>
      </c>
      <c r="C61" s="21"/>
      <c r="D61" s="41">
        <f>Historical!P46</f>
        <v>0</v>
      </c>
      <c r="E61" s="9" t="s">
        <v>126</v>
      </c>
      <c r="F61" s="19" t="s">
        <v>119</v>
      </c>
      <c r="I61" s="1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6" ht="12.75">
      <c r="A62" s="27">
        <f t="shared" si="0"/>
        <v>62</v>
      </c>
      <c r="B62" s="9" t="str">
        <f>'Forecast '!A48</f>
        <v>Other Deferred Credits</v>
      </c>
      <c r="C62" s="21"/>
      <c r="D62" s="45">
        <f>+Historical!K47</f>
        <v>-1413</v>
      </c>
      <c r="E62" s="9" t="s">
        <v>92</v>
      </c>
      <c r="F62" s="19" t="s">
        <v>119</v>
      </c>
    </row>
    <row r="63" spans="1:5" ht="12.75">
      <c r="A63" s="27">
        <f t="shared" si="0"/>
        <v>63</v>
      </c>
      <c r="B63" s="9" t="str">
        <f>'Forecast '!A49</f>
        <v>Additional Loans</v>
      </c>
      <c r="C63" s="21"/>
      <c r="D63" s="41">
        <v>0.07</v>
      </c>
      <c r="E63" s="9" t="s">
        <v>97</v>
      </c>
    </row>
    <row r="64" spans="1:5" ht="12.75">
      <c r="A64" s="27">
        <f t="shared" si="0"/>
        <v>64</v>
      </c>
      <c r="C64" s="21"/>
      <c r="D64" s="45"/>
      <c r="E64" s="15"/>
    </row>
    <row r="65" spans="1:6" ht="12.75">
      <c r="A65" s="27">
        <f t="shared" si="0"/>
        <v>65</v>
      </c>
      <c r="B65" s="9" t="str">
        <f>'Forecast '!A54</f>
        <v>Deferred Revenue - Impact Fees</v>
      </c>
      <c r="C65" s="21"/>
      <c r="D65" s="56">
        <f>+Historical!H110</f>
        <v>0.028278285147777887</v>
      </c>
      <c r="E65" s="9" t="s">
        <v>98</v>
      </c>
      <c r="F65" s="9" t="s">
        <v>89</v>
      </c>
    </row>
    <row r="66" spans="1:5" ht="12.75">
      <c r="A66" s="27">
        <f t="shared" si="0"/>
        <v>66</v>
      </c>
      <c r="C66" s="21"/>
      <c r="D66" s="45"/>
      <c r="E66" s="15"/>
    </row>
    <row r="67" spans="1:6" ht="12.75">
      <c r="A67" s="27">
        <f t="shared" si="0"/>
        <v>67</v>
      </c>
      <c r="B67" s="9" t="str">
        <f>'Forecast '!A57</f>
        <v>Patrons Capital</v>
      </c>
      <c r="C67" s="21"/>
      <c r="D67" s="46">
        <v>0</v>
      </c>
      <c r="E67" s="9" t="s">
        <v>121</v>
      </c>
      <c r="F67" s="19" t="s">
        <v>154</v>
      </c>
    </row>
    <row r="68" spans="1:5" ht="12.75">
      <c r="A68" s="27">
        <f>A67+1</f>
        <v>68</v>
      </c>
      <c r="B68" s="9" t="str">
        <f>'Forecast '!A58</f>
        <v>Retained Earnings</v>
      </c>
      <c r="C68" s="21"/>
      <c r="E68" s="15" t="s">
        <v>97</v>
      </c>
    </row>
    <row r="69" ht="12.75">
      <c r="B69" s="9" t="s">
        <v>0</v>
      </c>
    </row>
    <row r="70" spans="3:5" ht="12.75">
      <c r="C70" s="21"/>
      <c r="E70" s="15"/>
    </row>
    <row r="71" spans="3:5" ht="12.75">
      <c r="C71" s="21"/>
      <c r="E71" s="15"/>
    </row>
    <row r="73" spans="3:8" ht="12.75">
      <c r="C73" s="9">
        <f>+Historical!D22-Historical!C22</f>
        <v>578744</v>
      </c>
      <c r="D73" s="9">
        <f>+Historical!E22-Historical!D22</f>
        <v>1697607</v>
      </c>
      <c r="E73" s="9">
        <f>+Historical!F22-Historical!E22</f>
        <v>190122</v>
      </c>
      <c r="F73" s="9">
        <f>+Historical!G22-Historical!F22</f>
        <v>221945</v>
      </c>
      <c r="H73" s="9">
        <f>+Historical!I22-Historical!H22</f>
        <v>-0.16842402867566775</v>
      </c>
    </row>
    <row r="74" spans="3:6" ht="12.75">
      <c r="C74" s="9">
        <f>+'Forecast '!D23-'Forecast '!C23</f>
        <v>369693.5398661038</v>
      </c>
      <c r="D74" s="9">
        <f>+'Forecast '!E23-'Forecast '!D23</f>
        <v>1960917.8946793806</v>
      </c>
      <c r="E74" s="9">
        <f>+'Forecast '!F23-'Forecast '!E23</f>
        <v>721974.6531894319</v>
      </c>
      <c r="F74" s="9">
        <f>+'Forecast '!G23-'Forecast '!F23</f>
        <v>353659.2018125439</v>
      </c>
    </row>
    <row r="75" spans="4:5" ht="12.75">
      <c r="D75" s="14"/>
      <c r="E75" s="14"/>
    </row>
    <row r="76" spans="4:5" ht="12.75">
      <c r="D76" s="14"/>
      <c r="E76" s="14"/>
    </row>
    <row r="77" spans="4:5" ht="12.75">
      <c r="D77" s="14"/>
      <c r="E77" s="14"/>
    </row>
    <row r="78" spans="4:5" ht="12.75">
      <c r="D78" s="14"/>
      <c r="E78" s="14"/>
    </row>
    <row r="79" spans="4:5" ht="12.75">
      <c r="D79" s="14"/>
      <c r="E79" s="14"/>
    </row>
    <row r="80" spans="4:5" ht="12.75">
      <c r="D80" s="14"/>
      <c r="E80" s="14"/>
    </row>
    <row r="81" spans="4:5" ht="12.75">
      <c r="D81" s="14"/>
      <c r="E81" s="14"/>
    </row>
    <row r="82" spans="4:5" ht="12.75">
      <c r="D82" s="14"/>
      <c r="E82" s="14"/>
    </row>
    <row r="83" spans="4:5" ht="12.75">
      <c r="D83" s="14"/>
      <c r="E83" s="14"/>
    </row>
    <row r="84" spans="4:5" ht="12.75">
      <c r="D84" s="14"/>
      <c r="E84" s="14"/>
    </row>
    <row r="85" spans="4:5" ht="12.75">
      <c r="D85" s="14"/>
      <c r="E85" s="14"/>
    </row>
    <row r="86" spans="4:5" ht="12.75">
      <c r="D86" s="14"/>
      <c r="E86" s="14"/>
    </row>
    <row r="87" spans="4:5" ht="12.75">
      <c r="D87" s="14"/>
      <c r="E87" s="14"/>
    </row>
    <row r="88" spans="4:5" ht="12.75">
      <c r="D88" s="14"/>
      <c r="E88" s="14"/>
    </row>
    <row r="89" spans="4:5" ht="12.75">
      <c r="D89" s="14"/>
      <c r="E89" s="14"/>
    </row>
    <row r="90" spans="4:5" ht="12.75">
      <c r="D90" s="14"/>
      <c r="E90" s="14"/>
    </row>
    <row r="91" spans="4:5" ht="12.75">
      <c r="D91" s="14"/>
      <c r="E91" s="14"/>
    </row>
    <row r="92" spans="4:5" ht="12.75">
      <c r="D92" s="14"/>
      <c r="E92" s="14"/>
    </row>
    <row r="93" spans="3:4" ht="12.75">
      <c r="C93" s="14"/>
      <c r="D93" s="14"/>
    </row>
    <row r="96" spans="2:4" ht="12.75">
      <c r="B96" s="14"/>
      <c r="C96" s="14"/>
      <c r="D96" s="14"/>
    </row>
    <row r="97" spans="2:4" ht="12.75">
      <c r="B97" s="14"/>
      <c r="C97" s="14"/>
      <c r="D97" s="14"/>
    </row>
    <row r="98" spans="2:4" ht="12.75">
      <c r="B98" s="14"/>
      <c r="C98" s="14"/>
      <c r="D98" s="14"/>
    </row>
    <row r="99" spans="2:4" ht="12.75">
      <c r="B99" s="14"/>
      <c r="C99" s="14"/>
      <c r="D99" s="14"/>
    </row>
    <row r="100" spans="2:4" ht="12.75">
      <c r="B100" s="14"/>
      <c r="C100" s="14"/>
      <c r="D100" s="14"/>
    </row>
    <row r="101" spans="2:4" ht="12.75">
      <c r="B101" s="14"/>
      <c r="C101" s="14"/>
      <c r="D101" s="14"/>
    </row>
    <row r="102" spans="2:4" ht="12.75">
      <c r="B102" s="14"/>
      <c r="C102" s="14"/>
      <c r="D102" s="14"/>
    </row>
    <row r="103" spans="2:4" ht="12.75">
      <c r="B103" s="14"/>
      <c r="C103" s="14"/>
      <c r="D103" s="14"/>
    </row>
    <row r="104" spans="2:4" ht="12.75">
      <c r="B104" s="14"/>
      <c r="C104" s="14"/>
      <c r="D104" s="14"/>
    </row>
    <row r="105" spans="2:4" ht="12.75">
      <c r="B105" s="14"/>
      <c r="C105" s="14"/>
      <c r="D105" s="14"/>
    </row>
    <row r="106" spans="2:4" ht="12.75">
      <c r="B106" s="14"/>
      <c r="C106" s="14"/>
      <c r="D106" s="14"/>
    </row>
    <row r="107" spans="2:4" ht="12.75">
      <c r="B107" s="14"/>
      <c r="C107" s="14"/>
      <c r="D107" s="14"/>
    </row>
    <row r="108" spans="2:4" ht="12.75">
      <c r="B108" s="14"/>
      <c r="C108" s="14"/>
      <c r="D108" s="14"/>
    </row>
    <row r="109" spans="2:4" ht="12.75">
      <c r="B109" s="14"/>
      <c r="C109" s="14"/>
      <c r="D109" s="14"/>
    </row>
    <row r="110" spans="2:4" ht="12.75">
      <c r="B110" s="14"/>
      <c r="C110" s="14"/>
      <c r="D110" s="14"/>
    </row>
    <row r="111" spans="2:4" ht="12.75">
      <c r="B111" s="14"/>
      <c r="C111" s="14"/>
      <c r="D111" s="14"/>
    </row>
    <row r="112" spans="2:4" ht="12.75">
      <c r="B112" s="14"/>
      <c r="C112" s="14"/>
      <c r="D112" s="14"/>
    </row>
    <row r="113" spans="2:4" ht="12.75">
      <c r="B113" s="14"/>
      <c r="C113" s="14"/>
      <c r="D113" s="14"/>
    </row>
    <row r="114" spans="2:4" ht="12.75">
      <c r="B114" s="14"/>
      <c r="C114" s="14"/>
      <c r="D114" s="14"/>
    </row>
    <row r="115" spans="2:4" ht="12.75">
      <c r="B115" s="14"/>
      <c r="C115" s="14"/>
      <c r="D115" s="14"/>
    </row>
    <row r="116" spans="2:4" ht="12.75">
      <c r="B116" s="14"/>
      <c r="C116" s="14"/>
      <c r="D116" s="14"/>
    </row>
    <row r="117" spans="2:4" ht="12.75">
      <c r="B117" s="14"/>
      <c r="C117" s="14"/>
      <c r="D117" s="14"/>
    </row>
    <row r="118" spans="2:4" ht="12.75">
      <c r="B118" s="14"/>
      <c r="C118" s="14"/>
      <c r="D118" s="14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79" ht="12.75">
      <c r="F179" s="15"/>
    </row>
    <row r="180" ht="12.75">
      <c r="F180" s="15"/>
    </row>
    <row r="181" ht="12.75">
      <c r="F181" s="15"/>
    </row>
    <row r="182" ht="12.75">
      <c r="F182" s="15"/>
    </row>
  </sheetData>
  <sheetProtection/>
  <printOptions/>
  <pageMargins left="0.46" right="0.28" top="0.53" bottom="0.53" header="0.5" footer="0.5"/>
  <pageSetup fitToHeight="1" fitToWidth="1" horizontalDpi="600" verticalDpi="600" orientation="landscape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V303"/>
  <sheetViews>
    <sheetView showGridLines="0" tabSelected="1" zoomScalePageLayoutView="0" workbookViewId="0" topLeftCell="A1">
      <selection activeCell="E46" sqref="E46"/>
    </sheetView>
  </sheetViews>
  <sheetFormatPr defaultColWidth="13.7109375" defaultRowHeight="12.75"/>
  <cols>
    <col min="1" max="1" width="28.57421875" style="36" customWidth="1"/>
    <col min="2" max="8" width="11.7109375" style="0" customWidth="1"/>
    <col min="9" max="9" width="11.28125" style="1" customWidth="1"/>
    <col min="10" max="16" width="13.7109375" style="0" customWidth="1"/>
    <col min="17" max="24" width="12.7109375" style="0" customWidth="1"/>
  </cols>
  <sheetData>
    <row r="1" ht="14.25">
      <c r="I1" s="106" t="s">
        <v>167</v>
      </c>
    </row>
    <row r="2" spans="2:9" s="9" customFormat="1" ht="14.25">
      <c r="B2" s="9" t="s">
        <v>116</v>
      </c>
      <c r="I2" s="106" t="s">
        <v>132</v>
      </c>
    </row>
    <row r="3" spans="1:9" s="9" customFormat="1" ht="15.75">
      <c r="A3" s="67" t="str">
        <f>Assumptions!$D$3</f>
        <v>Flowell Electric Association, Inc.</v>
      </c>
      <c r="B3" s="4"/>
      <c r="C3" s="4"/>
      <c r="D3" s="4"/>
      <c r="E3" s="4"/>
      <c r="F3" s="4"/>
      <c r="G3" s="37"/>
      <c r="H3" s="37"/>
      <c r="I3" s="38"/>
    </row>
    <row r="4" spans="1:9" s="9" customFormat="1" ht="15.75">
      <c r="A4" s="67" t="s">
        <v>54</v>
      </c>
      <c r="B4" s="4"/>
      <c r="C4" s="4"/>
      <c r="D4" s="4"/>
      <c r="E4" s="4"/>
      <c r="F4" s="4"/>
      <c r="G4" s="37"/>
      <c r="H4" s="37"/>
      <c r="I4" s="38"/>
    </row>
    <row r="5" spans="1:9" s="9" customFormat="1" ht="15.75">
      <c r="A5" s="96">
        <f ca="1">NOW()</f>
        <v>40393.510978125</v>
      </c>
      <c r="B5" s="4"/>
      <c r="C5" s="4"/>
      <c r="D5" s="4"/>
      <c r="E5" s="4"/>
      <c r="F5" s="4"/>
      <c r="G5" s="37"/>
      <c r="H5" s="37"/>
      <c r="I5" s="38"/>
    </row>
    <row r="6" spans="1:9" s="9" customFormat="1" ht="12.75">
      <c r="A6" s="37"/>
      <c r="B6" s="37"/>
      <c r="C6" s="37"/>
      <c r="D6" s="37"/>
      <c r="E6" s="37"/>
      <c r="F6" s="37"/>
      <c r="G6" s="37"/>
      <c r="H6" s="37"/>
      <c r="I6" s="38"/>
    </row>
    <row r="7" s="9" customFormat="1" ht="12.75">
      <c r="I7" s="14"/>
    </row>
    <row r="8" spans="1:9" s="9" customFormat="1" ht="15">
      <c r="A8" s="107"/>
      <c r="B8" s="221" t="s">
        <v>18</v>
      </c>
      <c r="C8" s="222" t="s">
        <v>18</v>
      </c>
      <c r="D8" s="223" t="s">
        <v>59</v>
      </c>
      <c r="E8" s="223" t="s">
        <v>59</v>
      </c>
      <c r="F8" s="223" t="s">
        <v>59</v>
      </c>
      <c r="G8" s="223" t="s">
        <v>59</v>
      </c>
      <c r="H8" s="223" t="s">
        <v>59</v>
      </c>
      <c r="I8" s="99" t="s">
        <v>5</v>
      </c>
    </row>
    <row r="9" spans="1:17" s="9" customFormat="1" ht="15">
      <c r="A9" s="224" t="s">
        <v>1</v>
      </c>
      <c r="B9" s="225">
        <f>Historical!F9</f>
        <v>2008</v>
      </c>
      <c r="C9" s="226">
        <f aca="true" t="shared" si="0" ref="C9:H9">B9+1</f>
        <v>2009</v>
      </c>
      <c r="D9" s="225">
        <f t="shared" si="0"/>
        <v>2010</v>
      </c>
      <c r="E9" s="225">
        <f t="shared" si="0"/>
        <v>2011</v>
      </c>
      <c r="F9" s="225">
        <f t="shared" si="0"/>
        <v>2012</v>
      </c>
      <c r="G9" s="225">
        <f t="shared" si="0"/>
        <v>2013</v>
      </c>
      <c r="H9" s="225">
        <f t="shared" si="0"/>
        <v>2014</v>
      </c>
      <c r="I9" s="101" t="s">
        <v>32</v>
      </c>
      <c r="K9" s="17">
        <f aca="true" t="shared" si="1" ref="K9:P9">C9</f>
        <v>2009</v>
      </c>
      <c r="L9" s="17">
        <f t="shared" si="1"/>
        <v>2010</v>
      </c>
      <c r="M9" s="17">
        <f t="shared" si="1"/>
        <v>2011</v>
      </c>
      <c r="N9" s="17">
        <f t="shared" si="1"/>
        <v>2012</v>
      </c>
      <c r="O9" s="17">
        <f t="shared" si="1"/>
        <v>2013</v>
      </c>
      <c r="P9" s="17">
        <f t="shared" si="1"/>
        <v>2014</v>
      </c>
      <c r="Q9" s="17"/>
    </row>
    <row r="10" spans="1:10" s="9" customFormat="1" ht="7.5" customHeight="1">
      <c r="A10" s="123"/>
      <c r="B10" s="227"/>
      <c r="C10" s="228"/>
      <c r="D10" s="227"/>
      <c r="E10" s="227"/>
      <c r="F10" s="227"/>
      <c r="G10" s="227"/>
      <c r="H10" s="227"/>
      <c r="I10" s="229"/>
      <c r="J10" s="39"/>
    </row>
    <row r="11" spans="1:9" s="9" customFormat="1" ht="14.25">
      <c r="A11" s="109" t="str">
        <f>Historical!A11</f>
        <v>Current Assets:</v>
      </c>
      <c r="B11" s="123"/>
      <c r="C11" s="230"/>
      <c r="D11" s="107"/>
      <c r="E11" s="107"/>
      <c r="F11" s="107"/>
      <c r="G11" s="107"/>
      <c r="H11" s="107"/>
      <c r="I11" s="110"/>
    </row>
    <row r="12" spans="1:9" s="9" customFormat="1" ht="14.25">
      <c r="A12" s="107" t="str">
        <f>Historical!A12</f>
        <v>Cash &amp; Equivalents</v>
      </c>
      <c r="B12" s="114">
        <f>Historical!F12</f>
        <v>67949</v>
      </c>
      <c r="C12" s="231">
        <f>Historical!G12</f>
        <v>36461</v>
      </c>
      <c r="D12" s="111">
        <f>D77*Assumptions!$D$34</f>
        <v>90683.46875</v>
      </c>
      <c r="E12" s="111">
        <f>E77*Assumptions!$D$34</f>
        <v>95217.6421875</v>
      </c>
      <c r="F12" s="111">
        <f>F77*Assumptions!$D$34</f>
        <v>99978.52429687501</v>
      </c>
      <c r="G12" s="111">
        <f>G77*Assumptions!$D$34</f>
        <v>104977.45051171877</v>
      </c>
      <c r="H12" s="111">
        <f>H77*Assumptions!$D$34</f>
        <v>110226.32303730471</v>
      </c>
      <c r="I12" s="110">
        <f>RATE(5,,-C12,H12)</f>
        <v>0.2476459148410531</v>
      </c>
    </row>
    <row r="13" spans="1:9" s="9" customFormat="1" ht="15">
      <c r="A13" s="232" t="s">
        <v>44</v>
      </c>
      <c r="B13" s="114">
        <v>0</v>
      </c>
      <c r="C13" s="231">
        <v>0</v>
      </c>
      <c r="D13" s="111">
        <f>M62</f>
        <v>0</v>
      </c>
      <c r="E13" s="111">
        <f>N62</f>
        <v>0</v>
      </c>
      <c r="F13" s="111">
        <f>O62</f>
        <v>0</v>
      </c>
      <c r="G13" s="111">
        <f>P62</f>
        <v>0</v>
      </c>
      <c r="H13" s="111">
        <f>Q62</f>
        <v>0</v>
      </c>
      <c r="I13" s="110"/>
    </row>
    <row r="14" spans="1:9" s="9" customFormat="1" ht="14.25">
      <c r="A14" s="107" t="str">
        <f>Historical!A13</f>
        <v>Accounts Receivable, net</v>
      </c>
      <c r="B14" s="114">
        <f>Historical!F13</f>
        <v>121257</v>
      </c>
      <c r="C14" s="231">
        <f>Historical!G13</f>
        <v>135060</v>
      </c>
      <c r="D14" s="111">
        <f>D77*Assumptions!$D$36</f>
        <v>135478.0150720523</v>
      </c>
      <c r="E14" s="111">
        <f>E77*Assumptions!$D$36</f>
        <v>142251.91582565493</v>
      </c>
      <c r="F14" s="111">
        <f>F77*Assumptions!$D$36</f>
        <v>149364.5116169377</v>
      </c>
      <c r="G14" s="111">
        <f>G77*Assumptions!$D$36</f>
        <v>156832.7371977846</v>
      </c>
      <c r="H14" s="111">
        <f>H77*Assumptions!$D$36</f>
        <v>164674.37405767385</v>
      </c>
      <c r="I14" s="110">
        <f>RATE(5,,-C14,H14)</f>
        <v>0.04044674337844164</v>
      </c>
    </row>
    <row r="15" spans="1:9" s="9" customFormat="1" ht="14.25">
      <c r="A15" s="107" t="str">
        <f>Historical!A14</f>
        <v>Patronage Capital Credit - DG&amp;T</v>
      </c>
      <c r="B15" s="114">
        <f>Historical!F14</f>
        <v>225000</v>
      </c>
      <c r="C15" s="231">
        <f>Historical!G14</f>
        <v>225000</v>
      </c>
      <c r="D15" s="111">
        <f>C35*Assumptions!$D$37</f>
        <v>225000</v>
      </c>
      <c r="E15" s="111">
        <f aca="true" t="shared" si="2" ref="E15:H16">D15</f>
        <v>225000</v>
      </c>
      <c r="F15" s="111">
        <f t="shared" si="2"/>
        <v>225000</v>
      </c>
      <c r="G15" s="111">
        <f t="shared" si="2"/>
        <v>225000</v>
      </c>
      <c r="H15" s="111">
        <f t="shared" si="2"/>
        <v>225000</v>
      </c>
      <c r="I15" s="110">
        <f>RATE(5,,-C15,H15)</f>
        <v>1.304746777858803E-16</v>
      </c>
    </row>
    <row r="16" spans="1:9" s="9" customFormat="1" ht="14.25">
      <c r="A16" s="107" t="str">
        <f>Historical!A15</f>
        <v>Other Current Assets</v>
      </c>
      <c r="B16" s="113">
        <f>Historical!F15</f>
        <v>0</v>
      </c>
      <c r="C16" s="233">
        <f>Historical!G15</f>
        <v>17026</v>
      </c>
      <c r="D16" s="234">
        <f>Assumptions!$D$38</f>
        <v>17056.5</v>
      </c>
      <c r="E16" s="234">
        <f t="shared" si="2"/>
        <v>17056.5</v>
      </c>
      <c r="F16" s="234">
        <f t="shared" si="2"/>
        <v>17056.5</v>
      </c>
      <c r="G16" s="234">
        <f t="shared" si="2"/>
        <v>17056.5</v>
      </c>
      <c r="H16" s="234">
        <f t="shared" si="2"/>
        <v>17056.5</v>
      </c>
      <c r="I16" s="115">
        <f>RATE(5,,-C16,H16)</f>
        <v>0.0003580191313337024</v>
      </c>
    </row>
    <row r="17" spans="1:9" s="9" customFormat="1" ht="14.25">
      <c r="A17" s="107" t="str">
        <f>Historical!A16</f>
        <v>Total Current Assets</v>
      </c>
      <c r="B17" s="114">
        <f>SUM(B11:B16)</f>
        <v>414206</v>
      </c>
      <c r="C17" s="231">
        <f>SUM(C11:C16)</f>
        <v>413547</v>
      </c>
      <c r="D17" s="111">
        <f>SUM(D12:D16)</f>
        <v>468217.9838220523</v>
      </c>
      <c r="E17" s="111">
        <f>SUM(E12:E16)</f>
        <v>479526.0580131549</v>
      </c>
      <c r="F17" s="111">
        <f>SUM(F12:F16)</f>
        <v>491399.5359138127</v>
      </c>
      <c r="G17" s="111">
        <f>SUM(G12:G16)</f>
        <v>503866.68770950334</v>
      </c>
      <c r="H17" s="111">
        <f>SUM(H12:H16)</f>
        <v>516957.19709497853</v>
      </c>
      <c r="I17" s="110">
        <f>RATE(5,,-C17,H17)</f>
        <v>0.045649038048585416</v>
      </c>
    </row>
    <row r="18" spans="1:9" s="9" customFormat="1" ht="14.25">
      <c r="A18" s="107"/>
      <c r="B18" s="114"/>
      <c r="C18" s="231"/>
      <c r="D18" s="111"/>
      <c r="E18" s="111"/>
      <c r="F18" s="111"/>
      <c r="G18" s="111"/>
      <c r="H18" s="111"/>
      <c r="I18" s="110"/>
    </row>
    <row r="19" spans="1:9" s="9" customFormat="1" ht="14.25">
      <c r="A19" s="109" t="str">
        <f>Historical!A18</f>
        <v>Plant &amp; Equipment:</v>
      </c>
      <c r="B19" s="114"/>
      <c r="C19" s="231"/>
      <c r="D19" s="111"/>
      <c r="E19" s="111"/>
      <c r="F19" s="111"/>
      <c r="G19" s="111"/>
      <c r="H19" s="111"/>
      <c r="I19" s="110"/>
    </row>
    <row r="20" spans="1:13" s="9" customFormat="1" ht="14.25">
      <c r="A20" s="107" t="str">
        <f>Historical!A19</f>
        <v>Plant in Service</v>
      </c>
      <c r="B20" s="235">
        <f>Historical!F19</f>
        <v>4784065</v>
      </c>
      <c r="C20" s="236">
        <f>Historical!G19</f>
        <v>5006010</v>
      </c>
      <c r="D20" s="111">
        <f>D23</f>
        <v>5375703.539866104</v>
      </c>
      <c r="E20" s="111">
        <f>E23</f>
        <v>7336621.434545484</v>
      </c>
      <c r="F20" s="111">
        <f>F23</f>
        <v>8058596.087734916</v>
      </c>
      <c r="G20" s="111">
        <f>G23</f>
        <v>8412255.28954746</v>
      </c>
      <c r="H20" s="111">
        <f>H23</f>
        <v>8781435.163902093</v>
      </c>
      <c r="I20" s="110">
        <f aca="true" t="shared" si="3" ref="I20:I27">RATE(5,,-C20,H20)</f>
        <v>0.11896050342857624</v>
      </c>
      <c r="L20" s="45"/>
      <c r="M20" s="45"/>
    </row>
    <row r="21" spans="1:12" s="9" customFormat="1" ht="14.25">
      <c r="A21" s="107" t="str">
        <f>Historical!A20</f>
        <v>  Construction Work in Progress</v>
      </c>
      <c r="B21" s="235">
        <f>Historical!F20</f>
        <v>0</v>
      </c>
      <c r="C21" s="236">
        <f>Historical!G20</f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0"/>
      <c r="L21" s="45"/>
    </row>
    <row r="22" spans="1:12" s="9" customFormat="1" ht="14.25">
      <c r="A22" s="107" t="str">
        <f>Historical!A21</f>
        <v>Other PP&amp;E</v>
      </c>
      <c r="B22" s="117">
        <f>Historical!F21</f>
        <v>0</v>
      </c>
      <c r="C22" s="236">
        <f>Historical!G21</f>
        <v>0</v>
      </c>
      <c r="D22" s="234">
        <f>C22</f>
        <v>0</v>
      </c>
      <c r="E22" s="234">
        <f>D22</f>
        <v>0</v>
      </c>
      <c r="F22" s="234">
        <f>E22</f>
        <v>0</v>
      </c>
      <c r="G22" s="234">
        <f>F22</f>
        <v>0</v>
      </c>
      <c r="H22" s="234">
        <f>G22</f>
        <v>0</v>
      </c>
      <c r="I22" s="115"/>
      <c r="L22" s="45"/>
    </row>
    <row r="23" spans="1:12" s="9" customFormat="1" ht="14.25">
      <c r="A23" s="107" t="str">
        <f>Historical!A22</f>
        <v>Total Plant &amp; Equipment:</v>
      </c>
      <c r="B23" s="114">
        <f>SUM(B19:B22)</f>
        <v>4784065</v>
      </c>
      <c r="C23" s="237">
        <f>SUM(C19:C22)</f>
        <v>5006010</v>
      </c>
      <c r="D23" s="111">
        <f>C23*(1+Assumptions!$D$41)+150000</f>
        <v>5375703.539866104</v>
      </c>
      <c r="E23" s="111">
        <f>D23*(1+Assumptions!$D$41)+125000+1600000</f>
        <v>7336621.434545484</v>
      </c>
      <c r="F23" s="111">
        <f>E23*(1+Assumptions!$D$41)+400000</f>
        <v>8058596.087734916</v>
      </c>
      <c r="G23" s="111">
        <f>F23*(1+Assumptions!$D$41)</f>
        <v>8412255.28954746</v>
      </c>
      <c r="H23" s="111">
        <f>G23*(1+Assumptions!$D$41)</f>
        <v>8781435.163902093</v>
      </c>
      <c r="I23" s="110">
        <f t="shared" si="3"/>
        <v>0.11896050342857624</v>
      </c>
      <c r="L23" s="45"/>
    </row>
    <row r="24" spans="1:12" s="9" customFormat="1" ht="7.5" customHeight="1">
      <c r="A24" s="107"/>
      <c r="B24" s="114"/>
      <c r="C24" s="231"/>
      <c r="D24" s="111"/>
      <c r="E24" s="111"/>
      <c r="F24" s="111"/>
      <c r="G24" s="111"/>
      <c r="H24" s="111"/>
      <c r="I24" s="110"/>
      <c r="L24" s="45"/>
    </row>
    <row r="25" spans="1:12" s="9" customFormat="1" ht="14.25">
      <c r="A25" s="107" t="str">
        <f>Historical!A24</f>
        <v>Accumulated Depreciation &amp; Amort.</v>
      </c>
      <c r="B25" s="114">
        <f>Historical!F24</f>
        <v>1597595</v>
      </c>
      <c r="C25" s="231">
        <f>Historical!G24</f>
        <v>1718918</v>
      </c>
      <c r="D25" s="111">
        <f>D23*Assumptions!$D$47-375000</f>
        <v>1920214.1418899433</v>
      </c>
      <c r="E25" s="111">
        <f>E23*Assumptions!$D$47-375000</f>
        <v>2757449.017209216</v>
      </c>
      <c r="F25" s="111">
        <f>F23*Assumptions!$D$47-350000</f>
        <v>3090703.8199150483</v>
      </c>
      <c r="G25" s="111">
        <f>G23*Assumptions!$D$47-325000</f>
        <v>3266702.3999873935</v>
      </c>
      <c r="H25" s="111">
        <f>H23*Assumptions!$D$47-325000</f>
        <v>3424327.6972598336</v>
      </c>
      <c r="I25" s="110">
        <f t="shared" si="3"/>
        <v>0.147794215815186</v>
      </c>
      <c r="L25" s="45"/>
    </row>
    <row r="26" spans="1:9" s="9" customFormat="1" ht="7.5" customHeight="1">
      <c r="A26" s="107"/>
      <c r="B26" s="114"/>
      <c r="C26" s="231"/>
      <c r="D26" s="111"/>
      <c r="E26" s="111"/>
      <c r="F26" s="111"/>
      <c r="G26" s="111"/>
      <c r="H26" s="111"/>
      <c r="I26" s="110"/>
    </row>
    <row r="27" spans="1:16" s="9" customFormat="1" ht="14.25">
      <c r="A27" s="107" t="str">
        <f>Historical!A26</f>
        <v>Net Plant &amp; Equipment</v>
      </c>
      <c r="B27" s="114">
        <f aca="true" t="shared" si="4" ref="B27:H27">B23-B25</f>
        <v>3186470</v>
      </c>
      <c r="C27" s="231">
        <f t="shared" si="4"/>
        <v>3287092</v>
      </c>
      <c r="D27" s="111">
        <f t="shared" si="4"/>
        <v>3455489.3979761605</v>
      </c>
      <c r="E27" s="111">
        <f t="shared" si="4"/>
        <v>4579172.417336268</v>
      </c>
      <c r="F27" s="111">
        <f t="shared" si="4"/>
        <v>4967892.267819868</v>
      </c>
      <c r="G27" s="111">
        <f t="shared" si="4"/>
        <v>5145552.889560066</v>
      </c>
      <c r="H27" s="111">
        <f t="shared" si="4"/>
        <v>5357107.466642259</v>
      </c>
      <c r="I27" s="110">
        <f t="shared" si="3"/>
        <v>0.10261450115251358</v>
      </c>
      <c r="K27" s="56"/>
      <c r="L27" s="56"/>
      <c r="M27" s="56"/>
      <c r="N27" s="56"/>
      <c r="O27" s="56"/>
      <c r="P27" s="56"/>
    </row>
    <row r="28" spans="1:9" s="9" customFormat="1" ht="7.5" customHeight="1">
      <c r="A28" s="107"/>
      <c r="B28" s="114"/>
      <c r="C28" s="231"/>
      <c r="D28" s="111"/>
      <c r="E28" s="111"/>
      <c r="F28" s="111"/>
      <c r="G28" s="111"/>
      <c r="H28" s="111"/>
      <c r="I28" s="110"/>
    </row>
    <row r="29" spans="1:9" s="9" customFormat="1" ht="12.75" customHeight="1">
      <c r="A29" s="109" t="str">
        <f>Historical!A28</f>
        <v>Other Assets:</v>
      </c>
      <c r="B29" s="114"/>
      <c r="C29" s="231"/>
      <c r="D29" s="111"/>
      <c r="E29" s="111"/>
      <c r="F29" s="111"/>
      <c r="G29" s="111"/>
      <c r="H29" s="111"/>
      <c r="I29" s="110"/>
    </row>
    <row r="30" spans="1:9" s="9" customFormat="1" ht="14.25">
      <c r="A30" s="107" t="str">
        <f>Historical!A29</f>
        <v>Regulatory Assets</v>
      </c>
      <c r="B30" s="114">
        <f>Historical!E29</f>
        <v>0</v>
      </c>
      <c r="C30" s="231">
        <f>Historical!F29</f>
        <v>0</v>
      </c>
      <c r="D30" s="111">
        <f>C30*(1+Assumptions!$D$49)</f>
        <v>0</v>
      </c>
      <c r="E30" s="111">
        <f>D30*(1+Assumptions!$D$49)</f>
        <v>0</v>
      </c>
      <c r="F30" s="111">
        <f>E30*(1+Assumptions!$D$49)</f>
        <v>0</v>
      </c>
      <c r="G30" s="111">
        <f>F30*(1+Assumptions!$D$49)</f>
        <v>0</v>
      </c>
      <c r="H30" s="111">
        <f>G30*(1+Assumptions!$D$49)</f>
        <v>0</v>
      </c>
      <c r="I30" s="110"/>
    </row>
    <row r="31" spans="1:9" s="9" customFormat="1" ht="14.25">
      <c r="A31" s="107" t="str">
        <f>Historical!A30</f>
        <v>Goodwill</v>
      </c>
      <c r="B31" s="235">
        <f>Historical!E30</f>
        <v>0</v>
      </c>
      <c r="C31" s="236">
        <f>Historical!F30</f>
        <v>0</v>
      </c>
      <c r="D31" s="111">
        <f>C31</f>
        <v>0</v>
      </c>
      <c r="E31" s="111">
        <f>D31</f>
        <v>0</v>
      </c>
      <c r="F31" s="111">
        <f>E31</f>
        <v>0</v>
      </c>
      <c r="G31" s="111">
        <f>F31</f>
        <v>0</v>
      </c>
      <c r="H31" s="111">
        <f>G31</f>
        <v>0</v>
      </c>
      <c r="I31" s="110"/>
    </row>
    <row r="32" spans="1:9" s="9" customFormat="1" ht="14.25">
      <c r="A32" s="107" t="str">
        <f>Historical!A31</f>
        <v>Investment in CFC and Others</v>
      </c>
      <c r="B32" s="113">
        <f>Historical!F31</f>
        <v>94038</v>
      </c>
      <c r="C32" s="233">
        <f>Historical!G31</f>
        <v>104855</v>
      </c>
      <c r="D32" s="234">
        <f>C32*(1+Assumptions!$D$51)</f>
        <v>111146.3</v>
      </c>
      <c r="E32" s="234">
        <f>D32*(1+Assumptions!$D$51)</f>
        <v>117815.07800000001</v>
      </c>
      <c r="F32" s="234">
        <f>E32*(1+Assumptions!$D$51)</f>
        <v>124883.98268000002</v>
      </c>
      <c r="G32" s="234">
        <f>F32*(1+Assumptions!$D$51)</f>
        <v>132377.02164080003</v>
      </c>
      <c r="H32" s="234">
        <f>G32*(1+Assumptions!$D$51)</f>
        <v>140319.64293924803</v>
      </c>
      <c r="I32" s="115">
        <f>RATE(5,,-C32,H32)</f>
        <v>0.06000000000000111</v>
      </c>
    </row>
    <row r="33" spans="1:9" s="9" customFormat="1" ht="14.25">
      <c r="A33" s="107" t="str">
        <f>Historical!A32</f>
        <v>Total Other Assets</v>
      </c>
      <c r="B33" s="118">
        <f aca="true" t="shared" si="5" ref="B33:H33">SUM(B30:B32)</f>
        <v>94038</v>
      </c>
      <c r="C33" s="233">
        <f t="shared" si="5"/>
        <v>104855</v>
      </c>
      <c r="D33" s="234">
        <f t="shared" si="5"/>
        <v>111146.3</v>
      </c>
      <c r="E33" s="234">
        <f t="shared" si="5"/>
        <v>117815.07800000001</v>
      </c>
      <c r="F33" s="234">
        <f t="shared" si="5"/>
        <v>124883.98268000002</v>
      </c>
      <c r="G33" s="234">
        <f t="shared" si="5"/>
        <v>132377.02164080003</v>
      </c>
      <c r="H33" s="234">
        <f t="shared" si="5"/>
        <v>140319.64293924803</v>
      </c>
      <c r="I33" s="115">
        <f>RATE(5,,-C33,H33)</f>
        <v>0.06000000000000111</v>
      </c>
    </row>
    <row r="34" spans="1:9" s="9" customFormat="1" ht="14.25">
      <c r="A34" s="107" t="str">
        <f>Historical!A33</f>
        <v>Total Non-Current Assets</v>
      </c>
      <c r="B34" s="113">
        <f aca="true" t="shared" si="6" ref="B34:H34">B27+B33</f>
        <v>3280508</v>
      </c>
      <c r="C34" s="233">
        <f t="shared" si="6"/>
        <v>3391947</v>
      </c>
      <c r="D34" s="234">
        <f t="shared" si="6"/>
        <v>3566635.6979761603</v>
      </c>
      <c r="E34" s="234">
        <f t="shared" si="6"/>
        <v>4696987.495336268</v>
      </c>
      <c r="F34" s="234">
        <f t="shared" si="6"/>
        <v>5092776.250499869</v>
      </c>
      <c r="G34" s="234">
        <f t="shared" si="6"/>
        <v>5277929.911200866</v>
      </c>
      <c r="H34" s="234">
        <f t="shared" si="6"/>
        <v>5497427.109581507</v>
      </c>
      <c r="I34" s="115">
        <f>RATE(5,,-C34,H34)</f>
        <v>0.10139242294255421</v>
      </c>
    </row>
    <row r="35" spans="1:9" s="9" customFormat="1" ht="15" thickBot="1">
      <c r="A35" s="107" t="str">
        <f>Historical!A34</f>
        <v>Total Assets</v>
      </c>
      <c r="B35" s="120">
        <f>B34+B17</f>
        <v>3694714</v>
      </c>
      <c r="C35" s="238">
        <f>C34+C17</f>
        <v>3805494</v>
      </c>
      <c r="D35" s="239">
        <f>D17+D34</f>
        <v>4034853.6817982127</v>
      </c>
      <c r="E35" s="239">
        <f>E17+E34</f>
        <v>5176513.553349423</v>
      </c>
      <c r="F35" s="239">
        <f>F17+F34</f>
        <v>5584175.786413682</v>
      </c>
      <c r="G35" s="239">
        <f>G17+G34</f>
        <v>5781796.598910369</v>
      </c>
      <c r="H35" s="239">
        <f>H17+H34</f>
        <v>6014384.306676486</v>
      </c>
      <c r="I35" s="115">
        <f>RATE(5,,-C35,H35)</f>
        <v>0.09586240142021552</v>
      </c>
    </row>
    <row r="36" spans="1:9" s="9" customFormat="1" ht="15" thickTop="1">
      <c r="A36" s="107"/>
      <c r="B36" s="114"/>
      <c r="C36" s="231"/>
      <c r="D36" s="111"/>
      <c r="E36" s="111"/>
      <c r="F36" s="111"/>
      <c r="G36" s="111"/>
      <c r="H36" s="111"/>
      <c r="I36" s="240"/>
    </row>
    <row r="37" spans="1:9" s="9" customFormat="1" ht="14.25">
      <c r="A37" s="109" t="str">
        <f>Historical!A36</f>
        <v>Current Liabilities:</v>
      </c>
      <c r="B37" s="114"/>
      <c r="C37" s="231"/>
      <c r="D37" s="111"/>
      <c r="E37" s="111"/>
      <c r="F37" s="111"/>
      <c r="G37" s="111"/>
      <c r="H37" s="111"/>
      <c r="I37" s="110"/>
    </row>
    <row r="38" spans="1:9" s="9" customFormat="1" ht="14.25">
      <c r="A38" s="107" t="str">
        <f>Historical!A37</f>
        <v>Current Portion of LTD</v>
      </c>
      <c r="B38" s="114">
        <f>Historical!F37</f>
        <v>37952</v>
      </c>
      <c r="C38" s="231">
        <f>Historical!G37</f>
        <v>39923</v>
      </c>
      <c r="D38" s="111">
        <f>C46*Assumptions!$D$53</f>
        <v>37844.866578940935</v>
      </c>
      <c r="E38" s="111">
        <f>(D46+D49)*Assumptions!$D$53</f>
        <v>37669.637848995015</v>
      </c>
      <c r="F38" s="111">
        <f>(E46+E49)*Assumptions!$D$53</f>
        <v>59028.07551508396</v>
      </c>
      <c r="G38" s="111">
        <f>(F46+F49)*Assumptions!$D$53</f>
        <v>64530.21992176926</v>
      </c>
      <c r="H38" s="111">
        <f>(G46+G49)*Assumptions!$D$53</f>
        <v>65720.30523743673</v>
      </c>
      <c r="I38" s="110">
        <f aca="true" t="shared" si="7" ref="I38:I60">RATE(5,,-C38,H38)</f>
        <v>0.10482954787051631</v>
      </c>
    </row>
    <row r="39" spans="1:9" s="9" customFormat="1" ht="14.25">
      <c r="A39" s="107" t="str">
        <f>Historical!A38</f>
        <v>Acounts Payable</v>
      </c>
      <c r="B39" s="114">
        <f>Historical!F38</f>
        <v>327882</v>
      </c>
      <c r="C39" s="231">
        <f>Historical!G38</f>
        <v>304483</v>
      </c>
      <c r="D39" s="111">
        <f>D35*Assumptions!$D$54</f>
        <v>340450.79730119073</v>
      </c>
      <c r="E39" s="111">
        <f>E35*Assumptions!$D$54</f>
        <v>436781.1835230678</v>
      </c>
      <c r="F39" s="111">
        <f>F35*Assumptions!$D$54</f>
        <v>471178.69659830193</v>
      </c>
      <c r="G39" s="111">
        <f>G35*Assumptions!$D$54</f>
        <v>487853.44331373216</v>
      </c>
      <c r="H39" s="111">
        <f>H35*Assumptions!$D$54</f>
        <v>507478.6086347558</v>
      </c>
      <c r="I39" s="110">
        <f t="shared" si="7"/>
        <v>0.1075693734265834</v>
      </c>
    </row>
    <row r="40" spans="1:9" s="9" customFormat="1" ht="14.25">
      <c r="A40" s="107" t="str">
        <f>Historical!A39</f>
        <v>Accrued Expenses</v>
      </c>
      <c r="B40" s="114">
        <f>Historical!F39</f>
        <v>103476</v>
      </c>
      <c r="C40" s="231">
        <f>Historical!G39</f>
        <v>34174</v>
      </c>
      <c r="D40" s="111">
        <f>Assumptions!D55</f>
        <v>100825</v>
      </c>
      <c r="E40" s="111">
        <f aca="true" t="shared" si="8" ref="E40:H42">D40</f>
        <v>100825</v>
      </c>
      <c r="F40" s="111">
        <f t="shared" si="8"/>
        <v>100825</v>
      </c>
      <c r="G40" s="111">
        <f t="shared" si="8"/>
        <v>100825</v>
      </c>
      <c r="H40" s="111">
        <f t="shared" si="8"/>
        <v>100825</v>
      </c>
      <c r="I40" s="110">
        <f t="shared" si="7"/>
        <v>0.24157935670880173</v>
      </c>
    </row>
    <row r="41" spans="1:9" s="9" customFormat="1" ht="14.25">
      <c r="A41" s="107" t="str">
        <f>Historical!A40</f>
        <v>Customer Deposits</v>
      </c>
      <c r="B41" s="114">
        <f>Historical!F40</f>
        <v>1740</v>
      </c>
      <c r="C41" s="231">
        <f>Historical!G40</f>
        <v>1340</v>
      </c>
      <c r="D41" s="111">
        <v>1615</v>
      </c>
      <c r="E41" s="111">
        <f t="shared" si="8"/>
        <v>1615</v>
      </c>
      <c r="F41" s="111">
        <f t="shared" si="8"/>
        <v>1615</v>
      </c>
      <c r="G41" s="111">
        <f t="shared" si="8"/>
        <v>1615</v>
      </c>
      <c r="H41" s="111">
        <f t="shared" si="8"/>
        <v>1615</v>
      </c>
      <c r="I41" s="110">
        <f t="shared" si="7"/>
        <v>0.03803870130474131</v>
      </c>
    </row>
    <row r="42" spans="1:9" s="9" customFormat="1" ht="14.25">
      <c r="A42" s="107" t="str">
        <f>Historical!A41</f>
        <v>Perpetual Line of Credit</v>
      </c>
      <c r="B42" s="114">
        <f>Historical!F41</f>
        <v>250000</v>
      </c>
      <c r="C42" s="231">
        <f>Historical!G41</f>
        <v>250000</v>
      </c>
      <c r="D42" s="111">
        <f>C42</f>
        <v>250000</v>
      </c>
      <c r="E42" s="111">
        <f t="shared" si="8"/>
        <v>250000</v>
      </c>
      <c r="F42" s="111">
        <f t="shared" si="8"/>
        <v>250000</v>
      </c>
      <c r="G42" s="111">
        <f t="shared" si="8"/>
        <v>250000</v>
      </c>
      <c r="H42" s="111">
        <f t="shared" si="8"/>
        <v>250000</v>
      </c>
      <c r="I42" s="110"/>
    </row>
    <row r="43" spans="1:9" s="9" customFormat="1" ht="14.25">
      <c r="A43" s="107" t="str">
        <f>Historical!A42</f>
        <v>Other Current and Accrued Liabilities</v>
      </c>
      <c r="B43" s="113">
        <f>Historical!F42</f>
        <v>0</v>
      </c>
      <c r="C43" s="233">
        <f>Historical!G42</f>
        <v>0</v>
      </c>
      <c r="D43" s="234">
        <v>0</v>
      </c>
      <c r="E43" s="234">
        <v>0</v>
      </c>
      <c r="F43" s="234">
        <v>0</v>
      </c>
      <c r="G43" s="234">
        <v>0</v>
      </c>
      <c r="H43" s="234">
        <v>0</v>
      </c>
      <c r="I43" s="115"/>
    </row>
    <row r="44" spans="1:9" s="9" customFormat="1" ht="14.25">
      <c r="A44" s="107" t="str">
        <f>Historical!A43</f>
        <v>Total Current Liabilities</v>
      </c>
      <c r="B44" s="114">
        <f aca="true" t="shared" si="9" ref="B44:H44">SUM(B37:B43)</f>
        <v>721050</v>
      </c>
      <c r="C44" s="231">
        <f t="shared" si="9"/>
        <v>629920</v>
      </c>
      <c r="D44" s="111">
        <f t="shared" si="9"/>
        <v>730735.6638801317</v>
      </c>
      <c r="E44" s="111">
        <f t="shared" si="9"/>
        <v>826890.8213720628</v>
      </c>
      <c r="F44" s="111">
        <f t="shared" si="9"/>
        <v>882646.7721133858</v>
      </c>
      <c r="G44" s="111">
        <f t="shared" si="9"/>
        <v>904823.6632355014</v>
      </c>
      <c r="H44" s="111">
        <f t="shared" si="9"/>
        <v>925638.9138721925</v>
      </c>
      <c r="I44" s="110">
        <f t="shared" si="7"/>
        <v>0.0800186158829122</v>
      </c>
    </row>
    <row r="45" spans="1:9" s="9" customFormat="1" ht="14.25">
      <c r="A45" s="107"/>
      <c r="B45" s="114"/>
      <c r="C45" s="231"/>
      <c r="D45" s="111"/>
      <c r="E45" s="111"/>
      <c r="F45" s="111"/>
      <c r="G45" s="111"/>
      <c r="H45" s="111"/>
      <c r="I45" s="110"/>
    </row>
    <row r="46" spans="1:9" s="9" customFormat="1" ht="14.25">
      <c r="A46" s="107" t="str">
        <f>Historical!A45</f>
        <v>Long-Term Debt</v>
      </c>
      <c r="B46" s="114">
        <f>Historical!F45</f>
        <v>1593821</v>
      </c>
      <c r="C46" s="231">
        <f>Historical!G45</f>
        <v>1553898</v>
      </c>
      <c r="D46" s="111">
        <f>C46*(1+Assumptions!$D$60)</f>
        <v>1516053.1334210592</v>
      </c>
      <c r="E46" s="111">
        <f>D46*(1+Assumptions!$D$60)</f>
        <v>1479129.9707933287</v>
      </c>
      <c r="F46" s="111">
        <f>E46*(1+Assumptions!$D$60)</f>
        <v>1443106.0642064188</v>
      </c>
      <c r="G46" s="111">
        <f>F46*(1+Assumptions!$D$60)</f>
        <v>1407959.5124641857</v>
      </c>
      <c r="H46" s="111">
        <f>G46*(1+Assumptions!$D$60)</f>
        <v>1373668.947769619</v>
      </c>
      <c r="I46" s="110">
        <f t="shared" si="7"/>
        <v>-0.024354794573982267</v>
      </c>
    </row>
    <row r="47" spans="1:9" s="9" customFormat="1" ht="14.25">
      <c r="A47" s="107" t="str">
        <f>Historical!A46</f>
        <v>Deferred Income Taxes</v>
      </c>
      <c r="B47" s="114">
        <f>Historical!F46</f>
        <v>0</v>
      </c>
      <c r="C47" s="231">
        <f>Historical!G46</f>
        <v>0</v>
      </c>
      <c r="D47" s="111">
        <f>D20*Assumptions!$D$61</f>
        <v>0</v>
      </c>
      <c r="E47" s="111">
        <f>E20*Assumptions!$D$61</f>
        <v>0</v>
      </c>
      <c r="F47" s="111">
        <f>F20*Assumptions!$D$61</f>
        <v>0</v>
      </c>
      <c r="G47" s="111">
        <f>G20*Assumptions!$D$61</f>
        <v>0</v>
      </c>
      <c r="H47" s="111">
        <f>H20*Assumptions!$D$61</f>
        <v>0</v>
      </c>
      <c r="I47" s="110"/>
    </row>
    <row r="48" spans="1:9" s="9" customFormat="1" ht="14.25">
      <c r="A48" s="107" t="str">
        <f>Historical!A47</f>
        <v>Other Deferred Credits</v>
      </c>
      <c r="B48" s="114">
        <f>Historical!F47</f>
        <v>4243</v>
      </c>
      <c r="C48" s="231">
        <f>Historical!G47</f>
        <v>2830</v>
      </c>
      <c r="D48" s="111">
        <f>C48+Assumptions!$D$62</f>
        <v>1417</v>
      </c>
      <c r="E48" s="111">
        <f>D48+Assumptions!$D$62</f>
        <v>4</v>
      </c>
      <c r="F48" s="111">
        <v>0</v>
      </c>
      <c r="G48" s="111">
        <v>0</v>
      </c>
      <c r="H48" s="111">
        <v>0</v>
      </c>
      <c r="I48" s="110"/>
    </row>
    <row r="49" spans="1:20" s="9" customFormat="1" ht="15">
      <c r="A49" s="232" t="s">
        <v>2</v>
      </c>
      <c r="B49" s="113">
        <v>0</v>
      </c>
      <c r="C49" s="231">
        <v>0</v>
      </c>
      <c r="D49" s="234">
        <f>M63</f>
        <v>30650.03157583994</v>
      </c>
      <c r="E49" s="234">
        <f>N63</f>
        <v>944543.747244235</v>
      </c>
      <c r="F49" s="234">
        <f>O63</f>
        <v>1206483.9263878942</v>
      </c>
      <c r="G49" s="234">
        <f>P63</f>
        <v>1290494.9970036887</v>
      </c>
      <c r="H49" s="234">
        <f>Q63</f>
        <v>1395471.427810094</v>
      </c>
      <c r="I49" s="115"/>
      <c r="K49" s="9">
        <v>3037921.503793516</v>
      </c>
      <c r="L49" s="9">
        <v>8370769.476678179</v>
      </c>
      <c r="M49" s="9">
        <v>13081620.529493634</v>
      </c>
      <c r="N49" s="9">
        <v>20592463.36250205</v>
      </c>
      <c r="O49" s="9">
        <v>28031238.290550627</v>
      </c>
      <c r="P49" s="9">
        <v>30717985.69548873</v>
      </c>
      <c r="Q49" s="9">
        <v>30512541.736346092</v>
      </c>
      <c r="R49" s="9">
        <v>30331849.217543766</v>
      </c>
      <c r="S49" s="9">
        <v>30279810.223097302</v>
      </c>
      <c r="T49" s="9">
        <v>30250418.783671677</v>
      </c>
    </row>
    <row r="50" spans="1:20" s="9" customFormat="1" ht="14.25">
      <c r="A50" s="107" t="str">
        <f>Historical!A48</f>
        <v>Total LTD &amp; Deferrals</v>
      </c>
      <c r="B50" s="114">
        <f aca="true" t="shared" si="10" ref="B50:H50">SUM(B46:B49)</f>
        <v>1598064</v>
      </c>
      <c r="C50" s="237">
        <f t="shared" si="10"/>
        <v>1556728</v>
      </c>
      <c r="D50" s="111">
        <f t="shared" si="10"/>
        <v>1548120.1649968992</v>
      </c>
      <c r="E50" s="111">
        <f t="shared" si="10"/>
        <v>2423677.718037564</v>
      </c>
      <c r="F50" s="111">
        <f t="shared" si="10"/>
        <v>2649589.990594313</v>
      </c>
      <c r="G50" s="111">
        <f t="shared" si="10"/>
        <v>2698454.5094678747</v>
      </c>
      <c r="H50" s="111">
        <f t="shared" si="10"/>
        <v>2769140.375579713</v>
      </c>
      <c r="I50" s="110">
        <f t="shared" si="7"/>
        <v>0.12208678335607225</v>
      </c>
      <c r="K50" s="40">
        <f>K49/L49</f>
        <v>0.3629202204477709</v>
      </c>
      <c r="L50" s="40">
        <f aca="true" t="shared" si="11" ref="L50:T50">L49/M49</f>
        <v>0.6398878073099248</v>
      </c>
      <c r="M50" s="40">
        <f t="shared" si="11"/>
        <v>0.6352625375220857</v>
      </c>
      <c r="N50" s="40">
        <f t="shared" si="11"/>
        <v>0.7346255327380168</v>
      </c>
      <c r="O50" s="40">
        <f t="shared" si="11"/>
        <v>0.9125350395181452</v>
      </c>
      <c r="P50" s="40">
        <f t="shared" si="11"/>
        <v>1.006733098832534</v>
      </c>
      <c r="Q50" s="40">
        <f t="shared" si="11"/>
        <v>1.005957187690944</v>
      </c>
      <c r="R50" s="40">
        <f t="shared" si="11"/>
        <v>1.001718603718552</v>
      </c>
      <c r="S50" s="40">
        <f t="shared" si="11"/>
        <v>1.0009716043812753</v>
      </c>
      <c r="T50" s="40" t="e">
        <f t="shared" si="11"/>
        <v>#DIV/0!</v>
      </c>
    </row>
    <row r="51" spans="1:9" s="9" customFormat="1" ht="7.5" customHeight="1">
      <c r="A51" s="107"/>
      <c r="B51" s="114"/>
      <c r="C51" s="231"/>
      <c r="D51" s="111"/>
      <c r="E51" s="111"/>
      <c r="F51" s="111"/>
      <c r="G51" s="111"/>
      <c r="H51" s="111"/>
      <c r="I51" s="110"/>
    </row>
    <row r="52" spans="1:19" s="9" customFormat="1" ht="14.25">
      <c r="A52" s="107" t="str">
        <f>Historical!A50</f>
        <v>Total Liabilities</v>
      </c>
      <c r="B52" s="114">
        <f>Historical!F50</f>
        <v>2319114</v>
      </c>
      <c r="C52" s="231">
        <f>Historical!G50</f>
        <v>2186648</v>
      </c>
      <c r="D52" s="111">
        <f>D44+D50</f>
        <v>2278855.828877031</v>
      </c>
      <c r="E52" s="111">
        <f>E44+E50</f>
        <v>3250568.5394096267</v>
      </c>
      <c r="F52" s="111">
        <f>F44+F50</f>
        <v>3532236.762707699</v>
      </c>
      <c r="G52" s="111">
        <f>G44+G50</f>
        <v>3603278.172703376</v>
      </c>
      <c r="H52" s="111">
        <f>H44+H50</f>
        <v>3694779.2894519055</v>
      </c>
      <c r="I52" s="110">
        <f t="shared" si="7"/>
        <v>0.11061088251274684</v>
      </c>
      <c r="K52" s="40">
        <f>1-K50</f>
        <v>0.6370797795522292</v>
      </c>
      <c r="L52" s="40">
        <f aca="true" t="shared" si="12" ref="L52:S52">1-L50</f>
        <v>0.3601121926900752</v>
      </c>
      <c r="M52" s="40">
        <f t="shared" si="12"/>
        <v>0.3647374624779143</v>
      </c>
      <c r="N52" s="40">
        <f t="shared" si="12"/>
        <v>0.2653744672619832</v>
      </c>
      <c r="O52" s="40">
        <f t="shared" si="12"/>
        <v>0.08746496048185481</v>
      </c>
      <c r="P52" s="40">
        <f t="shared" si="12"/>
        <v>-0.006733098832534035</v>
      </c>
      <c r="Q52" s="40">
        <f t="shared" si="12"/>
        <v>-0.00595718769094411</v>
      </c>
      <c r="R52" s="40">
        <f t="shared" si="12"/>
        <v>-0.0017186037185519254</v>
      </c>
      <c r="S52" s="40">
        <f t="shared" si="12"/>
        <v>-0.0009716043812753039</v>
      </c>
    </row>
    <row r="53" spans="1:9" s="9" customFormat="1" ht="7.5" customHeight="1">
      <c r="A53" s="107"/>
      <c r="B53" s="114"/>
      <c r="C53" s="231"/>
      <c r="D53" s="111"/>
      <c r="E53" s="111"/>
      <c r="F53" s="111"/>
      <c r="G53" s="111"/>
      <c r="H53" s="111"/>
      <c r="I53" s="110"/>
    </row>
    <row r="54" spans="1:9" s="9" customFormat="1" ht="14.25">
      <c r="A54" s="107" t="str">
        <f>Historical!A52</f>
        <v>Deferred Revenue - Impact Fees</v>
      </c>
      <c r="B54" s="114">
        <f>Historical!F52</f>
        <v>104709</v>
      </c>
      <c r="C54" s="231">
        <f>Historical!G52</f>
        <v>129809</v>
      </c>
      <c r="D54" s="111">
        <f>D60*Assumptions!$D$65</f>
        <v>114098.74290974192</v>
      </c>
      <c r="E54" s="111">
        <f>E60*Assumptions!$D$65</f>
        <v>146382.92628394387</v>
      </c>
      <c r="F54" s="111">
        <f>F60*Assumptions!$D$65</f>
        <v>157910.91509978345</v>
      </c>
      <c r="G54" s="111">
        <f>G60*Assumptions!$D$65</f>
        <v>163499.2927064635</v>
      </c>
      <c r="H54" s="111">
        <f>H60*Assumptions!$D$65</f>
        <v>170076.47409974417</v>
      </c>
      <c r="I54" s="110">
        <f t="shared" si="7"/>
        <v>0.05552345404161498</v>
      </c>
    </row>
    <row r="55" spans="1:9" s="9" customFormat="1" ht="7.5" customHeight="1">
      <c r="A55" s="107"/>
      <c r="B55" s="114"/>
      <c r="C55" s="231"/>
      <c r="D55" s="111"/>
      <c r="E55" s="111"/>
      <c r="F55" s="111"/>
      <c r="G55" s="111"/>
      <c r="H55" s="111"/>
      <c r="I55" s="110"/>
    </row>
    <row r="56" spans="1:9" s="9" customFormat="1" ht="14.25">
      <c r="A56" s="109" t="str">
        <f>Historical!A54</f>
        <v>Common Equity:</v>
      </c>
      <c r="B56" s="114"/>
      <c r="C56" s="231"/>
      <c r="D56" s="111"/>
      <c r="E56" s="111"/>
      <c r="F56" s="111"/>
      <c r="G56" s="111"/>
      <c r="H56" s="111"/>
      <c r="I56" s="110"/>
    </row>
    <row r="57" spans="1:9" s="9" customFormat="1" ht="14.25">
      <c r="A57" s="107" t="str">
        <f>Historical!A55</f>
        <v>Patrons Capital</v>
      </c>
      <c r="B57" s="114">
        <f>Historical!F55</f>
        <v>1270891</v>
      </c>
      <c r="C57" s="231">
        <f>Historical!G55</f>
        <v>1489037</v>
      </c>
      <c r="D57" s="111">
        <f>C57+Assumptions!$D$67</f>
        <v>1489037</v>
      </c>
      <c r="E57" s="111">
        <f>D57+Assumptions!$D$67</f>
        <v>1489037</v>
      </c>
      <c r="F57" s="111">
        <f>E57+Assumptions!$D$67</f>
        <v>1489037</v>
      </c>
      <c r="G57" s="111">
        <f>F57+Assumptions!$D$67</f>
        <v>1489037</v>
      </c>
      <c r="H57" s="111">
        <f>G57+Assumptions!$D$67</f>
        <v>1489037</v>
      </c>
      <c r="I57" s="110">
        <f t="shared" si="7"/>
        <v>1.6639719468716006E-16</v>
      </c>
    </row>
    <row r="58" spans="1:14" s="9" customFormat="1" ht="14.25">
      <c r="A58" s="107" t="str">
        <f>Historical!A56</f>
        <v>Retained Earnings</v>
      </c>
      <c r="B58" s="113">
        <f>Historical!F56</f>
        <v>0</v>
      </c>
      <c r="C58" s="233">
        <f>Historical!G56</f>
        <v>0</v>
      </c>
      <c r="D58" s="234">
        <f>C58+(IF(D99&gt;D101,(D99-D101-D102),D99))</f>
        <v>152862.10887854826</v>
      </c>
      <c r="E58" s="234">
        <f>D58+(IF(E99&gt;E101,(E99-E101+E102),E99))</f>
        <v>290525.0860058118</v>
      </c>
      <c r="F58" s="234">
        <f>E58+(IF(F99&gt;F101,(F99-F101+F102),F99))</f>
        <v>404991.10511079384</v>
      </c>
      <c r="G58" s="234">
        <f>F58+(IF(G99&gt;G101,(G99-G101+G102),G99))</f>
        <v>525982.1272969989</v>
      </c>
      <c r="H58" s="234">
        <f>G58+(IF(H99&gt;H101,(H99-H101+H102),H99))</f>
        <v>660491.5325714371</v>
      </c>
      <c r="I58" s="115"/>
      <c r="K58" s="93"/>
      <c r="L58" s="45"/>
      <c r="M58" s="45"/>
      <c r="N58" s="45"/>
    </row>
    <row r="59" spans="1:18" s="9" customFormat="1" ht="14.25">
      <c r="A59" s="107" t="str">
        <f>Historical!A57</f>
        <v>Total Patronage Equity</v>
      </c>
      <c r="B59" s="118">
        <f>SUM(B56:B58)</f>
        <v>1270891</v>
      </c>
      <c r="C59" s="233">
        <f>SUM(C56:C58)</f>
        <v>1489037</v>
      </c>
      <c r="D59" s="234">
        <f>SUM(D57:D58)</f>
        <v>1641899.1088785483</v>
      </c>
      <c r="E59" s="234">
        <f>SUM(E57:E58)</f>
        <v>1779562.0860058118</v>
      </c>
      <c r="F59" s="234">
        <f>SUM(F57:F58)</f>
        <v>1894028.1051107938</v>
      </c>
      <c r="G59" s="234">
        <f>SUM(G57:G58)</f>
        <v>2015019.1272969989</v>
      </c>
      <c r="H59" s="234">
        <f>SUM(H57:H58)</f>
        <v>2149528.532571437</v>
      </c>
      <c r="I59" s="119">
        <f t="shared" si="7"/>
        <v>0.07618651277280541</v>
      </c>
      <c r="K59" s="9">
        <f aca="true" t="shared" si="13" ref="K59:P59">C59-B59</f>
        <v>218146</v>
      </c>
      <c r="L59" s="9">
        <f t="shared" si="13"/>
        <v>152862.10887854826</v>
      </c>
      <c r="M59" s="9">
        <f t="shared" si="13"/>
        <v>137662.97712726356</v>
      </c>
      <c r="N59" s="9">
        <f t="shared" si="13"/>
        <v>114466.01910498203</v>
      </c>
      <c r="O59" s="9">
        <f t="shared" si="13"/>
        <v>120991.02218620502</v>
      </c>
      <c r="P59" s="9">
        <f t="shared" si="13"/>
        <v>134509.40527443797</v>
      </c>
      <c r="R59" s="9">
        <f>AVERAGE(K59:P59)</f>
        <v>146439.58876190614</v>
      </c>
    </row>
    <row r="60" spans="1:9" s="9" customFormat="1" ht="15" thickBot="1">
      <c r="A60" s="107" t="str">
        <f>Historical!A58</f>
        <v>Total Liabilities &amp; Equity</v>
      </c>
      <c r="B60" s="241">
        <f aca="true" t="shared" si="14" ref="B60:H60">B52+B54+B59</f>
        <v>3694714</v>
      </c>
      <c r="C60" s="238">
        <f t="shared" si="14"/>
        <v>3805494</v>
      </c>
      <c r="D60" s="239">
        <f t="shared" si="14"/>
        <v>4034853.680665321</v>
      </c>
      <c r="E60" s="239">
        <f t="shared" si="14"/>
        <v>5176513.551699382</v>
      </c>
      <c r="F60" s="239">
        <f t="shared" si="14"/>
        <v>5584175.782918276</v>
      </c>
      <c r="G60" s="239">
        <f t="shared" si="14"/>
        <v>5781796.592706839</v>
      </c>
      <c r="H60" s="239">
        <f t="shared" si="14"/>
        <v>6014384.2961230865</v>
      </c>
      <c r="I60" s="110">
        <f t="shared" si="7"/>
        <v>0.09586240103563506</v>
      </c>
    </row>
    <row r="61" spans="1:9" s="9" customFormat="1" ht="15" thickTop="1">
      <c r="A61" s="107"/>
      <c r="B61" s="114"/>
      <c r="C61" s="111"/>
      <c r="D61" s="111"/>
      <c r="E61" s="111"/>
      <c r="F61" s="111"/>
      <c r="G61" s="111"/>
      <c r="H61" s="111"/>
      <c r="I61" s="240"/>
    </row>
    <row r="62" spans="1:22" s="9" customFormat="1" ht="14.25">
      <c r="A62" s="242"/>
      <c r="B62" s="107"/>
      <c r="C62" s="107"/>
      <c r="D62" s="107"/>
      <c r="E62" s="107"/>
      <c r="F62" s="107"/>
      <c r="G62" s="107"/>
      <c r="H62" s="107"/>
      <c r="I62" s="107"/>
      <c r="L62" s="9">
        <f aca="true" t="shared" si="15" ref="L62:Q62">IF(C35&lt;C60,(((C60-C35)*0.05)+C13),0)</f>
        <v>0</v>
      </c>
      <c r="M62" s="9">
        <f t="shared" si="15"/>
        <v>0</v>
      </c>
      <c r="N62" s="9">
        <f t="shared" si="15"/>
        <v>0</v>
      </c>
      <c r="O62" s="9">
        <f t="shared" si="15"/>
        <v>0</v>
      </c>
      <c r="P62" s="9">
        <f t="shared" si="15"/>
        <v>0</v>
      </c>
      <c r="Q62" s="9">
        <f t="shared" si="15"/>
        <v>0</v>
      </c>
      <c r="V62" s="14"/>
    </row>
    <row r="63" spans="1:22" s="9" customFormat="1" ht="14.25">
      <c r="A63" s="242"/>
      <c r="B63" s="107"/>
      <c r="C63" s="107"/>
      <c r="D63" s="107"/>
      <c r="E63" s="107"/>
      <c r="F63" s="107"/>
      <c r="G63" s="107"/>
      <c r="H63" s="107"/>
      <c r="I63" s="107"/>
      <c r="L63" s="9">
        <f aca="true" t="shared" si="16" ref="L63:Q63">IF(C35&gt;C60,(((C35-C60)*0.05)+C49),0)</f>
        <v>0</v>
      </c>
      <c r="M63" s="9">
        <f t="shared" si="16"/>
        <v>30650.031632484515</v>
      </c>
      <c r="N63" s="9">
        <f t="shared" si="16"/>
        <v>944543.747326737</v>
      </c>
      <c r="O63" s="9">
        <f t="shared" si="16"/>
        <v>1206483.9265626646</v>
      </c>
      <c r="P63" s="9">
        <f t="shared" si="16"/>
        <v>1290494.9973138652</v>
      </c>
      <c r="Q63" s="9">
        <f t="shared" si="16"/>
        <v>1395471.428337764</v>
      </c>
      <c r="V63" s="14"/>
    </row>
    <row r="64" spans="1:9" s="9" customFormat="1" ht="14.25">
      <c r="A64" s="107"/>
      <c r="B64" s="107"/>
      <c r="C64" s="107"/>
      <c r="D64" s="107"/>
      <c r="E64" s="107"/>
      <c r="F64" s="107"/>
      <c r="G64" s="107"/>
      <c r="H64" s="107"/>
      <c r="I64" s="110"/>
    </row>
    <row r="65" spans="1:9" s="9" customFormat="1" ht="14.25">
      <c r="A65" s="107"/>
      <c r="B65" s="123"/>
      <c r="C65" s="107"/>
      <c r="D65" s="107"/>
      <c r="E65" s="107"/>
      <c r="F65" s="107"/>
      <c r="G65" s="107"/>
      <c r="H65" s="107"/>
      <c r="I65" s="106" t="str">
        <f>I1</f>
        <v>Exhibit 2</v>
      </c>
    </row>
    <row r="66" spans="1:9" s="9" customFormat="1" ht="14.25">
      <c r="A66" s="107"/>
      <c r="B66" s="123"/>
      <c r="C66" s="107"/>
      <c r="D66" s="107"/>
      <c r="E66" s="107"/>
      <c r="F66" s="107"/>
      <c r="G66" s="107"/>
      <c r="H66" s="107"/>
      <c r="I66" s="106" t="s">
        <v>128</v>
      </c>
    </row>
    <row r="67" spans="1:9" s="9" customFormat="1" ht="15.75">
      <c r="A67" s="67" t="str">
        <f>A3</f>
        <v>Flowell Electric Association, Inc.</v>
      </c>
      <c r="B67" s="103"/>
      <c r="C67" s="67"/>
      <c r="D67" s="67"/>
      <c r="E67" s="67"/>
      <c r="F67" s="71"/>
      <c r="G67" s="57"/>
      <c r="H67" s="57"/>
      <c r="I67" s="58"/>
    </row>
    <row r="68" spans="1:9" s="9" customFormat="1" ht="15.75">
      <c r="A68" s="67" t="s">
        <v>56</v>
      </c>
      <c r="B68" s="103"/>
      <c r="C68" s="67"/>
      <c r="D68" s="67"/>
      <c r="E68" s="67"/>
      <c r="F68" s="71"/>
      <c r="G68" s="57"/>
      <c r="H68" s="57"/>
      <c r="I68" s="58"/>
    </row>
    <row r="69" spans="1:9" s="9" customFormat="1" ht="15.75">
      <c r="A69" s="96">
        <f>A5</f>
        <v>40393.510978125</v>
      </c>
      <c r="B69" s="103"/>
      <c r="C69" s="67"/>
      <c r="D69" s="67"/>
      <c r="E69" s="67"/>
      <c r="F69" s="71"/>
      <c r="G69" s="57"/>
      <c r="H69" s="57"/>
      <c r="I69" s="58"/>
    </row>
    <row r="70" spans="1:9" s="9" customFormat="1" ht="12.75">
      <c r="A70" s="73"/>
      <c r="B70" s="65"/>
      <c r="C70" s="36"/>
      <c r="D70" s="36"/>
      <c r="E70" s="36"/>
      <c r="F70" s="36"/>
      <c r="G70" s="36"/>
      <c r="H70" s="36"/>
      <c r="I70" s="64"/>
    </row>
    <row r="71" spans="1:9" s="9" customFormat="1" ht="12.75">
      <c r="A71" s="36"/>
      <c r="B71" s="65"/>
      <c r="C71" s="36"/>
      <c r="D71" s="36"/>
      <c r="E71" s="36"/>
      <c r="F71" s="36"/>
      <c r="G71" s="36"/>
      <c r="H71" s="36"/>
      <c r="I71" s="64"/>
    </row>
    <row r="72" spans="1:9" s="9" customFormat="1" ht="15">
      <c r="A72" s="107"/>
      <c r="B72" s="221" t="s">
        <v>18</v>
      </c>
      <c r="C72" s="222" t="s">
        <v>18</v>
      </c>
      <c r="D72" s="223" t="s">
        <v>59</v>
      </c>
      <c r="E72" s="223" t="s">
        <v>59</v>
      </c>
      <c r="F72" s="223" t="s">
        <v>59</v>
      </c>
      <c r="G72" s="223" t="s">
        <v>59</v>
      </c>
      <c r="H72" s="223" t="s">
        <v>59</v>
      </c>
      <c r="I72" s="99" t="s">
        <v>5</v>
      </c>
    </row>
    <row r="73" spans="1:9" s="9" customFormat="1" ht="15">
      <c r="A73" s="224" t="s">
        <v>1</v>
      </c>
      <c r="B73" s="225">
        <f aca="true" t="shared" si="17" ref="B73:H73">B9</f>
        <v>2008</v>
      </c>
      <c r="C73" s="226">
        <f t="shared" si="17"/>
        <v>2009</v>
      </c>
      <c r="D73" s="225">
        <f t="shared" si="17"/>
        <v>2010</v>
      </c>
      <c r="E73" s="225">
        <f t="shared" si="17"/>
        <v>2011</v>
      </c>
      <c r="F73" s="225">
        <f t="shared" si="17"/>
        <v>2012</v>
      </c>
      <c r="G73" s="225">
        <f t="shared" si="17"/>
        <v>2013</v>
      </c>
      <c r="H73" s="225">
        <f t="shared" si="17"/>
        <v>2014</v>
      </c>
      <c r="I73" s="101" t="s">
        <v>32</v>
      </c>
    </row>
    <row r="74" spans="1:9" s="9" customFormat="1" ht="14.25">
      <c r="A74" s="107"/>
      <c r="B74" s="123"/>
      <c r="C74" s="230"/>
      <c r="D74" s="107"/>
      <c r="E74" s="107"/>
      <c r="F74" s="107"/>
      <c r="G74" s="107"/>
      <c r="H74" s="107"/>
      <c r="I74" s="110"/>
    </row>
    <row r="75" spans="1:9" s="9" customFormat="1" ht="14.25">
      <c r="A75" s="107" t="str">
        <f>Historical!A167</f>
        <v>Operating Revenues</v>
      </c>
      <c r="B75" s="114">
        <f>Historical!F129</f>
        <v>1741611</v>
      </c>
      <c r="C75" s="231">
        <f>Historical!G129</f>
        <v>2072765</v>
      </c>
      <c r="D75" s="111">
        <f>C75*(1+Assumptions!$D$12)</f>
        <v>2176403.25</v>
      </c>
      <c r="E75" s="111">
        <f>D75*(1+Assumptions!$D$12)</f>
        <v>2285223.4125</v>
      </c>
      <c r="F75" s="111">
        <f>E75*(1+Assumptions!$D$12)</f>
        <v>2399484.5831250004</v>
      </c>
      <c r="G75" s="111">
        <f>F75*(1+Assumptions!$D$12)</f>
        <v>2519458.8122812505</v>
      </c>
      <c r="H75" s="111">
        <f>G75*(1+Assumptions!$D$12)</f>
        <v>2645431.7528953133</v>
      </c>
      <c r="I75" s="110">
        <f>RATE(5,,-C75,H75)</f>
        <v>0.05000000000000015</v>
      </c>
    </row>
    <row r="76" spans="1:9" s="9" customFormat="1" ht="14.25">
      <c r="A76" s="107" t="s">
        <v>127</v>
      </c>
      <c r="B76" s="113">
        <f>Historical!F130</f>
        <v>0</v>
      </c>
      <c r="C76" s="231">
        <f>Historical!G130</f>
        <v>0</v>
      </c>
      <c r="D76" s="111">
        <v>0</v>
      </c>
      <c r="E76" s="111">
        <v>0</v>
      </c>
      <c r="F76" s="111">
        <v>0</v>
      </c>
      <c r="G76" s="111">
        <v>0</v>
      </c>
      <c r="H76" s="111">
        <v>0</v>
      </c>
      <c r="I76" s="115"/>
    </row>
    <row r="77" spans="1:9" s="9" customFormat="1" ht="14.25">
      <c r="A77" s="107" t="str">
        <f>Historical!A169</f>
        <v>Total Revenues</v>
      </c>
      <c r="B77" s="114">
        <f aca="true" t="shared" si="18" ref="B77:H77">SUM(B74:B76)</f>
        <v>1741611</v>
      </c>
      <c r="C77" s="237">
        <f t="shared" si="18"/>
        <v>2072765</v>
      </c>
      <c r="D77" s="116">
        <f t="shared" si="18"/>
        <v>2176403.25</v>
      </c>
      <c r="E77" s="116">
        <f t="shared" si="18"/>
        <v>2285223.4125</v>
      </c>
      <c r="F77" s="116">
        <f t="shared" si="18"/>
        <v>2399484.5831250004</v>
      </c>
      <c r="G77" s="116">
        <f t="shared" si="18"/>
        <v>2519458.8122812505</v>
      </c>
      <c r="H77" s="116">
        <f t="shared" si="18"/>
        <v>2645431.7528953133</v>
      </c>
      <c r="I77" s="110">
        <f>RATE(5,,-C77,H77)</f>
        <v>0.05000000000000015</v>
      </c>
    </row>
    <row r="78" spans="1:9" s="9" customFormat="1" ht="14.25">
      <c r="A78" s="107"/>
      <c r="B78" s="114"/>
      <c r="C78" s="231"/>
      <c r="D78" s="114"/>
      <c r="E78" s="114"/>
      <c r="F78" s="114"/>
      <c r="G78" s="114"/>
      <c r="H78" s="114"/>
      <c r="I78" s="110"/>
    </row>
    <row r="79" spans="1:9" s="9" customFormat="1" ht="14.25">
      <c r="A79" s="107" t="s">
        <v>28</v>
      </c>
      <c r="B79" s="114"/>
      <c r="C79" s="231"/>
      <c r="D79" s="111"/>
      <c r="E79" s="111"/>
      <c r="F79" s="111"/>
      <c r="G79" s="111"/>
      <c r="H79" s="111"/>
      <c r="I79" s="110"/>
    </row>
    <row r="80" spans="1:9" s="9" customFormat="1" ht="14.25">
      <c r="A80" s="243" t="str">
        <f>Historical!A134</f>
        <v>Cost of Purchased Power</v>
      </c>
      <c r="B80" s="114">
        <f>Historical!F134</f>
        <v>854059</v>
      </c>
      <c r="C80" s="231">
        <f>Historical!G134</f>
        <v>924116</v>
      </c>
      <c r="D80" s="111">
        <f>D75*(+Assumptions!$D$16)</f>
        <v>1056272.5438146715</v>
      </c>
      <c r="E80" s="111">
        <f>E75*(+Assumptions!$D$16)</f>
        <v>1109086.171005405</v>
      </c>
      <c r="F80" s="111">
        <f>F75*(+Assumptions!$D$16)</f>
        <v>1164540.4795556753</v>
      </c>
      <c r="G80" s="111">
        <f>G75*(+Assumptions!$D$16)</f>
        <v>1222767.5035334593</v>
      </c>
      <c r="H80" s="111">
        <f>H75*(+Assumptions!$D$16)</f>
        <v>1283905.8787101323</v>
      </c>
      <c r="I80" s="110">
        <f aca="true" t="shared" si="19" ref="I80:I87">RATE(5,,-C80,H80)</f>
        <v>0.06797562228115085</v>
      </c>
    </row>
    <row r="81" spans="1:9" s="9" customFormat="1" ht="14.25">
      <c r="A81" s="243" t="str">
        <f>Historical!A135</f>
        <v>Administrative and General Expenses</v>
      </c>
      <c r="B81" s="235"/>
      <c r="C81" s="236"/>
      <c r="D81" s="111"/>
      <c r="E81" s="111"/>
      <c r="F81" s="111"/>
      <c r="G81" s="111"/>
      <c r="H81" s="111"/>
      <c r="I81" s="110"/>
    </row>
    <row r="82" spans="1:9" s="9" customFormat="1" ht="14.25">
      <c r="A82" s="243" t="str">
        <f>Historical!A136</f>
        <v>   Operating and Maintenance</v>
      </c>
      <c r="B82" s="114">
        <f>Historical!F136</f>
        <v>393167</v>
      </c>
      <c r="C82" s="231">
        <f>Historical!G136</f>
        <v>455014</v>
      </c>
      <c r="D82" s="111">
        <f>D75*(+Assumptions!$D$18)</f>
        <v>473660.7988575211</v>
      </c>
      <c r="E82" s="111">
        <f>E75*(+Assumptions!$D$18)</f>
        <v>497343.8388003972</v>
      </c>
      <c r="F82" s="111">
        <f>F75*(+Assumptions!$D$18)</f>
        <v>522211.03074041713</v>
      </c>
      <c r="G82" s="111">
        <f>G75*(+Assumptions!$D$18)</f>
        <v>548321.582277438</v>
      </c>
      <c r="H82" s="111">
        <f>H75*(+Assumptions!$D$18)</f>
        <v>575737.6613913099</v>
      </c>
      <c r="I82" s="110">
        <f t="shared" si="19"/>
        <v>0.04818991287114006</v>
      </c>
    </row>
    <row r="83" spans="1:9" s="9" customFormat="1" ht="14.25">
      <c r="A83" s="243" t="str">
        <f>Historical!A137</f>
        <v>   Depreciation and amortization</v>
      </c>
      <c r="B83" s="114">
        <f>Historical!F137</f>
        <v>115806</v>
      </c>
      <c r="C83" s="231">
        <f>Historical!G137</f>
        <v>121323</v>
      </c>
      <c r="D83" s="111">
        <f>C83*(1+Assumptions!$D$19)</f>
        <v>124263.31980139871</v>
      </c>
      <c r="E83" s="111">
        <f>D83*(1+Assumptions!$D$19)</f>
        <v>127274.89963209523</v>
      </c>
      <c r="F83" s="111">
        <f>E83*(1+Assumptions!$D$19)</f>
        <v>130359.46651231813</v>
      </c>
      <c r="G83" s="111">
        <f>F83*(1+Assumptions!$D$19)</f>
        <v>133518.78931744117</v>
      </c>
      <c r="H83" s="111">
        <f>G83*(1+Assumptions!$D$19)</f>
        <v>136754.6797923623</v>
      </c>
      <c r="I83" s="110">
        <f t="shared" si="19"/>
        <v>0.02423546896630251</v>
      </c>
    </row>
    <row r="84" spans="1:9" s="9" customFormat="1" ht="14.25">
      <c r="A84" s="243" t="str">
        <f>Historical!A138</f>
        <v>   Administrative and General</v>
      </c>
      <c r="B84" s="114">
        <f>Historical!F138</f>
        <v>220140</v>
      </c>
      <c r="C84" s="231">
        <f>Historical!G138</f>
        <v>230182</v>
      </c>
      <c r="D84" s="111">
        <f>D75*(+Assumptions!$D$20)</f>
        <v>249992.8172721255</v>
      </c>
      <c r="E84" s="111">
        <f>E75*(+Assumptions!$D$20)</f>
        <v>262492.4581357318</v>
      </c>
      <c r="F84" s="111">
        <f>F75*(+Assumptions!$D$20)</f>
        <v>275617.08104251843</v>
      </c>
      <c r="G84" s="111">
        <f>G75*(+Assumptions!$D$20)</f>
        <v>289397.9350946444</v>
      </c>
      <c r="H84" s="111">
        <f>H75*(+Assumptions!$D$20)</f>
        <v>303867.8318493766</v>
      </c>
      <c r="I84" s="110">
        <f t="shared" si="19"/>
        <v>0.057116066752128</v>
      </c>
    </row>
    <row r="85" spans="1:9" s="9" customFormat="1" ht="14.25">
      <c r="A85" s="243" t="str">
        <f>Historical!A139</f>
        <v>   Taxes, other than income taxes</v>
      </c>
      <c r="B85" s="113">
        <f>Historical!F139</f>
        <v>25337</v>
      </c>
      <c r="C85" s="231">
        <f>Historical!G139</f>
        <v>25536</v>
      </c>
      <c r="D85" s="111">
        <f>D75*(+Assumptions!$D$21)</f>
        <v>29237.584215433297</v>
      </c>
      <c r="E85" s="111">
        <f>E75*(+Assumptions!$D$21)</f>
        <v>30699.463426204962</v>
      </c>
      <c r="F85" s="111">
        <f>F75*(+Assumptions!$D$21)</f>
        <v>32234.436597515214</v>
      </c>
      <c r="G85" s="111">
        <f>G75*(+Assumptions!$D$21)</f>
        <v>33846.158427390976</v>
      </c>
      <c r="H85" s="111">
        <f>H75*(+Assumptions!$D$21)</f>
        <v>35538.46634876053</v>
      </c>
      <c r="I85" s="115">
        <f t="shared" si="19"/>
        <v>0.06833919618859638</v>
      </c>
    </row>
    <row r="86" spans="1:9" s="9" customFormat="1" ht="14.25">
      <c r="A86" s="243" t="str">
        <f>Historical!A140</f>
        <v>Total Operating Expenses</v>
      </c>
      <c r="B86" s="118">
        <f aca="true" t="shared" si="20" ref="B86:H86">SUM(B80:B85)</f>
        <v>1608509</v>
      </c>
      <c r="C86" s="237">
        <f t="shared" si="20"/>
        <v>1756171</v>
      </c>
      <c r="D86" s="116">
        <f t="shared" si="20"/>
        <v>1933427.0639611501</v>
      </c>
      <c r="E86" s="116">
        <f t="shared" si="20"/>
        <v>2026896.830999834</v>
      </c>
      <c r="F86" s="116">
        <f t="shared" si="20"/>
        <v>2124962.4944484443</v>
      </c>
      <c r="G86" s="116">
        <f t="shared" si="20"/>
        <v>2227851.968650374</v>
      </c>
      <c r="H86" s="116">
        <f t="shared" si="20"/>
        <v>2335804.5180919413</v>
      </c>
      <c r="I86" s="119">
        <f t="shared" si="19"/>
        <v>0.05870249989495824</v>
      </c>
    </row>
    <row r="87" spans="1:9" s="9" customFormat="1" ht="14.25">
      <c r="A87" s="243" t="str">
        <f>Historical!A141</f>
        <v>Earnings From Operations</v>
      </c>
      <c r="B87" s="114">
        <f aca="true" t="shared" si="21" ref="B87:H87">B77-B86</f>
        <v>133102</v>
      </c>
      <c r="C87" s="237">
        <f t="shared" si="21"/>
        <v>316594</v>
      </c>
      <c r="D87" s="116">
        <f t="shared" si="21"/>
        <v>242976.18603884988</v>
      </c>
      <c r="E87" s="116">
        <f t="shared" si="21"/>
        <v>258326.5815001661</v>
      </c>
      <c r="F87" s="116">
        <f t="shared" si="21"/>
        <v>274522.088676556</v>
      </c>
      <c r="G87" s="116">
        <f t="shared" si="21"/>
        <v>291606.8436308764</v>
      </c>
      <c r="H87" s="116">
        <f t="shared" si="21"/>
        <v>309627.23480337206</v>
      </c>
      <c r="I87" s="110">
        <f t="shared" si="19"/>
        <v>-0.004440330522521238</v>
      </c>
    </row>
    <row r="88" spans="1:9" s="9" customFormat="1" ht="14.25">
      <c r="A88" s="107"/>
      <c r="B88" s="114"/>
      <c r="C88" s="231"/>
      <c r="D88" s="111"/>
      <c r="E88" s="111"/>
      <c r="F88" s="111"/>
      <c r="G88" s="111"/>
      <c r="H88" s="111"/>
      <c r="I88" s="110"/>
    </row>
    <row r="89" spans="1:19" s="9" customFormat="1" ht="14.25">
      <c r="A89" s="112" t="s">
        <v>198</v>
      </c>
      <c r="B89" s="114">
        <v>0</v>
      </c>
      <c r="C89" s="231">
        <v>0</v>
      </c>
      <c r="D89" s="111">
        <f>IF(D13&gt;0,(AVERAGE(C13:D13)*-Assumptions!$D$23),(AVERAGE('Forecast '!C49:D49)*Assumptions!$D$63))</f>
        <v>1072.7511051543981</v>
      </c>
      <c r="E89" s="111">
        <f>IF(E13&gt;0,(AVERAGE(D13:E13)*-Assumptions!$D$23),(AVERAGE('Forecast '!D49:E49)*Assumptions!$D$63))</f>
        <v>34131.782258702624</v>
      </c>
      <c r="F89" s="111">
        <f>IF(F13&gt;0,(AVERAGE(E13:F13)*-Assumptions!$D$23),(AVERAGE('Forecast '!E49:F49)*Assumptions!$D$63))</f>
        <v>75285.96857712453</v>
      </c>
      <c r="G89" s="111">
        <f>IF(G13&gt;0,(AVERAGE(F13:G13)*-Assumptions!$D$23),(AVERAGE('Forecast '!F49:G49)*Assumptions!$D$63))</f>
        <v>87394.26231870541</v>
      </c>
      <c r="H89" s="111">
        <f>IF(H13&gt;0,(AVERAGE(G13:H13)*-Assumptions!$D$23),(AVERAGE('Forecast '!G49:H49)*Assumptions!$D$63))</f>
        <v>94008.8248684824</v>
      </c>
      <c r="I89" s="110"/>
      <c r="K89" s="23">
        <v>0.06</v>
      </c>
      <c r="L89" s="23">
        <v>0.07</v>
      </c>
      <c r="M89" s="23">
        <v>0.08</v>
      </c>
      <c r="N89" s="23">
        <v>0.09</v>
      </c>
      <c r="O89" s="23">
        <v>0.1</v>
      </c>
      <c r="P89" s="23">
        <v>0.11</v>
      </c>
      <c r="Q89" s="23">
        <v>0.11</v>
      </c>
      <c r="R89" s="23">
        <v>0.11</v>
      </c>
      <c r="S89" s="23">
        <v>0.11</v>
      </c>
    </row>
    <row r="90" spans="1:19" s="9" customFormat="1" ht="14.25">
      <c r="A90" s="243" t="s">
        <v>64</v>
      </c>
      <c r="B90" s="114">
        <f>Historical!F143</f>
        <v>125856</v>
      </c>
      <c r="C90" s="231">
        <f>Historical!G143</f>
        <v>118306</v>
      </c>
      <c r="D90" s="111">
        <f>((D46+C46+C38+D38)/2)*Assumptions!$D$59</f>
        <v>94431.56999999999</v>
      </c>
      <c r="E90" s="111">
        <f>((E46+D46+D38+E38)/2)*Assumptions!$D$59</f>
        <v>92120.92825926971</v>
      </c>
      <c r="F90" s="111">
        <f>((F46+E46+E38+F38)/2)*Assumptions!$D$59</f>
        <v>90568.0124509148</v>
      </c>
      <c r="G90" s="111">
        <f>((G46+F46+F38+G38)/2)*Assumptions!$D$59</f>
        <v>89238.71616322373</v>
      </c>
      <c r="H90" s="111">
        <f>((H46+G46+G38+H38)/2)*Assumptions!$D$59</f>
        <v>87356.36956179031</v>
      </c>
      <c r="I90" s="110">
        <f>RATE(5,,-C90,H90)</f>
        <v>-0.058852785467007555</v>
      </c>
      <c r="K90" s="23"/>
      <c r="L90" s="23"/>
      <c r="M90" s="23"/>
      <c r="N90" s="23"/>
      <c r="O90" s="23"/>
      <c r="P90" s="23"/>
      <c r="Q90" s="23"/>
      <c r="R90" s="23"/>
      <c r="S90" s="23"/>
    </row>
    <row r="91" spans="1:19" s="9" customFormat="1" ht="14.25">
      <c r="A91" s="243" t="str">
        <f>Historical!A144</f>
        <v>   Interest and Other Income</v>
      </c>
      <c r="B91" s="114">
        <f>Historical!F144</f>
        <v>-2794</v>
      </c>
      <c r="C91" s="231">
        <f>Historical!G144</f>
        <v>-1370</v>
      </c>
      <c r="D91" s="111">
        <f>D77*Assumptions!$D$25</f>
        <v>-3977.2439427666877</v>
      </c>
      <c r="E91" s="111">
        <f>E77*Assumptions!$D$25</f>
        <v>-4176.106139905022</v>
      </c>
      <c r="F91" s="111">
        <f>F77*Assumptions!$D$25</f>
        <v>-4384.911446900273</v>
      </c>
      <c r="G91" s="111">
        <f>G77*Assumptions!$D$25</f>
        <v>-4604.157019245287</v>
      </c>
      <c r="H91" s="111">
        <f>H77*Assumptions!$D$25</f>
        <v>-4834.3648702075525</v>
      </c>
      <c r="I91" s="110">
        <f>RATE(5,,-C91,H91)</f>
        <v>0.2868376877469987</v>
      </c>
      <c r="K91" s="23"/>
      <c r="L91" s="23"/>
      <c r="M91" s="23"/>
      <c r="N91" s="23"/>
      <c r="O91" s="23"/>
      <c r="P91" s="23"/>
      <c r="Q91" s="23"/>
      <c r="R91" s="23"/>
      <c r="S91" s="23"/>
    </row>
    <row r="92" spans="1:19" s="9" customFormat="1" ht="14.25">
      <c r="A92" s="243" t="s">
        <v>69</v>
      </c>
      <c r="B92" s="114">
        <f>Historical!F145</f>
        <v>0</v>
      </c>
      <c r="C92" s="231">
        <f>Historical!G145</f>
        <v>0</v>
      </c>
      <c r="D92" s="111"/>
      <c r="E92" s="111"/>
      <c r="F92" s="111"/>
      <c r="G92" s="111"/>
      <c r="H92" s="111"/>
      <c r="I92" s="110"/>
      <c r="K92" s="23"/>
      <c r="L92" s="23"/>
      <c r="M92" s="23"/>
      <c r="N92" s="23"/>
      <c r="O92" s="23"/>
      <c r="P92" s="23"/>
      <c r="Q92" s="23"/>
      <c r="R92" s="23"/>
      <c r="S92" s="23"/>
    </row>
    <row r="93" spans="1:9" s="9" customFormat="1" ht="14.25">
      <c r="A93" s="107" t="s">
        <v>65</v>
      </c>
      <c r="B93" s="113">
        <f>Historical!F146</f>
        <v>-1413</v>
      </c>
      <c r="C93" s="231">
        <f>Historical!G146</f>
        <v>-1413</v>
      </c>
      <c r="D93" s="111">
        <f>Assumptions!$D$27</f>
        <v>-1413</v>
      </c>
      <c r="E93" s="111">
        <f>Assumptions!$D$27</f>
        <v>-1413</v>
      </c>
      <c r="F93" s="111">
        <f>Assumptions!$D$27</f>
        <v>-1413</v>
      </c>
      <c r="G93" s="111">
        <f>Assumptions!$D$27</f>
        <v>-1413</v>
      </c>
      <c r="H93" s="111">
        <f>Assumptions!$D$27</f>
        <v>-1413</v>
      </c>
      <c r="I93" s="115"/>
    </row>
    <row r="94" spans="1:9" s="9" customFormat="1" ht="14.25">
      <c r="A94" s="107" t="s">
        <v>66</v>
      </c>
      <c r="B94" s="114">
        <f aca="true" t="shared" si="22" ref="B94:H94">SUM(B89:B93)</f>
        <v>121649</v>
      </c>
      <c r="C94" s="237">
        <f t="shared" si="22"/>
        <v>115523</v>
      </c>
      <c r="D94" s="116">
        <f t="shared" si="22"/>
        <v>90114.07716238771</v>
      </c>
      <c r="E94" s="116">
        <f t="shared" si="22"/>
        <v>120663.6043780673</v>
      </c>
      <c r="F94" s="116">
        <f t="shared" si="22"/>
        <v>160056.06958113905</v>
      </c>
      <c r="G94" s="116">
        <f t="shared" si="22"/>
        <v>170615.82146268385</v>
      </c>
      <c r="H94" s="116">
        <f t="shared" si="22"/>
        <v>175117.82956006518</v>
      </c>
      <c r="I94" s="110">
        <f>RATE(5,,-C94,H94)</f>
        <v>0.08675683792919861</v>
      </c>
    </row>
    <row r="95" spans="1:9" s="9" customFormat="1" ht="7.5" customHeight="1">
      <c r="A95" s="107"/>
      <c r="B95" s="114"/>
      <c r="C95" s="231"/>
      <c r="D95" s="111"/>
      <c r="E95" s="111"/>
      <c r="F95" s="111"/>
      <c r="G95" s="111"/>
      <c r="H95" s="111"/>
      <c r="I95" s="110"/>
    </row>
    <row r="96" spans="1:9" s="9" customFormat="1" ht="14.25">
      <c r="A96" s="107" t="s">
        <v>15</v>
      </c>
      <c r="B96" s="113">
        <f aca="true" t="shared" si="23" ref="B96:H96">B87-B94</f>
        <v>11453</v>
      </c>
      <c r="C96" s="231">
        <f t="shared" si="23"/>
        <v>201071</v>
      </c>
      <c r="D96" s="111">
        <f t="shared" si="23"/>
        <v>152862.10887646215</v>
      </c>
      <c r="E96" s="111">
        <f t="shared" si="23"/>
        <v>137662.9771220988</v>
      </c>
      <c r="F96" s="111">
        <f t="shared" si="23"/>
        <v>114466.01909541697</v>
      </c>
      <c r="G96" s="111">
        <f t="shared" si="23"/>
        <v>120991.02216819255</v>
      </c>
      <c r="H96" s="111">
        <f t="shared" si="23"/>
        <v>134509.4052433069</v>
      </c>
      <c r="I96" s="110">
        <f>RATE(5,,-C96,H96)</f>
        <v>-0.07725724726863886</v>
      </c>
    </row>
    <row r="97" spans="1:11" s="9" customFormat="1" ht="14.25">
      <c r="A97" s="107" t="s">
        <v>237</v>
      </c>
      <c r="B97" s="118">
        <f>Historical!F150</f>
        <v>19106</v>
      </c>
      <c r="C97" s="237">
        <f>Historical!G150</f>
        <v>17075</v>
      </c>
      <c r="D97" s="116">
        <v>0</v>
      </c>
      <c r="E97" s="116">
        <f aca="true" t="shared" si="24" ref="E97:H98">D97</f>
        <v>0</v>
      </c>
      <c r="F97" s="116">
        <f t="shared" si="24"/>
        <v>0</v>
      </c>
      <c r="G97" s="116">
        <f t="shared" si="24"/>
        <v>0</v>
      </c>
      <c r="H97" s="116">
        <f t="shared" si="24"/>
        <v>0</v>
      </c>
      <c r="I97" s="119"/>
      <c r="K97" s="45"/>
    </row>
    <row r="98" spans="1:9" s="9" customFormat="1" ht="14.25">
      <c r="A98" s="107" t="s">
        <v>21</v>
      </c>
      <c r="B98" s="118">
        <f>Historical!F151</f>
        <v>0</v>
      </c>
      <c r="C98" s="237">
        <f>Historical!G151</f>
        <v>0</v>
      </c>
      <c r="D98" s="116">
        <f>C98</f>
        <v>0</v>
      </c>
      <c r="E98" s="116">
        <f t="shared" si="24"/>
        <v>0</v>
      </c>
      <c r="F98" s="116">
        <f t="shared" si="24"/>
        <v>0</v>
      </c>
      <c r="G98" s="116">
        <f t="shared" si="24"/>
        <v>0</v>
      </c>
      <c r="H98" s="116">
        <f t="shared" si="24"/>
        <v>0</v>
      </c>
      <c r="I98" s="119"/>
    </row>
    <row r="99" spans="1:10" s="9" customFormat="1" ht="15" thickBot="1">
      <c r="A99" s="107" t="s">
        <v>164</v>
      </c>
      <c r="B99" s="241">
        <f aca="true" t="shared" si="25" ref="B99:H99">B96+B97-B98</f>
        <v>30559</v>
      </c>
      <c r="C99" s="237">
        <f t="shared" si="25"/>
        <v>218146</v>
      </c>
      <c r="D99" s="116">
        <f t="shared" si="25"/>
        <v>152862.10887646215</v>
      </c>
      <c r="E99" s="116">
        <f t="shared" si="25"/>
        <v>137662.9771220988</v>
      </c>
      <c r="F99" s="116">
        <f t="shared" si="25"/>
        <v>114466.01909541697</v>
      </c>
      <c r="G99" s="116">
        <f t="shared" si="25"/>
        <v>120991.02216819255</v>
      </c>
      <c r="H99" s="116">
        <f t="shared" si="25"/>
        <v>134509.4052433069</v>
      </c>
      <c r="I99" s="110">
        <f>RATE(5,,-C99,H99)</f>
        <v>-0.09217721294245838</v>
      </c>
      <c r="J99" s="9">
        <f>AVERAGE(D99:H99)</f>
        <v>132098.30650109547</v>
      </c>
    </row>
    <row r="100" spans="1:9" s="9" customFormat="1" ht="15" thickTop="1">
      <c r="A100" s="107"/>
      <c r="B100" s="114"/>
      <c r="C100" s="244"/>
      <c r="D100" s="122"/>
      <c r="E100" s="122"/>
      <c r="F100" s="122"/>
      <c r="G100" s="122"/>
      <c r="H100" s="122"/>
      <c r="I100" s="240"/>
    </row>
    <row r="101" spans="1:9" s="9" customFormat="1" ht="14.25">
      <c r="A101" s="107" t="s">
        <v>70</v>
      </c>
      <c r="B101" s="114">
        <f>Historical!F154</f>
        <v>0</v>
      </c>
      <c r="C101" s="231">
        <f>Historical!G154</f>
        <v>0</v>
      </c>
      <c r="D101" s="111">
        <f>D54*Assumptions!$D$31</f>
        <v>0</v>
      </c>
      <c r="E101" s="111">
        <f>E54*Assumptions!$D$31</f>
        <v>0</v>
      </c>
      <c r="F101" s="111">
        <f>F54*Assumptions!$D$31</f>
        <v>0</v>
      </c>
      <c r="G101" s="111">
        <f>G54*Assumptions!$D$31</f>
        <v>0</v>
      </c>
      <c r="H101" s="111">
        <f>H54*Assumptions!$D$31</f>
        <v>0</v>
      </c>
      <c r="I101" s="110"/>
    </row>
    <row r="102" spans="1:9" s="9" customFormat="1" ht="14.25">
      <c r="A102" s="112" t="s">
        <v>133</v>
      </c>
      <c r="B102" s="114">
        <f>Historical!F155</f>
        <v>0</v>
      </c>
      <c r="C102" s="114">
        <f>Historical!G155</f>
        <v>0</v>
      </c>
      <c r="D102" s="111">
        <v>0</v>
      </c>
      <c r="E102" s="111">
        <v>0</v>
      </c>
      <c r="F102" s="111">
        <v>0</v>
      </c>
      <c r="G102" s="111">
        <v>0</v>
      </c>
      <c r="H102" s="111">
        <v>0</v>
      </c>
      <c r="I102" s="110"/>
    </row>
    <row r="103" spans="1:9" s="9" customFormat="1" ht="14.25">
      <c r="A103" s="107"/>
      <c r="B103" s="123"/>
      <c r="C103" s="107"/>
      <c r="D103" s="107"/>
      <c r="E103" s="107"/>
      <c r="F103" s="107"/>
      <c r="G103" s="107"/>
      <c r="H103" s="107"/>
      <c r="I103" s="107"/>
    </row>
    <row r="104" spans="1:9" s="9" customFormat="1" ht="14.25">
      <c r="A104" s="107"/>
      <c r="B104" s="123"/>
      <c r="C104" s="107"/>
      <c r="D104" s="107"/>
      <c r="E104" s="107"/>
      <c r="F104" s="107"/>
      <c r="G104" s="107"/>
      <c r="H104" s="107"/>
      <c r="I104" s="106" t="str">
        <f>I65</f>
        <v>Exhibit 2</v>
      </c>
    </row>
    <row r="105" spans="1:9" s="9" customFormat="1" ht="14.25">
      <c r="A105" s="107"/>
      <c r="B105" s="123"/>
      <c r="C105" s="107"/>
      <c r="D105" s="107"/>
      <c r="E105" s="107"/>
      <c r="F105" s="107"/>
      <c r="G105" s="107"/>
      <c r="H105" s="107"/>
      <c r="I105" s="106" t="s">
        <v>129</v>
      </c>
    </row>
    <row r="106" spans="1:9" s="9" customFormat="1" ht="15.75">
      <c r="A106" s="67" t="str">
        <f>A3</f>
        <v>Flowell Electric Association, Inc.</v>
      </c>
      <c r="B106" s="103"/>
      <c r="C106" s="67"/>
      <c r="D106" s="67"/>
      <c r="E106" s="67"/>
      <c r="F106" s="57"/>
      <c r="G106" s="57"/>
      <c r="H106" s="57"/>
      <c r="I106" s="58"/>
    </row>
    <row r="107" spans="1:9" s="9" customFormat="1" ht="15.75">
      <c r="A107" s="67" t="s">
        <v>57</v>
      </c>
      <c r="B107" s="103"/>
      <c r="C107" s="67"/>
      <c r="D107" s="67"/>
      <c r="E107" s="67"/>
      <c r="F107" s="57"/>
      <c r="G107" s="57"/>
      <c r="H107" s="57"/>
      <c r="I107" s="58"/>
    </row>
    <row r="108" spans="1:9" s="9" customFormat="1" ht="15.75">
      <c r="A108" s="67" t="s">
        <v>54</v>
      </c>
      <c r="B108" s="103"/>
      <c r="C108" s="67"/>
      <c r="D108" s="67"/>
      <c r="E108" s="67"/>
      <c r="F108" s="57"/>
      <c r="G108" s="57"/>
      <c r="H108" s="57"/>
      <c r="I108" s="58"/>
    </row>
    <row r="109" spans="1:9" s="9" customFormat="1" ht="12.75">
      <c r="A109" s="36"/>
      <c r="B109" s="65"/>
      <c r="C109" s="36"/>
      <c r="D109" s="36"/>
      <c r="E109" s="36"/>
      <c r="F109" s="36"/>
      <c r="G109" s="36"/>
      <c r="H109" s="36"/>
      <c r="I109" s="64"/>
    </row>
    <row r="110" spans="1:9" s="9" customFormat="1" ht="15">
      <c r="A110" s="107"/>
      <c r="B110" s="221" t="s">
        <v>18</v>
      </c>
      <c r="C110" s="221" t="s">
        <v>18</v>
      </c>
      <c r="D110" s="245" t="s">
        <v>59</v>
      </c>
      <c r="E110" s="223" t="s">
        <v>59</v>
      </c>
      <c r="F110" s="223" t="s">
        <v>59</v>
      </c>
      <c r="G110" s="223" t="s">
        <v>59</v>
      </c>
      <c r="H110" s="223" t="s">
        <v>59</v>
      </c>
      <c r="I110" s="180" t="s">
        <v>59</v>
      </c>
    </row>
    <row r="111" spans="1:9" s="9" customFormat="1" ht="15">
      <c r="A111" s="224" t="s">
        <v>1</v>
      </c>
      <c r="B111" s="316">
        <f>B73</f>
        <v>2008</v>
      </c>
      <c r="C111" s="225">
        <f aca="true" t="shared" si="26" ref="C111:H111">C9</f>
        <v>2009</v>
      </c>
      <c r="D111" s="246">
        <f t="shared" si="26"/>
        <v>2010</v>
      </c>
      <c r="E111" s="225">
        <f t="shared" si="26"/>
        <v>2011</v>
      </c>
      <c r="F111" s="225">
        <f t="shared" si="26"/>
        <v>2012</v>
      </c>
      <c r="G111" s="225">
        <f t="shared" si="26"/>
        <v>2013</v>
      </c>
      <c r="H111" s="225">
        <f t="shared" si="26"/>
        <v>2014</v>
      </c>
      <c r="I111" s="203" t="s">
        <v>4</v>
      </c>
    </row>
    <row r="112" spans="1:9" s="9" customFormat="1" ht="7.5" customHeight="1">
      <c r="A112" s="107"/>
      <c r="B112" s="247"/>
      <c r="C112" s="107"/>
      <c r="D112" s="248"/>
      <c r="E112" s="107"/>
      <c r="F112" s="107"/>
      <c r="G112" s="107"/>
      <c r="H112" s="107"/>
      <c r="I112" s="110"/>
    </row>
    <row r="113" spans="1:9" s="9" customFormat="1" ht="14.25">
      <c r="A113" s="109" t="s">
        <v>9</v>
      </c>
      <c r="B113" s="247"/>
      <c r="C113" s="110"/>
      <c r="D113" s="249"/>
      <c r="E113" s="110"/>
      <c r="F113" s="110"/>
      <c r="G113" s="110"/>
      <c r="H113" s="107"/>
      <c r="I113" s="110"/>
    </row>
    <row r="114" spans="1:9" s="9" customFormat="1" ht="14.25">
      <c r="A114" s="107" t="str">
        <f aca="true" t="shared" si="27" ref="A114:A119">A12</f>
        <v>Cash &amp; Equivalents</v>
      </c>
      <c r="B114" s="247">
        <f aca="true" t="shared" si="28" ref="B114:H114">B12/B$35</f>
        <v>0.018390868684287878</v>
      </c>
      <c r="C114" s="110">
        <f t="shared" si="28"/>
        <v>0.009581147677541996</v>
      </c>
      <c r="D114" s="249">
        <f t="shared" si="28"/>
        <v>0.02247503277729395</v>
      </c>
      <c r="E114" s="110">
        <f t="shared" si="28"/>
        <v>0.018394164567750462</v>
      </c>
      <c r="F114" s="110">
        <f t="shared" si="28"/>
        <v>0.017903899898732253</v>
      </c>
      <c r="G114" s="110">
        <f t="shared" si="28"/>
        <v>0.018156545066200132</v>
      </c>
      <c r="H114" s="110">
        <f t="shared" si="28"/>
        <v>0.018327116695044575</v>
      </c>
      <c r="I114" s="110">
        <f aca="true" t="shared" si="29" ref="I114:I119">SUM(D12:H12)/SUM(D$35:H$35)</f>
        <v>0.01884358494982078</v>
      </c>
    </row>
    <row r="115" spans="1:9" s="9" customFormat="1" ht="14.25">
      <c r="A115" s="107" t="str">
        <f t="shared" si="27"/>
        <v>Surplus Cash</v>
      </c>
      <c r="B115" s="247">
        <f aca="true" t="shared" si="30" ref="B115:H115">B13/B$35</f>
        <v>0</v>
      </c>
      <c r="C115" s="110">
        <f t="shared" si="30"/>
        <v>0</v>
      </c>
      <c r="D115" s="249">
        <f t="shared" si="30"/>
        <v>0</v>
      </c>
      <c r="E115" s="110">
        <f t="shared" si="30"/>
        <v>0</v>
      </c>
      <c r="F115" s="110">
        <f t="shared" si="30"/>
        <v>0</v>
      </c>
      <c r="G115" s="110">
        <f t="shared" si="30"/>
        <v>0</v>
      </c>
      <c r="H115" s="110">
        <f t="shared" si="30"/>
        <v>0</v>
      </c>
      <c r="I115" s="110">
        <f t="shared" si="29"/>
        <v>0</v>
      </c>
    </row>
    <row r="116" spans="1:9" s="9" customFormat="1" ht="14.25">
      <c r="A116" s="107" t="str">
        <f t="shared" si="27"/>
        <v>Accounts Receivable, net</v>
      </c>
      <c r="B116" s="247">
        <f aca="true" t="shared" si="31" ref="B116:H116">B14/B$35</f>
        <v>0.03281904905224058</v>
      </c>
      <c r="C116" s="110">
        <f t="shared" si="31"/>
        <v>0.035490793048156166</v>
      </c>
      <c r="D116" s="249">
        <f t="shared" si="31"/>
        <v>0.03357693382617876</v>
      </c>
      <c r="E116" s="110">
        <f t="shared" si="31"/>
        <v>0.02748025565075782</v>
      </c>
      <c r="F116" s="110">
        <f t="shared" si="31"/>
        <v>0.02674781692588225</v>
      </c>
      <c r="G116" s="110">
        <f t="shared" si="31"/>
        <v>0.02712526020499253</v>
      </c>
      <c r="H116" s="110">
        <f t="shared" si="31"/>
        <v>0.027380088411522206</v>
      </c>
      <c r="I116" s="110">
        <f t="shared" si="29"/>
        <v>0.028151674401441756</v>
      </c>
    </row>
    <row r="117" spans="1:9" s="9" customFormat="1" ht="14.25">
      <c r="A117" s="107" t="str">
        <f t="shared" si="27"/>
        <v>Patronage Capital Credit - DG&amp;T</v>
      </c>
      <c r="B117" s="247">
        <f aca="true" t="shared" si="32" ref="B117:H117">B15/B$35</f>
        <v>0.06089781238818485</v>
      </c>
      <c r="C117" s="110">
        <f t="shared" si="32"/>
        <v>0.059125043949616006</v>
      </c>
      <c r="D117" s="249">
        <f t="shared" si="32"/>
        <v>0.05576410391658224</v>
      </c>
      <c r="E117" s="110">
        <f t="shared" si="32"/>
        <v>0.04346554832343006</v>
      </c>
      <c r="F117" s="110">
        <f t="shared" si="32"/>
        <v>0.040292427854335414</v>
      </c>
      <c r="G117" s="110">
        <f t="shared" si="32"/>
        <v>0.03891523960604274</v>
      </c>
      <c r="H117" s="110">
        <f t="shared" si="32"/>
        <v>0.03741031309725762</v>
      </c>
      <c r="I117" s="110">
        <f t="shared" si="29"/>
        <v>0.042306395895283</v>
      </c>
    </row>
    <row r="118" spans="1:9" s="9" customFormat="1" ht="14.25">
      <c r="A118" s="107" t="str">
        <f t="shared" si="27"/>
        <v>Other Current Assets</v>
      </c>
      <c r="B118" s="115">
        <f aca="true" t="shared" si="33" ref="B118:H118">B16/B$35</f>
        <v>0</v>
      </c>
      <c r="C118" s="250">
        <f t="shared" si="33"/>
        <v>0.00447405777016072</v>
      </c>
      <c r="D118" s="251">
        <f t="shared" si="33"/>
        <v>0.004227290837569711</v>
      </c>
      <c r="E118" s="250">
        <f t="shared" si="33"/>
        <v>0.0032949783332381546</v>
      </c>
      <c r="F118" s="250">
        <f t="shared" si="33"/>
        <v>0.00305443464754432</v>
      </c>
      <c r="G118" s="250">
        <f t="shared" si="33"/>
        <v>0.0029500345970687467</v>
      </c>
      <c r="H118" s="250">
        <f t="shared" si="33"/>
        <v>0.0028359511348594424</v>
      </c>
      <c r="I118" s="115">
        <f t="shared" si="29"/>
        <v>0.003207106851501753</v>
      </c>
    </row>
    <row r="119" spans="1:9" s="9" customFormat="1" ht="14.25">
      <c r="A119" s="107" t="str">
        <f t="shared" si="27"/>
        <v>Total Current Assets</v>
      </c>
      <c r="B119" s="247">
        <f aca="true" t="shared" si="34" ref="B119:H119">B17/B$35</f>
        <v>0.11210773012471331</v>
      </c>
      <c r="C119" s="110">
        <f t="shared" si="34"/>
        <v>0.10867104244547489</v>
      </c>
      <c r="D119" s="249">
        <f t="shared" si="34"/>
        <v>0.11604336135762466</v>
      </c>
      <c r="E119" s="110">
        <f t="shared" si="34"/>
        <v>0.09263494687517648</v>
      </c>
      <c r="F119" s="110">
        <f t="shared" si="34"/>
        <v>0.08799857932649423</v>
      </c>
      <c r="G119" s="110">
        <f t="shared" si="34"/>
        <v>0.08714707947430414</v>
      </c>
      <c r="H119" s="110">
        <f t="shared" si="34"/>
        <v>0.08595346933868384</v>
      </c>
      <c r="I119" s="110">
        <f t="shared" si="29"/>
        <v>0.0925087620980473</v>
      </c>
    </row>
    <row r="120" spans="1:9" s="9" customFormat="1" ht="14.25">
      <c r="A120" s="107"/>
      <c r="B120" s="247"/>
      <c r="C120" s="110"/>
      <c r="D120" s="249"/>
      <c r="E120" s="110"/>
      <c r="F120" s="110"/>
      <c r="G120" s="110"/>
      <c r="H120" s="110"/>
      <c r="I120" s="110"/>
    </row>
    <row r="121" spans="1:9" s="9" customFormat="1" ht="14.25">
      <c r="A121" s="107" t="str">
        <f>A19</f>
        <v>Plant &amp; Equipment:</v>
      </c>
      <c r="B121" s="247"/>
      <c r="C121" s="110"/>
      <c r="D121" s="249"/>
      <c r="E121" s="110"/>
      <c r="F121" s="110"/>
      <c r="G121" s="110"/>
      <c r="H121" s="110"/>
      <c r="I121" s="110"/>
    </row>
    <row r="122" spans="1:9" s="9" customFormat="1" ht="14.25">
      <c r="A122" s="107" t="str">
        <f>A20</f>
        <v>Plant in Service</v>
      </c>
      <c r="B122" s="247">
        <f aca="true" t="shared" si="35" ref="B122:H122">B20/B$35</f>
        <v>1.2948404125461404</v>
      </c>
      <c r="C122" s="110">
        <f t="shared" si="35"/>
        <v>1.31546916116541</v>
      </c>
      <c r="D122" s="249">
        <f t="shared" si="35"/>
        <v>1.332316848097033</v>
      </c>
      <c r="E122" s="110">
        <f t="shared" si="35"/>
        <v>1.4172901044175534</v>
      </c>
      <c r="F122" s="110">
        <f t="shared" si="35"/>
        <v>1.4431128954323944</v>
      </c>
      <c r="G122" s="110">
        <f t="shared" si="35"/>
        <v>1.454955245421955</v>
      </c>
      <c r="H122" s="110">
        <f t="shared" si="35"/>
        <v>1.4600721729993114</v>
      </c>
      <c r="I122" s="110">
        <f>SUM(D20:H20)/SUM(D$35:H$35)</f>
        <v>1.427685230923935</v>
      </c>
    </row>
    <row r="123" spans="1:9" s="9" customFormat="1" ht="14.25">
      <c r="A123" s="107" t="str">
        <f>A21</f>
        <v>  Construction Work in Progress</v>
      </c>
      <c r="B123" s="247">
        <f aca="true" t="shared" si="36" ref="B123:H123">B21/B$35</f>
        <v>0</v>
      </c>
      <c r="C123" s="110">
        <f t="shared" si="36"/>
        <v>0</v>
      </c>
      <c r="D123" s="249">
        <f t="shared" si="36"/>
        <v>0</v>
      </c>
      <c r="E123" s="110">
        <f t="shared" si="36"/>
        <v>0</v>
      </c>
      <c r="F123" s="110">
        <f t="shared" si="36"/>
        <v>0</v>
      </c>
      <c r="G123" s="110">
        <f t="shared" si="36"/>
        <v>0</v>
      </c>
      <c r="H123" s="110">
        <f t="shared" si="36"/>
        <v>0</v>
      </c>
      <c r="I123" s="110">
        <f>SUM(D21:H21)/SUM(D$35:H$35)</f>
        <v>0</v>
      </c>
    </row>
    <row r="124" spans="1:9" s="9" customFormat="1" ht="14.25">
      <c r="A124" s="107" t="str">
        <f>A22</f>
        <v>Other PP&amp;E</v>
      </c>
      <c r="B124" s="115">
        <f aca="true" t="shared" si="37" ref="B124:H124">B22/B$35</f>
        <v>0</v>
      </c>
      <c r="C124" s="250">
        <f t="shared" si="37"/>
        <v>0</v>
      </c>
      <c r="D124" s="251">
        <f t="shared" si="37"/>
        <v>0</v>
      </c>
      <c r="E124" s="250">
        <f t="shared" si="37"/>
        <v>0</v>
      </c>
      <c r="F124" s="250">
        <f t="shared" si="37"/>
        <v>0</v>
      </c>
      <c r="G124" s="250">
        <f t="shared" si="37"/>
        <v>0</v>
      </c>
      <c r="H124" s="250">
        <f t="shared" si="37"/>
        <v>0</v>
      </c>
      <c r="I124" s="115">
        <f>SUM(D22:H22)/SUM(D$35:H$35)</f>
        <v>0</v>
      </c>
    </row>
    <row r="125" spans="1:9" s="9" customFormat="1" ht="14.25">
      <c r="A125" s="107" t="str">
        <f>A23</f>
        <v>Total Plant &amp; Equipment:</v>
      </c>
      <c r="B125" s="247">
        <f aca="true" t="shared" si="38" ref="B125:H125">B23/B$35</f>
        <v>1.2948404125461404</v>
      </c>
      <c r="C125" s="110">
        <f t="shared" si="38"/>
        <v>1.31546916116541</v>
      </c>
      <c r="D125" s="249">
        <f t="shared" si="38"/>
        <v>1.332316848097033</v>
      </c>
      <c r="E125" s="110">
        <f t="shared" si="38"/>
        <v>1.4172901044175534</v>
      </c>
      <c r="F125" s="110">
        <f t="shared" si="38"/>
        <v>1.4431128954323944</v>
      </c>
      <c r="G125" s="110">
        <f t="shared" si="38"/>
        <v>1.454955245421955</v>
      </c>
      <c r="H125" s="110">
        <f t="shared" si="38"/>
        <v>1.4600721729993114</v>
      </c>
      <c r="I125" s="110">
        <f>SUM(D23:H23)/SUM(D$35:H$35)</f>
        <v>1.427685230923935</v>
      </c>
    </row>
    <row r="126" spans="1:9" s="9" customFormat="1" ht="14.25">
      <c r="A126" s="107"/>
      <c r="B126" s="247"/>
      <c r="C126" s="110"/>
      <c r="D126" s="249"/>
      <c r="E126" s="110"/>
      <c r="F126" s="110"/>
      <c r="G126" s="110"/>
      <c r="H126" s="110"/>
      <c r="I126" s="110"/>
    </row>
    <row r="127" spans="1:9" s="9" customFormat="1" ht="14.25">
      <c r="A127" s="107" t="str">
        <f>A25</f>
        <v>Accumulated Depreciation &amp; Amort.</v>
      </c>
      <c r="B127" s="247">
        <f aca="true" t="shared" si="39" ref="B127:H127">B25/B$35</f>
        <v>0.4324001803657874</v>
      </c>
      <c r="C127" s="110">
        <f t="shared" si="39"/>
        <v>0.4516937879812713</v>
      </c>
      <c r="D127" s="249">
        <f t="shared" si="39"/>
        <v>0.47590675977974045</v>
      </c>
      <c r="E127" s="110">
        <f t="shared" si="39"/>
        <v>0.5326845933640084</v>
      </c>
      <c r="F127" s="110">
        <f t="shared" si="39"/>
        <v>0.5534753808135376</v>
      </c>
      <c r="G127" s="110">
        <f t="shared" si="39"/>
        <v>0.564997807187308</v>
      </c>
      <c r="H127" s="110">
        <f t="shared" si="39"/>
        <v>0.5693563168982292</v>
      </c>
      <c r="I127" s="110">
        <f>SUM(D25:H25)/SUM(D$35:H$35)</f>
        <v>0.5437555352137011</v>
      </c>
    </row>
    <row r="128" spans="1:9" s="9" customFormat="1" ht="14.25">
      <c r="A128" s="107"/>
      <c r="B128" s="247"/>
      <c r="C128" s="110"/>
      <c r="D128" s="249"/>
      <c r="E128" s="110"/>
      <c r="F128" s="110"/>
      <c r="G128" s="110"/>
      <c r="H128" s="110"/>
      <c r="I128" s="110"/>
    </row>
    <row r="129" spans="1:9" s="9" customFormat="1" ht="14.25">
      <c r="A129" s="107" t="str">
        <f>A27</f>
        <v>Net Plant &amp; Equipment</v>
      </c>
      <c r="B129" s="247">
        <f aca="true" t="shared" si="40" ref="B129:H129">B27/B$35</f>
        <v>0.8624402321803528</v>
      </c>
      <c r="C129" s="110">
        <f t="shared" si="40"/>
        <v>0.8637753731841386</v>
      </c>
      <c r="D129" s="249">
        <f t="shared" si="40"/>
        <v>0.8564100883172926</v>
      </c>
      <c r="E129" s="110">
        <f t="shared" si="40"/>
        <v>0.8846055110535449</v>
      </c>
      <c r="F129" s="110">
        <f t="shared" si="40"/>
        <v>0.8896375146188569</v>
      </c>
      <c r="G129" s="110">
        <f t="shared" si="40"/>
        <v>0.8899574382346469</v>
      </c>
      <c r="H129" s="110">
        <f t="shared" si="40"/>
        <v>0.8907158561010821</v>
      </c>
      <c r="I129" s="110">
        <f>SUM(D27:H27)/SUM(D$35:H$35)</f>
        <v>0.8839296957102337</v>
      </c>
    </row>
    <row r="130" spans="1:9" s="9" customFormat="1" ht="14.25">
      <c r="A130" s="107"/>
      <c r="B130" s="247"/>
      <c r="C130" s="110"/>
      <c r="D130" s="249"/>
      <c r="E130" s="110"/>
      <c r="F130" s="110"/>
      <c r="G130" s="110"/>
      <c r="H130" s="110"/>
      <c r="I130" s="110"/>
    </row>
    <row r="131" spans="1:9" s="9" customFormat="1" ht="14.25">
      <c r="A131" s="107" t="str">
        <f>A29</f>
        <v>Other Assets:</v>
      </c>
      <c r="B131" s="247"/>
      <c r="C131" s="110"/>
      <c r="D131" s="249"/>
      <c r="E131" s="110"/>
      <c r="F131" s="110"/>
      <c r="G131" s="110"/>
      <c r="H131" s="110"/>
      <c r="I131" s="110"/>
    </row>
    <row r="132" spans="1:9" s="9" customFormat="1" ht="14.25">
      <c r="A132" s="107" t="str">
        <f>A30</f>
        <v>Regulatory Assets</v>
      </c>
      <c r="B132" s="247">
        <f aca="true" t="shared" si="41" ref="B132:H132">B30/B$35</f>
        <v>0</v>
      </c>
      <c r="C132" s="110">
        <f t="shared" si="41"/>
        <v>0</v>
      </c>
      <c r="D132" s="249">
        <f t="shared" si="41"/>
        <v>0</v>
      </c>
      <c r="E132" s="110">
        <f t="shared" si="41"/>
        <v>0</v>
      </c>
      <c r="F132" s="110">
        <f t="shared" si="41"/>
        <v>0</v>
      </c>
      <c r="G132" s="110">
        <f t="shared" si="41"/>
        <v>0</v>
      </c>
      <c r="H132" s="110">
        <f t="shared" si="41"/>
        <v>0</v>
      </c>
      <c r="I132" s="110">
        <f>SUM(D30:H30)/SUM(D$35:H$35)</f>
        <v>0</v>
      </c>
    </row>
    <row r="133" spans="1:9" s="9" customFormat="1" ht="14.25">
      <c r="A133" s="107" t="str">
        <f>A31</f>
        <v>Goodwill</v>
      </c>
      <c r="B133" s="247">
        <f aca="true" t="shared" si="42" ref="B133:H133">B31/B$35</f>
        <v>0</v>
      </c>
      <c r="C133" s="110">
        <f t="shared" si="42"/>
        <v>0</v>
      </c>
      <c r="D133" s="249">
        <f t="shared" si="42"/>
        <v>0</v>
      </c>
      <c r="E133" s="110">
        <f t="shared" si="42"/>
        <v>0</v>
      </c>
      <c r="F133" s="110">
        <f t="shared" si="42"/>
        <v>0</v>
      </c>
      <c r="G133" s="110">
        <f t="shared" si="42"/>
        <v>0</v>
      </c>
      <c r="H133" s="110">
        <f t="shared" si="42"/>
        <v>0</v>
      </c>
      <c r="I133" s="110">
        <f>SUM(D31:H31)/SUM(D$35:H$35)</f>
        <v>0</v>
      </c>
    </row>
    <row r="134" spans="1:9" s="9" customFormat="1" ht="14.25">
      <c r="A134" s="107"/>
      <c r="B134" s="247"/>
      <c r="C134" s="110"/>
      <c r="D134" s="249"/>
      <c r="E134" s="110"/>
      <c r="F134" s="110"/>
      <c r="G134" s="110"/>
      <c r="H134" s="110"/>
      <c r="I134" s="110"/>
    </row>
    <row r="135" spans="1:9" s="9" customFormat="1" ht="14.25">
      <c r="A135" s="107"/>
      <c r="B135" s="247"/>
      <c r="C135" s="110"/>
      <c r="D135" s="249"/>
      <c r="E135" s="110"/>
      <c r="F135" s="110"/>
      <c r="G135" s="110"/>
      <c r="H135" s="110"/>
      <c r="I135" s="110"/>
    </row>
    <row r="136" spans="1:9" s="9" customFormat="1" ht="14.25">
      <c r="A136" s="107" t="str">
        <f aca="true" t="shared" si="43" ref="A136:A164">A32</f>
        <v>Investment in CFC and Others</v>
      </c>
      <c r="B136" s="247">
        <f aca="true" t="shared" si="44" ref="B136:H136">B32/B$35</f>
        <v>0.0254520376949339</v>
      </c>
      <c r="C136" s="110">
        <f t="shared" si="44"/>
        <v>0.027553584370386606</v>
      </c>
      <c r="D136" s="249">
        <f t="shared" si="44"/>
        <v>0.02754655032508278</v>
      </c>
      <c r="E136" s="110">
        <f t="shared" si="44"/>
        <v>0.022759542071278588</v>
      </c>
      <c r="F136" s="110">
        <f t="shared" si="44"/>
        <v>0.022363906054648774</v>
      </c>
      <c r="G136" s="110">
        <f t="shared" si="44"/>
        <v>0.022895482291049058</v>
      </c>
      <c r="H136" s="110">
        <f t="shared" si="44"/>
        <v>0.02333067456023406</v>
      </c>
      <c r="I136" s="110">
        <f>SUM(D32:H32)/SUM(D$35:H$35)</f>
        <v>0.023561542191719107</v>
      </c>
    </row>
    <row r="137" spans="1:9" s="9" customFormat="1" ht="14.25">
      <c r="A137" s="107" t="str">
        <f t="shared" si="43"/>
        <v>Total Other Assets</v>
      </c>
      <c r="B137" s="115">
        <f>B33/B$35</f>
        <v>0.0254520376949339</v>
      </c>
      <c r="C137" s="250">
        <f aca="true" t="shared" si="45" ref="C137:H137">C32/C$35</f>
        <v>0.027553584370386606</v>
      </c>
      <c r="D137" s="251">
        <f t="shared" si="45"/>
        <v>0.02754655032508278</v>
      </c>
      <c r="E137" s="250">
        <f t="shared" si="45"/>
        <v>0.022759542071278588</v>
      </c>
      <c r="F137" s="250">
        <f t="shared" si="45"/>
        <v>0.022363906054648774</v>
      </c>
      <c r="G137" s="250">
        <f t="shared" si="45"/>
        <v>0.022895482291049058</v>
      </c>
      <c r="H137" s="250">
        <f t="shared" si="45"/>
        <v>0.02333067456023406</v>
      </c>
      <c r="I137" s="110">
        <f>SUM(D32:H32)/SUM(D$35:H$35)</f>
        <v>0.023561542191719107</v>
      </c>
    </row>
    <row r="138" spans="1:9" s="9" customFormat="1" ht="14.25">
      <c r="A138" s="107" t="str">
        <f t="shared" si="43"/>
        <v>Total Non-Current Assets</v>
      </c>
      <c r="B138" s="119">
        <f>B34/B$35</f>
        <v>0.8878922698752867</v>
      </c>
      <c r="C138" s="250">
        <f aca="true" t="shared" si="46" ref="C138:H138">C34/C$35</f>
        <v>0.8913289575545251</v>
      </c>
      <c r="D138" s="251">
        <f t="shared" si="46"/>
        <v>0.8839566386423753</v>
      </c>
      <c r="E138" s="250">
        <f t="shared" si="46"/>
        <v>0.9073650531248235</v>
      </c>
      <c r="F138" s="250">
        <f t="shared" si="46"/>
        <v>0.9120014206735058</v>
      </c>
      <c r="G138" s="250">
        <f t="shared" si="46"/>
        <v>0.9128529205256959</v>
      </c>
      <c r="H138" s="250">
        <f t="shared" si="46"/>
        <v>0.9140465306613161</v>
      </c>
      <c r="I138" s="119">
        <f>SUM(D34:H34)/SUM(D$35:H$35)</f>
        <v>0.9074912379019527</v>
      </c>
    </row>
    <row r="139" spans="1:9" s="9" customFormat="1" ht="15" thickBot="1">
      <c r="A139" s="107" t="str">
        <f t="shared" si="43"/>
        <v>Total Assets</v>
      </c>
      <c r="B139" s="124">
        <f>B35/B$35</f>
        <v>1</v>
      </c>
      <c r="C139" s="252">
        <f aca="true" t="shared" si="47" ref="C139:H139">C35/C$35</f>
        <v>1</v>
      </c>
      <c r="D139" s="253">
        <f t="shared" si="47"/>
        <v>1</v>
      </c>
      <c r="E139" s="252">
        <f t="shared" si="47"/>
        <v>1</v>
      </c>
      <c r="F139" s="252">
        <f t="shared" si="47"/>
        <v>1</v>
      </c>
      <c r="G139" s="252">
        <f t="shared" si="47"/>
        <v>1</v>
      </c>
      <c r="H139" s="252">
        <f t="shared" si="47"/>
        <v>1</v>
      </c>
      <c r="I139" s="121">
        <f>SUM(C35:H35)/SUM(C$35:H$35)</f>
        <v>1</v>
      </c>
    </row>
    <row r="140" spans="1:9" s="9" customFormat="1" ht="15" thickTop="1">
      <c r="A140" s="107"/>
      <c r="B140" s="247"/>
      <c r="C140" s="110"/>
      <c r="D140" s="249"/>
      <c r="E140" s="110"/>
      <c r="F140" s="110"/>
      <c r="G140" s="110"/>
      <c r="H140" s="110"/>
      <c r="I140" s="240"/>
    </row>
    <row r="141" spans="1:9" s="9" customFormat="1" ht="14.25">
      <c r="A141" s="107" t="str">
        <f t="shared" si="43"/>
        <v>Current Liabilities:</v>
      </c>
      <c r="B141" s="247"/>
      <c r="C141" s="110"/>
      <c r="D141" s="249"/>
      <c r="E141" s="110"/>
      <c r="F141" s="110"/>
      <c r="G141" s="110"/>
      <c r="H141" s="110"/>
      <c r="I141" s="110"/>
    </row>
    <row r="142" spans="1:9" s="9" customFormat="1" ht="14.25">
      <c r="A142" s="107" t="str">
        <f t="shared" si="43"/>
        <v>Current Portion of LTD</v>
      </c>
      <c r="B142" s="247">
        <f aca="true" t="shared" si="48" ref="B142:H142">B38/B$35</f>
        <v>0.010271972336695074</v>
      </c>
      <c r="C142" s="110">
        <f t="shared" si="48"/>
        <v>0.010490885020446754</v>
      </c>
      <c r="D142" s="249">
        <f t="shared" si="48"/>
        <v>0.009379489211632234</v>
      </c>
      <c r="E142" s="110">
        <f t="shared" si="48"/>
        <v>0.007277028730007123</v>
      </c>
      <c r="F142" s="110">
        <f t="shared" si="48"/>
        <v>0.010570597662541259</v>
      </c>
      <c r="G142" s="110">
        <f t="shared" si="48"/>
        <v>0.011160928755939038</v>
      </c>
      <c r="H142" s="110">
        <f t="shared" si="48"/>
        <v>0.010927187536799322</v>
      </c>
      <c r="I142" s="110">
        <f>SUM(D38:H38)/SUM(D$35:H$35)</f>
        <v>0.009957726164263155</v>
      </c>
    </row>
    <row r="143" spans="1:9" s="9" customFormat="1" ht="14.25">
      <c r="A143" s="107" t="str">
        <f t="shared" si="43"/>
        <v>Acounts Payable</v>
      </c>
      <c r="B143" s="247">
        <f aca="true" t="shared" si="49" ref="B143:H143">B39/B$35</f>
        <v>0.08874354009539033</v>
      </c>
      <c r="C143" s="110">
        <f>C39/C$35</f>
        <v>0.08001142558627079</v>
      </c>
      <c r="D143" s="249">
        <f t="shared" si="49"/>
        <v>0.08437748284083056</v>
      </c>
      <c r="E143" s="110">
        <f t="shared" si="49"/>
        <v>0.08437748284083056</v>
      </c>
      <c r="F143" s="110">
        <f t="shared" si="49"/>
        <v>0.08437748284083056</v>
      </c>
      <c r="G143" s="110">
        <f t="shared" si="49"/>
        <v>0.08437748284083056</v>
      </c>
      <c r="H143" s="110">
        <f t="shared" si="49"/>
        <v>0.08437748284083056</v>
      </c>
      <c r="I143" s="110">
        <f aca="true" t="shared" si="50" ref="I143:I158">SUM(D39:H39)/SUM(D$35:H$35)</f>
        <v>0.08437748284083058</v>
      </c>
    </row>
    <row r="144" spans="1:9" s="9" customFormat="1" ht="14.25">
      <c r="A144" s="107" t="str">
        <f t="shared" si="43"/>
        <v>Accrued Expenses</v>
      </c>
      <c r="B144" s="247">
        <f aca="true" t="shared" si="51" ref="B144:H144">B40/B$35</f>
        <v>0.02800649793191029</v>
      </c>
      <c r="C144" s="110">
        <f t="shared" si="51"/>
        <v>0.008980174453040788</v>
      </c>
      <c r="D144" s="249">
        <f t="shared" si="51"/>
        <v>0.02498851456617513</v>
      </c>
      <c r="E144" s="110">
        <f t="shared" si="51"/>
        <v>0.019477395154265935</v>
      </c>
      <c r="F144" s="110">
        <f t="shared" si="51"/>
        <v>0.018055484615170526</v>
      </c>
      <c r="G144" s="110">
        <f t="shared" si="51"/>
        <v>0.01743835125901893</v>
      </c>
      <c r="H144" s="110">
        <f t="shared" si="51"/>
        <v>0.016763976969026664</v>
      </c>
      <c r="I144" s="110">
        <f t="shared" si="50"/>
        <v>0.018957966071741814</v>
      </c>
    </row>
    <row r="145" spans="1:9" s="9" customFormat="1" ht="14.25">
      <c r="A145" s="107" t="str">
        <f t="shared" si="43"/>
        <v>Customer Deposits</v>
      </c>
      <c r="B145" s="247">
        <f>B41/B$35</f>
        <v>0.0004709430824686295</v>
      </c>
      <c r="C145" s="110">
        <f aca="true" t="shared" si="52" ref="C145:H145">C41/C$35</f>
        <v>0.000352122483966602</v>
      </c>
      <c r="D145" s="249">
        <f t="shared" si="52"/>
        <v>0.00040026234589013476</v>
      </c>
      <c r="E145" s="110">
        <f t="shared" si="52"/>
        <v>0.0003119860468548424</v>
      </c>
      <c r="F145" s="110">
        <f t="shared" si="52"/>
        <v>0.0002892100932655631</v>
      </c>
      <c r="G145" s="110">
        <f t="shared" si="52"/>
        <v>0.0002793249420611512</v>
      </c>
      <c r="H145" s="110">
        <f t="shared" si="52"/>
        <v>0.0002685229140092047</v>
      </c>
      <c r="I145" s="110">
        <f t="shared" si="50"/>
        <v>0.00030366590831503126</v>
      </c>
    </row>
    <row r="146" spans="1:9" s="9" customFormat="1" ht="14.25">
      <c r="A146" s="107" t="str">
        <f t="shared" si="43"/>
        <v>Perpetual Line of Credit</v>
      </c>
      <c r="B146" s="247">
        <f>B42/B$35</f>
        <v>0.06766423598687206</v>
      </c>
      <c r="C146" s="110">
        <f aca="true" t="shared" si="53" ref="C146:H146">C42/C$35</f>
        <v>0.06569449327735112</v>
      </c>
      <c r="D146" s="249">
        <f t="shared" si="53"/>
        <v>0.06196011546286916</v>
      </c>
      <c r="E146" s="110">
        <f t="shared" si="53"/>
        <v>0.04829505369270007</v>
      </c>
      <c r="F146" s="110">
        <f t="shared" si="53"/>
        <v>0.044769364282594905</v>
      </c>
      <c r="G146" s="110">
        <f t="shared" si="53"/>
        <v>0.043239155117825265</v>
      </c>
      <c r="H146" s="110">
        <f t="shared" si="53"/>
        <v>0.04156701455250846</v>
      </c>
      <c r="I146" s="110">
        <f t="shared" si="50"/>
        <v>0.04700710655031444</v>
      </c>
    </row>
    <row r="147" spans="1:9" s="9" customFormat="1" ht="14.25">
      <c r="A147" s="107" t="str">
        <f t="shared" si="43"/>
        <v>Other Current and Accrued Liabilities</v>
      </c>
      <c r="B147" s="115">
        <f>B43/B$35</f>
        <v>0</v>
      </c>
      <c r="C147" s="250">
        <f aca="true" t="shared" si="54" ref="C147:H147">C43/C$35</f>
        <v>0</v>
      </c>
      <c r="D147" s="251">
        <f t="shared" si="54"/>
        <v>0</v>
      </c>
      <c r="E147" s="250">
        <f t="shared" si="54"/>
        <v>0</v>
      </c>
      <c r="F147" s="250">
        <f t="shared" si="54"/>
        <v>0</v>
      </c>
      <c r="G147" s="250">
        <f t="shared" si="54"/>
        <v>0</v>
      </c>
      <c r="H147" s="250">
        <f t="shared" si="54"/>
        <v>0</v>
      </c>
      <c r="I147" s="115">
        <f t="shared" si="50"/>
        <v>0</v>
      </c>
    </row>
    <row r="148" spans="1:9" s="9" customFormat="1" ht="14.25">
      <c r="A148" s="107" t="str">
        <f t="shared" si="43"/>
        <v>Total Current Liabilities</v>
      </c>
      <c r="B148" s="247">
        <f>B44/B$35</f>
        <v>0.19515718943333638</v>
      </c>
      <c r="C148" s="110">
        <f aca="true" t="shared" si="55" ref="C148:H148">C44/C$35</f>
        <v>0.16552910082107605</v>
      </c>
      <c r="D148" s="249">
        <f t="shared" si="55"/>
        <v>0.18110586442739723</v>
      </c>
      <c r="E148" s="110">
        <f t="shared" si="55"/>
        <v>0.15973894646465853</v>
      </c>
      <c r="F148" s="110">
        <f t="shared" si="55"/>
        <v>0.15806213949440281</v>
      </c>
      <c r="G148" s="110">
        <f t="shared" si="55"/>
        <v>0.15649524291567493</v>
      </c>
      <c r="H148" s="110">
        <f t="shared" si="55"/>
        <v>0.15390418481317422</v>
      </c>
      <c r="I148" s="110">
        <f t="shared" si="50"/>
        <v>0.16060394753546503</v>
      </c>
    </row>
    <row r="149" spans="1:9" s="9" customFormat="1" ht="14.25">
      <c r="A149" s="107"/>
      <c r="B149" s="247"/>
      <c r="C149" s="110"/>
      <c r="D149" s="249"/>
      <c r="E149" s="110"/>
      <c r="F149" s="110"/>
      <c r="G149" s="110"/>
      <c r="H149" s="107"/>
      <c r="I149" s="110"/>
    </row>
    <row r="150" spans="1:9" s="9" customFormat="1" ht="14.25">
      <c r="A150" s="107" t="str">
        <f t="shared" si="43"/>
        <v>Long-Term Debt</v>
      </c>
      <c r="B150" s="247">
        <f>B46/B$35</f>
        <v>0.4313787210593296</v>
      </c>
      <c r="C150" s="247">
        <f aca="true" t="shared" si="56" ref="C150:H150">C46/C$35</f>
        <v>0.40833016685875734</v>
      </c>
      <c r="D150" s="249">
        <f t="shared" si="56"/>
        <v>0.37573930877845363</v>
      </c>
      <c r="E150" s="247">
        <f t="shared" si="56"/>
        <v>0.28573864543178273</v>
      </c>
      <c r="F150" s="247">
        <f t="shared" si="56"/>
        <v>0.25842776434751585</v>
      </c>
      <c r="G150" s="247">
        <f t="shared" si="56"/>
        <v>0.24351591903622624</v>
      </c>
      <c r="H150" s="247">
        <f t="shared" si="56"/>
        <v>0.22839726856907497</v>
      </c>
      <c r="I150" s="110">
        <f t="shared" si="50"/>
        <v>0.2715099498037287</v>
      </c>
    </row>
    <row r="151" spans="1:9" s="9" customFormat="1" ht="14.25">
      <c r="A151" s="107" t="str">
        <f t="shared" si="43"/>
        <v>Deferred Income Taxes</v>
      </c>
      <c r="B151" s="247">
        <f>B47/B$35</f>
        <v>0</v>
      </c>
      <c r="C151" s="110">
        <f aca="true" t="shared" si="57" ref="C151:H151">C47/C$35</f>
        <v>0</v>
      </c>
      <c r="D151" s="249">
        <f t="shared" si="57"/>
        <v>0</v>
      </c>
      <c r="E151" s="110">
        <f t="shared" si="57"/>
        <v>0</v>
      </c>
      <c r="F151" s="110">
        <f t="shared" si="57"/>
        <v>0</v>
      </c>
      <c r="G151" s="110">
        <f t="shared" si="57"/>
        <v>0</v>
      </c>
      <c r="H151" s="110">
        <f t="shared" si="57"/>
        <v>0</v>
      </c>
      <c r="I151" s="110">
        <f t="shared" si="50"/>
        <v>0</v>
      </c>
    </row>
    <row r="152" spans="1:9" s="9" customFormat="1" ht="14.25">
      <c r="A152" s="107" t="str">
        <f t="shared" si="43"/>
        <v>Other Deferred Credits</v>
      </c>
      <c r="B152" s="247">
        <f>B48/B$35</f>
        <v>0.0011483974131691924</v>
      </c>
      <c r="C152" s="110">
        <f aca="true" t="shared" si="58" ref="C152:H152">C48/C$35</f>
        <v>0.0007436616638996146</v>
      </c>
      <c r="D152" s="249">
        <f t="shared" si="58"/>
        <v>0.0003511899344435424</v>
      </c>
      <c r="E152" s="110">
        <f t="shared" si="58"/>
        <v>7.727208590832011E-07</v>
      </c>
      <c r="F152" s="110">
        <f t="shared" si="58"/>
        <v>0</v>
      </c>
      <c r="G152" s="110">
        <f t="shared" si="58"/>
        <v>0</v>
      </c>
      <c r="H152" s="110">
        <f t="shared" si="58"/>
        <v>0</v>
      </c>
      <c r="I152" s="110">
        <f t="shared" si="50"/>
        <v>5.3437678726397456E-05</v>
      </c>
    </row>
    <row r="153" spans="1:9" s="9" customFormat="1" ht="14.25">
      <c r="A153" s="107" t="str">
        <f t="shared" si="43"/>
        <v>Additional Loans</v>
      </c>
      <c r="B153" s="115">
        <f>B49/B$35</f>
        <v>0</v>
      </c>
      <c r="C153" s="250">
        <f aca="true" t="shared" si="59" ref="C153:H153">C49/C$35</f>
        <v>0</v>
      </c>
      <c r="D153" s="251">
        <f t="shared" si="59"/>
        <v>0.007596317981518513</v>
      </c>
      <c r="E153" s="250">
        <f t="shared" si="59"/>
        <v>0.1824671639530578</v>
      </c>
      <c r="F153" s="250">
        <f t="shared" si="59"/>
        <v>0.2160540736062202</v>
      </c>
      <c r="G153" s="250">
        <f t="shared" si="59"/>
        <v>0.2231996534168798</v>
      </c>
      <c r="H153" s="250">
        <f t="shared" si="59"/>
        <v>0.23202232458956779</v>
      </c>
      <c r="I153" s="115">
        <f t="shared" si="50"/>
        <v>0.1830510930151561</v>
      </c>
    </row>
    <row r="154" spans="1:9" s="9" customFormat="1" ht="14.25">
      <c r="A154" s="107" t="str">
        <f t="shared" si="43"/>
        <v>Total LTD &amp; Deferrals</v>
      </c>
      <c r="B154" s="247">
        <f>B50/B$35</f>
        <v>0.4325271184724988</v>
      </c>
      <c r="C154" s="110">
        <f aca="true" t="shared" si="60" ref="C154:H154">C50/C$35</f>
        <v>0.409073828522657</v>
      </c>
      <c r="D154" s="249">
        <f t="shared" si="60"/>
        <v>0.38368681669441573</v>
      </c>
      <c r="E154" s="110">
        <f t="shared" si="60"/>
        <v>0.46820658210569965</v>
      </c>
      <c r="F154" s="110">
        <f t="shared" si="60"/>
        <v>0.47448183795373605</v>
      </c>
      <c r="G154" s="110">
        <f t="shared" si="60"/>
        <v>0.4667155724531061</v>
      </c>
      <c r="H154" s="110">
        <f t="shared" si="60"/>
        <v>0.4604195931586427</v>
      </c>
      <c r="I154" s="110">
        <f t="shared" si="50"/>
        <v>0.4546144804976112</v>
      </c>
    </row>
    <row r="155" spans="1:9" s="9" customFormat="1" ht="14.25">
      <c r="A155" s="107"/>
      <c r="B155" s="247"/>
      <c r="C155" s="110"/>
      <c r="D155" s="249"/>
      <c r="E155" s="110"/>
      <c r="F155" s="110"/>
      <c r="G155" s="110"/>
      <c r="H155" s="107"/>
      <c r="I155" s="110"/>
    </row>
    <row r="156" spans="1:9" s="9" customFormat="1" ht="14.25">
      <c r="A156" s="107" t="str">
        <f t="shared" si="43"/>
        <v>Total Liabilities</v>
      </c>
      <c r="B156" s="247">
        <f aca="true" t="shared" si="61" ref="B156:H156">B52/B$35</f>
        <v>0.6276843079058352</v>
      </c>
      <c r="C156" s="110">
        <f t="shared" si="61"/>
        <v>0.574602929343733</v>
      </c>
      <c r="D156" s="249">
        <f t="shared" si="61"/>
        <v>0.5647926811218129</v>
      </c>
      <c r="E156" s="110">
        <f t="shared" si="61"/>
        <v>0.6279455285703582</v>
      </c>
      <c r="F156" s="110">
        <f t="shared" si="61"/>
        <v>0.6325439774481388</v>
      </c>
      <c r="G156" s="110">
        <f t="shared" si="61"/>
        <v>0.623210815368781</v>
      </c>
      <c r="H156" s="110">
        <f t="shared" si="61"/>
        <v>0.6143237779718169</v>
      </c>
      <c r="I156" s="110">
        <f t="shared" si="50"/>
        <v>0.6152184280330762</v>
      </c>
    </row>
    <row r="157" spans="1:9" s="9" customFormat="1" ht="14.25">
      <c r="A157" s="107"/>
      <c r="B157" s="247"/>
      <c r="C157" s="110"/>
      <c r="D157" s="249"/>
      <c r="E157" s="110"/>
      <c r="F157" s="110"/>
      <c r="G157" s="110"/>
      <c r="H157" s="107"/>
      <c r="I157" s="110"/>
    </row>
    <row r="158" spans="1:9" s="9" customFormat="1" ht="14.25">
      <c r="A158" s="107" t="str">
        <f t="shared" si="43"/>
        <v>Deferred Revenue - Impact Fees</v>
      </c>
      <c r="B158" s="247">
        <f aca="true" t="shared" si="62" ref="B158:H158">B54/B$35</f>
        <v>0.028340217943797544</v>
      </c>
      <c r="C158" s="110">
        <f t="shared" si="62"/>
        <v>0.03411094591135868</v>
      </c>
      <c r="D158" s="249">
        <f t="shared" si="62"/>
        <v>0.028278285139423334</v>
      </c>
      <c r="E158" s="110">
        <f t="shared" si="62"/>
        <v>0.0282782851383105</v>
      </c>
      <c r="F158" s="110">
        <f t="shared" si="62"/>
        <v>0.028278285129200487</v>
      </c>
      <c r="G158" s="110">
        <f t="shared" si="62"/>
        <v>0.02827828511595797</v>
      </c>
      <c r="H158" s="110">
        <f t="shared" si="62"/>
        <v>0.028278285095773577</v>
      </c>
      <c r="I158" s="110">
        <f t="shared" si="50"/>
        <v>0.02827828512208542</v>
      </c>
    </row>
    <row r="159" spans="1:9" s="9" customFormat="1" ht="14.25">
      <c r="A159" s="107"/>
      <c r="B159" s="247"/>
      <c r="C159" s="110"/>
      <c r="D159" s="249"/>
      <c r="E159" s="110"/>
      <c r="F159" s="110"/>
      <c r="G159" s="110"/>
      <c r="H159" s="107"/>
      <c r="I159" s="110"/>
    </row>
    <row r="160" spans="1:9" s="9" customFormat="1" ht="14.25">
      <c r="A160" s="107" t="str">
        <f t="shared" si="43"/>
        <v>Common Equity:</v>
      </c>
      <c r="B160" s="247"/>
      <c r="C160" s="110"/>
      <c r="D160" s="249"/>
      <c r="E160" s="110"/>
      <c r="F160" s="110"/>
      <c r="G160" s="110"/>
      <c r="H160" s="107"/>
      <c r="I160" s="110"/>
    </row>
    <row r="161" spans="1:9" s="9" customFormat="1" ht="14.25">
      <c r="A161" s="107" t="str">
        <f t="shared" si="43"/>
        <v>Patrons Capital</v>
      </c>
      <c r="B161" s="247">
        <f aca="true" t="shared" si="63" ref="B161:H161">B57/B$35</f>
        <v>0.3439754741503673</v>
      </c>
      <c r="C161" s="110">
        <f t="shared" si="63"/>
        <v>0.39128612474490826</v>
      </c>
      <c r="D161" s="249">
        <f t="shared" si="63"/>
        <v>0.36904361779393724</v>
      </c>
      <c r="E161" s="110">
        <f t="shared" si="63"/>
        <v>0.2876524874616681</v>
      </c>
      <c r="F161" s="110">
        <f t="shared" si="63"/>
        <v>0.26665295953304907</v>
      </c>
      <c r="G161" s="110">
        <f t="shared" si="63"/>
        <v>0.25753880727672473</v>
      </c>
      <c r="H161" s="110">
        <f t="shared" si="63"/>
        <v>0.24757929059289419</v>
      </c>
      <c r="I161" s="110">
        <f>SUM(D57:H57)/SUM(D$35:H$35)</f>
        <v>0.2799812836654422</v>
      </c>
    </row>
    <row r="162" spans="1:9" s="9" customFormat="1" ht="14.25">
      <c r="A162" s="107" t="str">
        <f t="shared" si="43"/>
        <v>Retained Earnings</v>
      </c>
      <c r="B162" s="115">
        <f aca="true" t="shared" si="64" ref="B162:H162">B58/B$35</f>
        <v>0</v>
      </c>
      <c r="C162" s="250">
        <f t="shared" si="64"/>
        <v>0</v>
      </c>
      <c r="D162" s="251">
        <f t="shared" si="64"/>
        <v>0.037885415664050105</v>
      </c>
      <c r="E162" s="250">
        <f t="shared" si="64"/>
        <v>0.05612369851090794</v>
      </c>
      <c r="F162" s="250">
        <f t="shared" si="64"/>
        <v>0.07252477726366326</v>
      </c>
      <c r="G162" s="250">
        <f t="shared" si="64"/>
        <v>0.0909720911655946</v>
      </c>
      <c r="H162" s="250">
        <f t="shared" si="64"/>
        <v>0.10981864458482217</v>
      </c>
      <c r="I162" s="115">
        <f>SUM(D58:H58)/SUM(D$35:H$35)</f>
        <v>0.07652200231313915</v>
      </c>
    </row>
    <row r="163" spans="1:9" s="9" customFormat="1" ht="14.25">
      <c r="A163" s="107" t="str">
        <f t="shared" si="43"/>
        <v>Total Patronage Equity</v>
      </c>
      <c r="B163" s="247">
        <f aca="true" t="shared" si="65" ref="B163:H163">B59/B$35</f>
        <v>0.3439754741503673</v>
      </c>
      <c r="C163" s="247">
        <f t="shared" si="65"/>
        <v>0.39128612474490826</v>
      </c>
      <c r="D163" s="249">
        <f t="shared" si="65"/>
        <v>0.4069290334579873</v>
      </c>
      <c r="E163" s="247">
        <f t="shared" si="65"/>
        <v>0.34377618597257603</v>
      </c>
      <c r="F163" s="247">
        <f t="shared" si="65"/>
        <v>0.3391777367967123</v>
      </c>
      <c r="G163" s="247">
        <f t="shared" si="65"/>
        <v>0.3485108984423193</v>
      </c>
      <c r="H163" s="247">
        <f t="shared" si="65"/>
        <v>0.3573979351777163</v>
      </c>
      <c r="I163" s="110">
        <f>SUM(D59:H59)/SUM(D$35:H$35)</f>
        <v>0.3565032859785814</v>
      </c>
    </row>
    <row r="164" spans="1:9" s="9" customFormat="1" ht="15" thickBot="1">
      <c r="A164" s="107" t="str">
        <f t="shared" si="43"/>
        <v>Total Liabilities &amp; Equity</v>
      </c>
      <c r="B164" s="124">
        <f aca="true" t="shared" si="66" ref="B164:H164">B60/B$35</f>
        <v>1</v>
      </c>
      <c r="C164" s="252">
        <f t="shared" si="66"/>
        <v>1</v>
      </c>
      <c r="D164" s="253">
        <f t="shared" si="66"/>
        <v>0.9999999997192236</v>
      </c>
      <c r="E164" s="252">
        <f t="shared" si="66"/>
        <v>0.9999999996812448</v>
      </c>
      <c r="F164" s="252">
        <f t="shared" si="66"/>
        <v>0.9999999993740517</v>
      </c>
      <c r="G164" s="252">
        <f t="shared" si="66"/>
        <v>0.9999999989270584</v>
      </c>
      <c r="H164" s="252">
        <f t="shared" si="66"/>
        <v>0.9999999982453068</v>
      </c>
      <c r="I164" s="110">
        <f>SUM(D60:H60)/SUM(D$35:H$35)</f>
        <v>0.999999999133743</v>
      </c>
    </row>
    <row r="165" spans="1:20" s="9" customFormat="1" ht="15" thickTop="1">
      <c r="A165" s="107"/>
      <c r="B165" s="123"/>
      <c r="C165" s="107"/>
      <c r="D165" s="248"/>
      <c r="E165" s="107"/>
      <c r="F165" s="107"/>
      <c r="G165" s="107"/>
      <c r="H165" s="107"/>
      <c r="I165" s="240"/>
      <c r="K165" s="50">
        <v>2005</v>
      </c>
      <c r="L165" s="50">
        <f aca="true" t="shared" si="67" ref="L165:T165">K165+1</f>
        <v>2006</v>
      </c>
      <c r="M165" s="50">
        <f t="shared" si="67"/>
        <v>2007</v>
      </c>
      <c r="N165" s="50">
        <f t="shared" si="67"/>
        <v>2008</v>
      </c>
      <c r="O165" s="50">
        <f t="shared" si="67"/>
        <v>2009</v>
      </c>
      <c r="P165" s="50">
        <f t="shared" si="67"/>
        <v>2010</v>
      </c>
      <c r="Q165" s="50">
        <f t="shared" si="67"/>
        <v>2011</v>
      </c>
      <c r="R165" s="50">
        <f t="shared" si="67"/>
        <v>2012</v>
      </c>
      <c r="S165" s="50">
        <f t="shared" si="67"/>
        <v>2013</v>
      </c>
      <c r="T165" s="50">
        <f t="shared" si="67"/>
        <v>2014</v>
      </c>
    </row>
    <row r="166" spans="1:19" s="9" customFormat="1" ht="14.25">
      <c r="A166" s="107"/>
      <c r="B166" s="123"/>
      <c r="C166" s="107"/>
      <c r="D166" s="107"/>
      <c r="E166" s="107"/>
      <c r="F166" s="107"/>
      <c r="G166" s="107"/>
      <c r="H166" s="107"/>
      <c r="I166" s="110"/>
      <c r="K166" s="3">
        <f>+Historical!D115-Historical!C115</f>
        <v>-0.08641346510960601</v>
      </c>
      <c r="L166" s="3">
        <f>+Historical!E115-Historical!D115</f>
        <v>-0.16065006800730602</v>
      </c>
      <c r="M166" s="3">
        <f>+Historical!F115-Historical!E115</f>
        <v>0.011317919200640958</v>
      </c>
      <c r="N166" s="3">
        <f>+Historical!G115-Historical!F115</f>
        <v>0.04731065059454098</v>
      </c>
      <c r="O166" s="14">
        <f>D163-C163</f>
        <v>0.01564290871307905</v>
      </c>
      <c r="P166" s="14">
        <f>E163-D163</f>
        <v>-0.06315284748541128</v>
      </c>
      <c r="Q166" s="14">
        <f>F163-E163</f>
        <v>-0.004598449175863717</v>
      </c>
      <c r="R166" s="14">
        <f>G163-F163</f>
        <v>0.009333161645606991</v>
      </c>
      <c r="S166" s="14">
        <f>H163-G163</f>
        <v>0.00888703673539698</v>
      </c>
    </row>
    <row r="167" spans="1:9" s="9" customFormat="1" ht="14.25">
      <c r="A167" s="107"/>
      <c r="B167" s="123"/>
      <c r="C167" s="107"/>
      <c r="D167" s="107"/>
      <c r="E167" s="107"/>
      <c r="F167" s="107"/>
      <c r="G167" s="107"/>
      <c r="H167" s="107"/>
      <c r="I167" s="106" t="str">
        <f>I104</f>
        <v>Exhibit 2</v>
      </c>
    </row>
    <row r="168" spans="1:17" s="9" customFormat="1" ht="14.25">
      <c r="A168" s="107"/>
      <c r="B168" s="123"/>
      <c r="C168" s="107"/>
      <c r="D168" s="107"/>
      <c r="E168" s="107"/>
      <c r="F168" s="107"/>
      <c r="G168" s="107"/>
      <c r="H168" s="107"/>
      <c r="I168" s="106" t="s">
        <v>130</v>
      </c>
      <c r="M168" s="14">
        <f>AVERAGE(K166:N166)</f>
        <v>-0.047108740830432524</v>
      </c>
      <c r="Q168" s="14">
        <f>AVERAGE(O166:S166)</f>
        <v>-0.006777637913438395</v>
      </c>
    </row>
    <row r="169" spans="1:9" s="9" customFormat="1" ht="15.75">
      <c r="A169" s="67" t="str">
        <f>A3</f>
        <v>Flowell Electric Association, Inc.</v>
      </c>
      <c r="B169" s="104"/>
      <c r="C169" s="71"/>
      <c r="D169" s="71"/>
      <c r="E169" s="71"/>
      <c r="F169" s="71"/>
      <c r="G169" s="57"/>
      <c r="H169" s="57"/>
      <c r="I169" s="58"/>
    </row>
    <row r="170" spans="1:9" s="9" customFormat="1" ht="15.75">
      <c r="A170" s="67" t="s">
        <v>57</v>
      </c>
      <c r="B170" s="104"/>
      <c r="C170" s="71"/>
      <c r="D170" s="71"/>
      <c r="E170" s="71"/>
      <c r="F170" s="71"/>
      <c r="G170" s="57"/>
      <c r="H170" s="57"/>
      <c r="I170" s="58"/>
    </row>
    <row r="171" spans="1:9" s="9" customFormat="1" ht="15.75">
      <c r="A171" s="67" t="s">
        <v>56</v>
      </c>
      <c r="B171" s="104"/>
      <c r="C171" s="71"/>
      <c r="D171" s="71"/>
      <c r="E171" s="71"/>
      <c r="F171" s="71"/>
      <c r="G171" s="57"/>
      <c r="H171" s="57"/>
      <c r="I171" s="58"/>
    </row>
    <row r="172" spans="1:9" s="9" customFormat="1" ht="12.75">
      <c r="A172" s="97"/>
      <c r="B172" s="72"/>
      <c r="C172" s="57"/>
      <c r="D172" s="57"/>
      <c r="E172" s="57"/>
      <c r="F172" s="57"/>
      <c r="G172" s="57"/>
      <c r="H172" s="57"/>
      <c r="I172" s="58"/>
    </row>
    <row r="173" spans="1:9" s="9" customFormat="1" ht="12.75">
      <c r="A173" s="36"/>
      <c r="B173" s="65"/>
      <c r="C173" s="36"/>
      <c r="D173" s="36"/>
      <c r="E173" s="36"/>
      <c r="F173" s="36"/>
      <c r="G173" s="36"/>
      <c r="H173" s="36"/>
      <c r="I173" s="64"/>
    </row>
    <row r="174" spans="1:9" s="9" customFormat="1" ht="15">
      <c r="A174" s="107"/>
      <c r="B174" s="221" t="s">
        <v>18</v>
      </c>
      <c r="C174" s="221" t="s">
        <v>18</v>
      </c>
      <c r="D174" s="245" t="s">
        <v>59</v>
      </c>
      <c r="E174" s="223" t="s">
        <v>59</v>
      </c>
      <c r="F174" s="223" t="s">
        <v>59</v>
      </c>
      <c r="G174" s="223" t="s">
        <v>59</v>
      </c>
      <c r="H174" s="223" t="s">
        <v>59</v>
      </c>
      <c r="I174" s="180" t="s">
        <v>59</v>
      </c>
    </row>
    <row r="175" spans="1:9" s="9" customFormat="1" ht="15">
      <c r="A175" s="224" t="s">
        <v>1</v>
      </c>
      <c r="B175" s="317">
        <f>B111</f>
        <v>2008</v>
      </c>
      <c r="C175" s="225">
        <f aca="true" t="shared" si="68" ref="C175:H175">C9</f>
        <v>2009</v>
      </c>
      <c r="D175" s="246">
        <f t="shared" si="68"/>
        <v>2010</v>
      </c>
      <c r="E175" s="225">
        <f t="shared" si="68"/>
        <v>2011</v>
      </c>
      <c r="F175" s="225">
        <f t="shared" si="68"/>
        <v>2012</v>
      </c>
      <c r="G175" s="225">
        <f t="shared" si="68"/>
        <v>2013</v>
      </c>
      <c r="H175" s="225">
        <f t="shared" si="68"/>
        <v>2014</v>
      </c>
      <c r="I175" s="203" t="s">
        <v>4</v>
      </c>
    </row>
    <row r="176" spans="1:9" s="9" customFormat="1" ht="14.25">
      <c r="A176" s="107" t="s">
        <v>29</v>
      </c>
      <c r="B176" s="247"/>
      <c r="C176" s="110"/>
      <c r="D176" s="249"/>
      <c r="E176" s="110"/>
      <c r="F176" s="110"/>
      <c r="G176" s="110"/>
      <c r="H176" s="110"/>
      <c r="I176" s="110"/>
    </row>
    <row r="177" spans="1:9" s="9" customFormat="1" ht="14.25">
      <c r="A177" s="107" t="str">
        <f>A75</f>
        <v>Operating Revenues</v>
      </c>
      <c r="B177" s="247">
        <f aca="true" t="shared" si="69" ref="B177:H178">B75/B$77</f>
        <v>1</v>
      </c>
      <c r="C177" s="247">
        <f aca="true" t="shared" si="70" ref="C177:H177">C75/C$77</f>
        <v>1</v>
      </c>
      <c r="D177" s="249">
        <f t="shared" si="70"/>
        <v>1</v>
      </c>
      <c r="E177" s="247">
        <f t="shared" si="70"/>
        <v>1</v>
      </c>
      <c r="F177" s="247">
        <f t="shared" si="70"/>
        <v>1</v>
      </c>
      <c r="G177" s="247">
        <f t="shared" si="70"/>
        <v>1</v>
      </c>
      <c r="H177" s="247">
        <f t="shared" si="70"/>
        <v>1</v>
      </c>
      <c r="I177" s="247">
        <f>SUM(C75:H75)/SUM(C$77:H$77)</f>
        <v>1</v>
      </c>
    </row>
    <row r="178" spans="1:9" s="9" customFormat="1" ht="14.25">
      <c r="A178" s="107" t="str">
        <f>A76</f>
        <v>      Additional Revenue Requirements</v>
      </c>
      <c r="B178" s="115">
        <f t="shared" si="69"/>
        <v>0</v>
      </c>
      <c r="C178" s="250">
        <f>C76/C$77</f>
        <v>0</v>
      </c>
      <c r="D178" s="251">
        <f t="shared" si="69"/>
        <v>0</v>
      </c>
      <c r="E178" s="250">
        <f t="shared" si="69"/>
        <v>0</v>
      </c>
      <c r="F178" s="250">
        <f t="shared" si="69"/>
        <v>0</v>
      </c>
      <c r="G178" s="250">
        <f t="shared" si="69"/>
        <v>0</v>
      </c>
      <c r="H178" s="250">
        <f t="shared" si="69"/>
        <v>0</v>
      </c>
      <c r="I178" s="110">
        <f>SUM(C76:H76)/SUM(C$77:H$77)</f>
        <v>0</v>
      </c>
    </row>
    <row r="179" spans="1:9" s="9" customFormat="1" ht="14.25">
      <c r="A179" s="107" t="str">
        <f>A77</f>
        <v>Total Revenues</v>
      </c>
      <c r="B179" s="247">
        <f aca="true" t="shared" si="71" ref="B179:H179">B77/B$77</f>
        <v>1</v>
      </c>
      <c r="C179" s="110">
        <f t="shared" si="71"/>
        <v>1</v>
      </c>
      <c r="D179" s="249">
        <f t="shared" si="71"/>
        <v>1</v>
      </c>
      <c r="E179" s="110">
        <f t="shared" si="71"/>
        <v>1</v>
      </c>
      <c r="F179" s="110">
        <f t="shared" si="71"/>
        <v>1</v>
      </c>
      <c r="G179" s="110">
        <f t="shared" si="71"/>
        <v>1</v>
      </c>
      <c r="H179" s="110">
        <f t="shared" si="71"/>
        <v>1</v>
      </c>
      <c r="I179" s="254">
        <f>SUM(C77:H77)/SUM(C$77:H$77)</f>
        <v>1</v>
      </c>
    </row>
    <row r="180" spans="1:9" s="9" customFormat="1" ht="14.25">
      <c r="A180" s="107"/>
      <c r="B180" s="247"/>
      <c r="C180" s="110"/>
      <c r="D180" s="249"/>
      <c r="E180" s="110"/>
      <c r="F180" s="110"/>
      <c r="G180" s="110"/>
      <c r="H180" s="110"/>
      <c r="I180" s="247"/>
    </row>
    <row r="181" spans="1:9" s="9" customFormat="1" ht="14.25">
      <c r="A181" s="107" t="s">
        <v>28</v>
      </c>
      <c r="B181" s="247"/>
      <c r="C181" s="110"/>
      <c r="D181" s="249"/>
      <c r="E181" s="110"/>
      <c r="F181" s="110"/>
      <c r="G181" s="110"/>
      <c r="H181" s="110"/>
      <c r="I181" s="110"/>
    </row>
    <row r="182" spans="1:9" s="9" customFormat="1" ht="14.25">
      <c r="A182" s="107" t="str">
        <f aca="true" t="shared" si="72" ref="A182:A187">A80</f>
        <v>Cost of Purchased Power</v>
      </c>
      <c r="B182" s="247">
        <f aca="true" t="shared" si="73" ref="B182:B187">B80/$B$77</f>
        <v>0.49038447736032903</v>
      </c>
      <c r="C182" s="110">
        <f aca="true" t="shared" si="74" ref="C182:H185">C80/C$77</f>
        <v>0.4458373235750314</v>
      </c>
      <c r="D182" s="249">
        <f t="shared" si="74"/>
        <v>0.48532942772194054</v>
      </c>
      <c r="E182" s="110">
        <f t="shared" si="74"/>
        <v>0.4853294277219405</v>
      </c>
      <c r="F182" s="110">
        <f t="shared" si="74"/>
        <v>0.4853294277219405</v>
      </c>
      <c r="G182" s="110">
        <f t="shared" si="74"/>
        <v>0.48532942772194054</v>
      </c>
      <c r="H182" s="110">
        <f t="shared" si="74"/>
        <v>0.4853294277219405</v>
      </c>
      <c r="I182" s="110">
        <f>SUM(D80:H80)/SUM(D$77:H$77)</f>
        <v>0.4853294277219405</v>
      </c>
    </row>
    <row r="183" spans="1:9" s="9" customFormat="1" ht="14.25">
      <c r="A183" s="107" t="str">
        <f t="shared" si="72"/>
        <v>Administrative and General Expenses</v>
      </c>
      <c r="B183" s="247"/>
      <c r="C183" s="110"/>
      <c r="D183" s="249"/>
      <c r="E183" s="110"/>
      <c r="F183" s="110"/>
      <c r="G183" s="110"/>
      <c r="H183" s="110"/>
      <c r="I183" s="110"/>
    </row>
    <row r="184" spans="1:9" s="9" customFormat="1" ht="14.25">
      <c r="A184" s="107" t="str">
        <f t="shared" si="72"/>
        <v>   Operating and Maintenance</v>
      </c>
      <c r="B184" s="247">
        <f t="shared" si="73"/>
        <v>0.22574903350977915</v>
      </c>
      <c r="C184" s="110">
        <f t="shared" si="74"/>
        <v>0.21952030259098354</v>
      </c>
      <c r="D184" s="249">
        <f t="shared" si="74"/>
        <v>0.21763466805038134</v>
      </c>
      <c r="E184" s="110">
        <f t="shared" si="74"/>
        <v>0.21763466805038134</v>
      </c>
      <c r="F184" s="110">
        <f t="shared" si="74"/>
        <v>0.21763466805038134</v>
      </c>
      <c r="G184" s="110">
        <f t="shared" si="74"/>
        <v>0.21763466805038134</v>
      </c>
      <c r="H184" s="110">
        <f t="shared" si="74"/>
        <v>0.21763466805038134</v>
      </c>
      <c r="I184" s="110">
        <f aca="true" t="shared" si="75" ref="I184:I189">SUM(D82:H82)/SUM(D$77:H$77)</f>
        <v>0.2176346680503813</v>
      </c>
    </row>
    <row r="185" spans="1:9" s="9" customFormat="1" ht="14.25">
      <c r="A185" s="107" t="str">
        <f t="shared" si="72"/>
        <v>   Depreciation and amortization</v>
      </c>
      <c r="B185" s="247">
        <f t="shared" si="73"/>
        <v>0.06649360850385075</v>
      </c>
      <c r="C185" s="110">
        <f t="shared" si="74"/>
        <v>0.05853196093141287</v>
      </c>
      <c r="D185" s="249">
        <f t="shared" si="74"/>
        <v>0.057095724242002814</v>
      </c>
      <c r="E185" s="110">
        <f t="shared" si="74"/>
        <v>0.05569472942378899</v>
      </c>
      <c r="F185" s="110">
        <f t="shared" si="74"/>
        <v>0.05432811172411984</v>
      </c>
      <c r="G185" s="110">
        <f t="shared" si="74"/>
        <v>0.05299502760934053</v>
      </c>
      <c r="H185" s="110">
        <f t="shared" si="74"/>
        <v>0.051694654244128606</v>
      </c>
      <c r="I185" s="110">
        <f t="shared" si="75"/>
        <v>0.054230089543961794</v>
      </c>
    </row>
    <row r="186" spans="1:9" s="9" customFormat="1" ht="14.25">
      <c r="A186" s="107" t="str">
        <f t="shared" si="72"/>
        <v>   Administrative and General</v>
      </c>
      <c r="B186" s="247">
        <f t="shared" si="73"/>
        <v>0.12640021221730915</v>
      </c>
      <c r="C186" s="110">
        <f aca="true" t="shared" si="76" ref="C186:H186">C84/C$77</f>
        <v>0.11105069798071658</v>
      </c>
      <c r="D186" s="249">
        <f t="shared" si="76"/>
        <v>0.11486511852623153</v>
      </c>
      <c r="E186" s="110">
        <f t="shared" si="76"/>
        <v>0.11486511852623153</v>
      </c>
      <c r="F186" s="110">
        <f t="shared" si="76"/>
        <v>0.11486511852623153</v>
      </c>
      <c r="G186" s="110">
        <f t="shared" si="76"/>
        <v>0.11486511852623153</v>
      </c>
      <c r="H186" s="110">
        <f t="shared" si="76"/>
        <v>0.11486511852623153</v>
      </c>
      <c r="I186" s="110">
        <f t="shared" si="75"/>
        <v>0.11486511852623153</v>
      </c>
    </row>
    <row r="187" spans="1:9" s="9" customFormat="1" ht="14.25">
      <c r="A187" s="107" t="str">
        <f t="shared" si="72"/>
        <v>   Taxes, other than income taxes</v>
      </c>
      <c r="B187" s="115">
        <f t="shared" si="73"/>
        <v>0.01454802478854348</v>
      </c>
      <c r="C187" s="250">
        <f aca="true" t="shared" si="77" ref="C187:H187">C85/C$77</f>
        <v>0.012319775758467554</v>
      </c>
      <c r="D187" s="251">
        <f t="shared" si="77"/>
        <v>0.013433900273505517</v>
      </c>
      <c r="E187" s="250">
        <f t="shared" si="77"/>
        <v>0.013433900273505517</v>
      </c>
      <c r="F187" s="250">
        <f t="shared" si="77"/>
        <v>0.013433900273505517</v>
      </c>
      <c r="G187" s="250">
        <f t="shared" si="77"/>
        <v>0.013433900273505517</v>
      </c>
      <c r="H187" s="250">
        <f t="shared" si="77"/>
        <v>0.013433900273505517</v>
      </c>
      <c r="I187" s="115">
        <f t="shared" si="75"/>
        <v>0.013433900273505515</v>
      </c>
    </row>
    <row r="188" spans="1:9" s="9" customFormat="1" ht="14.25">
      <c r="A188" s="107" t="s">
        <v>52</v>
      </c>
      <c r="B188" s="119">
        <f aca="true" t="shared" si="78" ref="B188:H188">B86/B$77</f>
        <v>0.9235753563798116</v>
      </c>
      <c r="C188" s="250">
        <f t="shared" si="78"/>
        <v>0.847260060836612</v>
      </c>
      <c r="D188" s="251">
        <f t="shared" si="78"/>
        <v>0.8883588388140617</v>
      </c>
      <c r="E188" s="250">
        <f t="shared" si="78"/>
        <v>0.8869578439958478</v>
      </c>
      <c r="F188" s="250">
        <f t="shared" si="78"/>
        <v>0.8855912262961788</v>
      </c>
      <c r="G188" s="250">
        <f t="shared" si="78"/>
        <v>0.8842581421813995</v>
      </c>
      <c r="H188" s="250">
        <f t="shared" si="78"/>
        <v>0.8829577688161874</v>
      </c>
      <c r="I188" s="119">
        <f t="shared" si="75"/>
        <v>0.8854932041160206</v>
      </c>
    </row>
    <row r="189" spans="1:9" s="9" customFormat="1" ht="14.25">
      <c r="A189" s="107" t="s">
        <v>16</v>
      </c>
      <c r="B189" s="247">
        <f aca="true" t="shared" si="79" ref="B189:H189">B87/B$77</f>
        <v>0.07642464362018843</v>
      </c>
      <c r="C189" s="110">
        <f t="shared" si="79"/>
        <v>0.15273993916338804</v>
      </c>
      <c r="D189" s="249">
        <f t="shared" si="79"/>
        <v>0.11164116118593825</v>
      </c>
      <c r="E189" s="110">
        <f t="shared" si="79"/>
        <v>0.11304215600415221</v>
      </c>
      <c r="F189" s="110">
        <f t="shared" si="79"/>
        <v>0.11440877370382124</v>
      </c>
      <c r="G189" s="110">
        <f t="shared" si="79"/>
        <v>0.11574185781860043</v>
      </c>
      <c r="H189" s="110">
        <f t="shared" si="79"/>
        <v>0.11704223118381267</v>
      </c>
      <c r="I189" s="110">
        <f t="shared" si="75"/>
        <v>0.11450679588397931</v>
      </c>
    </row>
    <row r="190" spans="1:9" s="9" customFormat="1" ht="14.25">
      <c r="A190" s="107"/>
      <c r="B190" s="247"/>
      <c r="C190" s="110"/>
      <c r="D190" s="249"/>
      <c r="E190" s="110"/>
      <c r="F190" s="110"/>
      <c r="G190" s="110"/>
      <c r="H190" s="110"/>
      <c r="I190" s="110"/>
    </row>
    <row r="191" spans="1:9" s="9" customFormat="1" ht="14.25">
      <c r="A191" s="107" t="str">
        <f>A89</f>
        <v>Interest (Surplus Cash)/Add. Loans</v>
      </c>
      <c r="B191" s="247">
        <f aca="true" t="shared" si="80" ref="B191:C194">B89/B$77</f>
        <v>0</v>
      </c>
      <c r="C191" s="110">
        <f t="shared" si="80"/>
        <v>0</v>
      </c>
      <c r="D191" s="249">
        <f aca="true" t="shared" si="81" ref="D191:H194">D89/D$77</f>
        <v>0.0004929008928627534</v>
      </c>
      <c r="E191" s="110">
        <f t="shared" si="81"/>
        <v>0.014935862319633321</v>
      </c>
      <c r="F191" s="110">
        <f t="shared" si="81"/>
        <v>0.03137589176717062</v>
      </c>
      <c r="G191" s="110">
        <f t="shared" si="81"/>
        <v>0.03468771225498783</v>
      </c>
      <c r="H191" s="110">
        <f t="shared" si="81"/>
        <v>0.03553628808061055</v>
      </c>
      <c r="I191" s="110">
        <f>SUM(D89:H89)/SUM(D$77:H$77)</f>
        <v>0.024271873039799073</v>
      </c>
    </row>
    <row r="192" spans="1:12" s="9" customFormat="1" ht="14.25">
      <c r="A192" s="107" t="str">
        <f>A90</f>
        <v>   Interest expense (net)</v>
      </c>
      <c r="B192" s="247">
        <f t="shared" si="80"/>
        <v>0.07226412786781894</v>
      </c>
      <c r="C192" s="110">
        <f t="shared" si="80"/>
        <v>0.057076417249422876</v>
      </c>
      <c r="D192" s="249">
        <f>(D90+D89)/D$77</f>
        <v>0.04388172141589772</v>
      </c>
      <c r="E192" s="110">
        <f>(E90+E89)/E$77</f>
        <v>0.05524742562472426</v>
      </c>
      <c r="F192" s="110">
        <f>(F90+F89)/F$77</f>
        <v>0.06912066957814632</v>
      </c>
      <c r="G192" s="110">
        <f>(G90+G89)/G$77</f>
        <v>0.07010750785879939</v>
      </c>
      <c r="H192" s="110">
        <f>(H90+H89)/H$77</f>
        <v>0.06855788066797648</v>
      </c>
      <c r="I192" s="110">
        <f>(SUM(D90:H90)+SUM(D89:H89))/SUM(D$77:H$77)</f>
        <v>0.061999756635133164</v>
      </c>
      <c r="L192" s="105">
        <v>4.03</v>
      </c>
    </row>
    <row r="193" spans="1:9" s="9" customFormat="1" ht="14.25">
      <c r="A193" s="107" t="str">
        <f>A91</f>
        <v>   Interest and Other Income</v>
      </c>
      <c r="B193" s="247">
        <f t="shared" si="80"/>
        <v>-0.0016042618012862804</v>
      </c>
      <c r="C193" s="110">
        <f t="shared" si="80"/>
        <v>-0.0006609528817786869</v>
      </c>
      <c r="D193" s="249">
        <f t="shared" si="81"/>
        <v>-0.0018274388915595892</v>
      </c>
      <c r="E193" s="110">
        <f t="shared" si="81"/>
        <v>-0.0018274388915595892</v>
      </c>
      <c r="F193" s="110">
        <f t="shared" si="81"/>
        <v>-0.0018274388915595892</v>
      </c>
      <c r="G193" s="110">
        <f t="shared" si="81"/>
        <v>-0.0018274388915595892</v>
      </c>
      <c r="H193" s="110">
        <f t="shared" si="81"/>
        <v>-0.0018274388915595892</v>
      </c>
      <c r="I193" s="110">
        <f>SUM(D91:H91)/SUM(D$77:H$77)</f>
        <v>-0.0018274388915595892</v>
      </c>
    </row>
    <row r="194" spans="1:9" s="9" customFormat="1" ht="14.25">
      <c r="A194" s="107" t="str">
        <f>A92</f>
        <v>   Loss (Gain) on Sale of Assets</v>
      </c>
      <c r="B194" s="247">
        <f t="shared" si="80"/>
        <v>0</v>
      </c>
      <c r="C194" s="110">
        <f t="shared" si="80"/>
        <v>0</v>
      </c>
      <c r="D194" s="249">
        <f t="shared" si="81"/>
        <v>0</v>
      </c>
      <c r="E194" s="110">
        <f t="shared" si="81"/>
        <v>0</v>
      </c>
      <c r="F194" s="110">
        <f t="shared" si="81"/>
        <v>0</v>
      </c>
      <c r="G194" s="110">
        <f t="shared" si="81"/>
        <v>0</v>
      </c>
      <c r="H194" s="110">
        <f t="shared" si="81"/>
        <v>0</v>
      </c>
      <c r="I194" s="110">
        <f>SUM(D92:H92)/SUM(D$77:H$77)</f>
        <v>0</v>
      </c>
    </row>
    <row r="195" spans="1:9" s="9" customFormat="1" ht="14.25">
      <c r="A195" s="107" t="str">
        <f>A93</f>
        <v>   Other Income (Expense)</v>
      </c>
      <c r="B195" s="115">
        <f aca="true" t="shared" si="82" ref="B195:H195">B93/B$77</f>
        <v>-0.0008113177971429901</v>
      </c>
      <c r="C195" s="250">
        <f t="shared" si="82"/>
        <v>-0.0006816981182140763</v>
      </c>
      <c r="D195" s="251">
        <f t="shared" si="82"/>
        <v>-0.0006492363030610251</v>
      </c>
      <c r="E195" s="250">
        <f t="shared" si="82"/>
        <v>-0.0006183202886295477</v>
      </c>
      <c r="F195" s="250">
        <f t="shared" si="82"/>
        <v>-0.000588876465361474</v>
      </c>
      <c r="G195" s="250">
        <f t="shared" si="82"/>
        <v>-0.0005608347289156895</v>
      </c>
      <c r="H195" s="250">
        <f t="shared" si="82"/>
        <v>-0.0005341283132530375</v>
      </c>
      <c r="I195" s="115">
        <f>SUM(D93:H93)/SUM(D$77:H$77)</f>
        <v>-0.0005874770444200605</v>
      </c>
    </row>
    <row r="196" spans="1:9" s="9" customFormat="1" ht="14.25">
      <c r="A196" s="107" t="s">
        <v>15</v>
      </c>
      <c r="B196" s="247">
        <f aca="true" t="shared" si="83" ref="B196:H196">B96/B$77</f>
        <v>0.006576095350798772</v>
      </c>
      <c r="C196" s="247">
        <f t="shared" si="83"/>
        <v>0.09700617291395792</v>
      </c>
      <c r="D196" s="249">
        <f t="shared" si="83"/>
        <v>0.07023611496466114</v>
      </c>
      <c r="E196" s="247">
        <f t="shared" si="83"/>
        <v>0.06024048955961709</v>
      </c>
      <c r="F196" s="247">
        <f t="shared" si="83"/>
        <v>0.04770441948259598</v>
      </c>
      <c r="G196" s="247">
        <f t="shared" si="83"/>
        <v>0.04802262358027632</v>
      </c>
      <c r="H196" s="247">
        <f t="shared" si="83"/>
        <v>0.05084591772064882</v>
      </c>
      <c r="I196" s="110">
        <f>SUM(D96:H96)/SUM(D$77:H$77)</f>
        <v>0.05492195518482578</v>
      </c>
    </row>
    <row r="197" spans="1:9" s="9" customFormat="1" ht="7.5" customHeight="1">
      <c r="A197" s="107"/>
      <c r="B197" s="247"/>
      <c r="C197" s="247"/>
      <c r="D197" s="249"/>
      <c r="E197" s="247"/>
      <c r="F197" s="247"/>
      <c r="G197" s="247"/>
      <c r="H197" s="247"/>
      <c r="I197" s="247"/>
    </row>
    <row r="198" spans="1:9" s="9" customFormat="1" ht="14.25">
      <c r="A198" s="107" t="s">
        <v>67</v>
      </c>
      <c r="B198" s="247">
        <f aca="true" t="shared" si="84" ref="B198:H198">B97/B$77</f>
        <v>0.010970302782883204</v>
      </c>
      <c r="C198" s="247">
        <f t="shared" si="84"/>
        <v>0.008237788654285459</v>
      </c>
      <c r="D198" s="249">
        <f t="shared" si="84"/>
        <v>0</v>
      </c>
      <c r="E198" s="247">
        <f t="shared" si="84"/>
        <v>0</v>
      </c>
      <c r="F198" s="247">
        <f t="shared" si="84"/>
        <v>0</v>
      </c>
      <c r="G198" s="247">
        <f t="shared" si="84"/>
        <v>0</v>
      </c>
      <c r="H198" s="247">
        <f t="shared" si="84"/>
        <v>0</v>
      </c>
      <c r="I198" s="110">
        <f>SUM(D97:H97)/SUM(C$77:H$77)</f>
        <v>0</v>
      </c>
    </row>
    <row r="199" spans="1:9" s="9" customFormat="1" ht="7.5" customHeight="1">
      <c r="A199" s="107"/>
      <c r="B199" s="247"/>
      <c r="C199" s="247"/>
      <c r="D199" s="249"/>
      <c r="E199" s="247"/>
      <c r="F199" s="247"/>
      <c r="G199" s="247"/>
      <c r="H199" s="247"/>
      <c r="I199" s="247"/>
    </row>
    <row r="200" spans="1:9" s="9" customFormat="1" ht="14.25">
      <c r="A200" s="107" t="s">
        <v>21</v>
      </c>
      <c r="B200" s="115">
        <f aca="true" t="shared" si="85" ref="B200:H200">B98/B$77</f>
        <v>0</v>
      </c>
      <c r="C200" s="250">
        <f t="shared" si="85"/>
        <v>0</v>
      </c>
      <c r="D200" s="251">
        <f>D98/D$77</f>
        <v>0</v>
      </c>
      <c r="E200" s="250">
        <f>E98/E$77</f>
        <v>0</v>
      </c>
      <c r="F200" s="250">
        <f t="shared" si="85"/>
        <v>0</v>
      </c>
      <c r="G200" s="250">
        <f t="shared" si="85"/>
        <v>0</v>
      </c>
      <c r="H200" s="250">
        <f t="shared" si="85"/>
        <v>0</v>
      </c>
      <c r="I200" s="110">
        <f>SUM(D98:H98)/SUM(D$77:H$77)</f>
        <v>0</v>
      </c>
    </row>
    <row r="201" spans="1:9" s="9" customFormat="1" ht="15" thickBot="1">
      <c r="A201" s="107" t="s">
        <v>24</v>
      </c>
      <c r="B201" s="124">
        <f aca="true" t="shared" si="86" ref="B201:H201">B99/B$77</f>
        <v>0.017546398133681976</v>
      </c>
      <c r="C201" s="252">
        <f t="shared" si="86"/>
        <v>0.10524396156824338</v>
      </c>
      <c r="D201" s="253">
        <f t="shared" si="86"/>
        <v>0.07023611496466114</v>
      </c>
      <c r="E201" s="252">
        <f t="shared" si="86"/>
        <v>0.06024048955961709</v>
      </c>
      <c r="F201" s="252">
        <f t="shared" si="86"/>
        <v>0.04770441948259598</v>
      </c>
      <c r="G201" s="252">
        <f t="shared" si="86"/>
        <v>0.04802262358027632</v>
      </c>
      <c r="H201" s="252">
        <f t="shared" si="86"/>
        <v>0.05084591772064882</v>
      </c>
      <c r="I201" s="254">
        <f>SUM(D99:H99)/SUM(D$77:H$77)</f>
        <v>0.05492195518482578</v>
      </c>
    </row>
    <row r="202" spans="1:9" s="9" customFormat="1" ht="15" thickTop="1">
      <c r="A202" s="107"/>
      <c r="B202" s="123"/>
      <c r="C202" s="107"/>
      <c r="D202" s="248"/>
      <c r="E202" s="107"/>
      <c r="F202" s="107"/>
      <c r="G202" s="107"/>
      <c r="H202" s="107"/>
      <c r="I202" s="240"/>
    </row>
    <row r="203" spans="1:9" s="9" customFormat="1" ht="14.25">
      <c r="A203" s="107" t="str">
        <f>A101</f>
        <v>Preferred Stock Dividends</v>
      </c>
      <c r="B203" s="247">
        <f aca="true" t="shared" si="87" ref="B203:H204">B101/B$99</f>
        <v>0</v>
      </c>
      <c r="C203" s="110">
        <f t="shared" si="87"/>
        <v>0</v>
      </c>
      <c r="D203" s="249">
        <f t="shared" si="87"/>
        <v>0</v>
      </c>
      <c r="E203" s="110">
        <f t="shared" si="87"/>
        <v>0</v>
      </c>
      <c r="F203" s="110">
        <f t="shared" si="87"/>
        <v>0</v>
      </c>
      <c r="G203" s="110">
        <f t="shared" si="87"/>
        <v>0</v>
      </c>
      <c r="H203" s="110">
        <f t="shared" si="87"/>
        <v>0</v>
      </c>
      <c r="I203" s="110">
        <f>SUM(C101:H101)/SUM(C$99:H$99)</f>
        <v>0</v>
      </c>
    </row>
    <row r="204" spans="1:9" s="9" customFormat="1" ht="14.25">
      <c r="A204" s="107" t="str">
        <f>A102</f>
        <v>Return of Patronage Capital</v>
      </c>
      <c r="B204" s="247">
        <f t="shared" si="87"/>
        <v>0</v>
      </c>
      <c r="C204" s="110">
        <f t="shared" si="87"/>
        <v>0</v>
      </c>
      <c r="D204" s="249">
        <f t="shared" si="87"/>
        <v>0</v>
      </c>
      <c r="E204" s="110">
        <f t="shared" si="87"/>
        <v>0</v>
      </c>
      <c r="F204" s="110">
        <f t="shared" si="87"/>
        <v>0</v>
      </c>
      <c r="G204" s="110">
        <f t="shared" si="87"/>
        <v>0</v>
      </c>
      <c r="H204" s="110">
        <f t="shared" si="87"/>
        <v>0</v>
      </c>
      <c r="I204" s="110">
        <f>SUM(C102:H102)/SUM(C$99:H$99)</f>
        <v>0</v>
      </c>
    </row>
    <row r="205" spans="1:9" s="9" customFormat="1" ht="14.25">
      <c r="A205" s="107"/>
      <c r="B205" s="123"/>
      <c r="C205" s="107"/>
      <c r="D205" s="107"/>
      <c r="E205" s="107"/>
      <c r="F205" s="107"/>
      <c r="G205" s="107"/>
      <c r="H205" s="107"/>
      <c r="I205" s="110"/>
    </row>
    <row r="206" spans="1:9" s="9" customFormat="1" ht="14.25">
      <c r="A206" s="107"/>
      <c r="B206" s="123"/>
      <c r="C206" s="107"/>
      <c r="D206" s="107"/>
      <c r="E206" s="107"/>
      <c r="F206" s="107"/>
      <c r="G206" s="107"/>
      <c r="H206" s="107"/>
      <c r="I206" s="110"/>
    </row>
    <row r="207" spans="1:9" s="9" customFormat="1" ht="14.25">
      <c r="A207" s="107"/>
      <c r="B207" s="123"/>
      <c r="C207" s="107"/>
      <c r="D207" s="107"/>
      <c r="E207" s="107"/>
      <c r="F207" s="107"/>
      <c r="G207" s="107"/>
      <c r="H207" s="107"/>
      <c r="I207" s="106" t="str">
        <f>I167</f>
        <v>Exhibit 2</v>
      </c>
    </row>
    <row r="208" spans="1:9" s="9" customFormat="1" ht="14.25">
      <c r="A208" s="107"/>
      <c r="B208" s="123"/>
      <c r="C208" s="107"/>
      <c r="D208" s="107"/>
      <c r="E208" s="107"/>
      <c r="F208" s="107"/>
      <c r="G208" s="107"/>
      <c r="H208" s="107"/>
      <c r="I208" s="106" t="s">
        <v>131</v>
      </c>
    </row>
    <row r="209" spans="1:9" s="9" customFormat="1" ht="15.75">
      <c r="A209" s="67" t="str">
        <f>Assumptions!D3</f>
        <v>Flowell Electric Association, Inc.</v>
      </c>
      <c r="B209" s="104"/>
      <c r="C209" s="71"/>
      <c r="D209" s="71"/>
      <c r="E209" s="71"/>
      <c r="F209" s="71"/>
      <c r="G209" s="57"/>
      <c r="H209" s="57"/>
      <c r="I209" s="58"/>
    </row>
    <row r="210" spans="1:9" s="9" customFormat="1" ht="15.75">
      <c r="A210" s="67" t="s">
        <v>161</v>
      </c>
      <c r="B210" s="104"/>
      <c r="C210" s="71"/>
      <c r="D210" s="71"/>
      <c r="E210" s="71"/>
      <c r="F210" s="71"/>
      <c r="G210" s="57"/>
      <c r="H210" s="57"/>
      <c r="I210" s="58"/>
    </row>
    <row r="211" spans="1:9" s="9" customFormat="1" ht="12.75">
      <c r="A211" s="36"/>
      <c r="B211" s="65"/>
      <c r="C211" s="36"/>
      <c r="D211" s="36"/>
      <c r="E211" s="36"/>
      <c r="F211" s="36"/>
      <c r="G211" s="36"/>
      <c r="H211" s="36"/>
      <c r="I211" s="64"/>
    </row>
    <row r="212" spans="1:9" s="9" customFormat="1" ht="12.75">
      <c r="A212" s="36"/>
      <c r="B212" s="87"/>
      <c r="C212" s="76"/>
      <c r="D212" s="76"/>
      <c r="E212" s="76"/>
      <c r="F212" s="76"/>
      <c r="G212" s="76"/>
      <c r="H212" s="76"/>
      <c r="I212" s="102"/>
    </row>
    <row r="213" spans="1:9" s="9" customFormat="1" ht="15">
      <c r="A213" s="107"/>
      <c r="B213" s="221" t="s">
        <v>18</v>
      </c>
      <c r="C213" s="223" t="str">
        <f>B213</f>
        <v>Historical</v>
      </c>
      <c r="D213" s="245" t="s">
        <v>59</v>
      </c>
      <c r="E213" s="223" t="s">
        <v>59</v>
      </c>
      <c r="F213" s="223" t="s">
        <v>59</v>
      </c>
      <c r="G213" s="223" t="s">
        <v>59</v>
      </c>
      <c r="H213" s="223" t="s">
        <v>59</v>
      </c>
      <c r="I213" s="223" t="s">
        <v>59</v>
      </c>
    </row>
    <row r="214" spans="1:9" s="9" customFormat="1" ht="15">
      <c r="A214" s="224" t="s">
        <v>35</v>
      </c>
      <c r="B214" s="255" t="s">
        <v>109</v>
      </c>
      <c r="C214" s="108">
        <f aca="true" t="shared" si="88" ref="C214:H214">C9</f>
        <v>2009</v>
      </c>
      <c r="D214" s="256">
        <f t="shared" si="88"/>
        <v>2010</v>
      </c>
      <c r="E214" s="108">
        <f t="shared" si="88"/>
        <v>2011</v>
      </c>
      <c r="F214" s="108">
        <f t="shared" si="88"/>
        <v>2012</v>
      </c>
      <c r="G214" s="108">
        <f t="shared" si="88"/>
        <v>2013</v>
      </c>
      <c r="H214" s="108">
        <f t="shared" si="88"/>
        <v>2014</v>
      </c>
      <c r="I214" s="257" t="s">
        <v>4</v>
      </c>
    </row>
    <row r="215" spans="1:9" s="9" customFormat="1" ht="7.5" customHeight="1">
      <c r="A215" s="123"/>
      <c r="B215" s="227"/>
      <c r="C215" s="227"/>
      <c r="D215" s="258"/>
      <c r="E215" s="227"/>
      <c r="F215" s="227"/>
      <c r="G215" s="227"/>
      <c r="H215" s="227"/>
      <c r="I215" s="242"/>
    </row>
    <row r="216" spans="1:9" s="9" customFormat="1" ht="14.25">
      <c r="A216" s="109" t="s">
        <v>43</v>
      </c>
      <c r="B216" s="259"/>
      <c r="C216" s="260"/>
      <c r="D216" s="261"/>
      <c r="E216" s="260"/>
      <c r="F216" s="260"/>
      <c r="G216" s="107"/>
      <c r="H216" s="107"/>
      <c r="I216" s="260"/>
    </row>
    <row r="217" spans="1:9" s="9" customFormat="1" ht="14.25">
      <c r="A217" s="107" t="s">
        <v>8</v>
      </c>
      <c r="B217" s="259">
        <f>Historical!H206</f>
        <v>0.7390456966671355</v>
      </c>
      <c r="C217" s="260">
        <f aca="true" t="shared" si="89" ref="C217:H217">C17/C44</f>
        <v>0.656507175514351</v>
      </c>
      <c r="D217" s="261">
        <f t="shared" si="89"/>
        <v>0.6407487782050525</v>
      </c>
      <c r="E217" s="260">
        <f t="shared" si="89"/>
        <v>0.5799145976943796</v>
      </c>
      <c r="F217" s="260">
        <f t="shared" si="89"/>
        <v>0.5567340769141644</v>
      </c>
      <c r="G217" s="260">
        <f t="shared" si="89"/>
        <v>0.5568672750088769</v>
      </c>
      <c r="H217" s="260">
        <f t="shared" si="89"/>
        <v>0.5584868887290075</v>
      </c>
      <c r="I217" s="260">
        <f>AVERAGE(D217:H217)</f>
        <v>0.5785503233102962</v>
      </c>
    </row>
    <row r="218" spans="1:9" s="9" customFormat="1" ht="14.25">
      <c r="A218" s="107" t="s">
        <v>34</v>
      </c>
      <c r="B218" s="259">
        <f>Historical!H207</f>
        <v>0.37836178715603186</v>
      </c>
      <c r="C218" s="260">
        <f aca="true" t="shared" si="90" ref="C218:H218">(C12+C13+C14)/C44</f>
        <v>0.27229013208026415</v>
      </c>
      <c r="D218" s="261">
        <f t="shared" si="90"/>
        <v>0.30949835214167315</v>
      </c>
      <c r="E218" s="260">
        <f t="shared" si="90"/>
        <v>0.2871836908518598</v>
      </c>
      <c r="F218" s="260">
        <f t="shared" si="90"/>
        <v>0.2824947009286539</v>
      </c>
      <c r="G218" s="260">
        <f t="shared" si="90"/>
        <v>0.2893494040300769</v>
      </c>
      <c r="H218" s="260">
        <f t="shared" si="90"/>
        <v>0.2969848101404858</v>
      </c>
      <c r="I218" s="260">
        <f>AVERAGE(D218:H218)</f>
        <v>0.2931021916185499</v>
      </c>
    </row>
    <row r="219" spans="1:9" s="9" customFormat="1" ht="14.25">
      <c r="A219" s="107" t="s">
        <v>11</v>
      </c>
      <c r="B219" s="259">
        <f>Historical!H208</f>
        <v>28.738050165435432</v>
      </c>
      <c r="C219" s="260">
        <f aca="true" t="shared" si="91" ref="C219:H219">365*(((B14+C14)/2)/((C77+B77)/2))</f>
        <v>24.527132354020686</v>
      </c>
      <c r="D219" s="261">
        <f t="shared" si="91"/>
        <v>23.23898930132952</v>
      </c>
      <c r="E219" s="260">
        <f t="shared" si="91"/>
        <v>22.720732245414123</v>
      </c>
      <c r="F219" s="260">
        <f t="shared" si="91"/>
        <v>22.720732245414123</v>
      </c>
      <c r="G219" s="260">
        <f t="shared" si="91"/>
        <v>22.720732245414123</v>
      </c>
      <c r="H219" s="260">
        <f t="shared" si="91"/>
        <v>22.720732245414126</v>
      </c>
      <c r="I219" s="260">
        <f>AVERAGE(D219:H219)</f>
        <v>22.824383656597202</v>
      </c>
    </row>
    <row r="220" spans="1:9" s="9" customFormat="1" ht="14.25">
      <c r="A220" s="107"/>
      <c r="B220" s="259"/>
      <c r="C220" s="260"/>
      <c r="D220" s="261"/>
      <c r="E220" s="260"/>
      <c r="F220" s="260"/>
      <c r="G220" s="260"/>
      <c r="H220" s="260"/>
      <c r="I220" s="260"/>
    </row>
    <row r="221" spans="1:9" s="9" customFormat="1" ht="14.25">
      <c r="A221" s="109" t="s">
        <v>23</v>
      </c>
      <c r="B221" s="259"/>
      <c r="C221" s="260"/>
      <c r="D221" s="261"/>
      <c r="E221" s="260"/>
      <c r="F221" s="260"/>
      <c r="G221" s="260"/>
      <c r="H221" s="260"/>
      <c r="I221" s="260"/>
    </row>
    <row r="222" spans="1:9" s="9" customFormat="1" ht="14.25">
      <c r="A222" s="107" t="s">
        <v>27</v>
      </c>
      <c r="B222" s="259">
        <f>Historical!H211</f>
        <v>0.8386705833855551</v>
      </c>
      <c r="C222" s="260">
        <f aca="true" t="shared" si="92" ref="C222:H222">C59/C52</f>
        <v>0.6809678558231594</v>
      </c>
      <c r="D222" s="261">
        <f t="shared" si="92"/>
        <v>0.7204927525791043</v>
      </c>
      <c r="E222" s="260">
        <f t="shared" si="92"/>
        <v>0.5474617945847156</v>
      </c>
      <c r="F222" s="260">
        <f t="shared" si="92"/>
        <v>0.5362121036470083</v>
      </c>
      <c r="G222" s="260">
        <f t="shared" si="92"/>
        <v>0.5592183091946025</v>
      </c>
      <c r="H222" s="260">
        <f t="shared" si="92"/>
        <v>0.5817745429904432</v>
      </c>
      <c r="I222" s="260">
        <f>AVERAGE(D222:H222)</f>
        <v>0.5890319005991748</v>
      </c>
    </row>
    <row r="223" spans="1:9" s="9" customFormat="1" ht="14.25">
      <c r="A223" s="107" t="s">
        <v>26</v>
      </c>
      <c r="B223" s="259">
        <f>Historical!H212</f>
        <v>2.814513096697475</v>
      </c>
      <c r="C223" s="260">
        <f aca="true" t="shared" si="93" ref="C223:H223">C59/C50</f>
        <v>0.9565171308025551</v>
      </c>
      <c r="D223" s="261">
        <f t="shared" si="93"/>
        <v>1.0605760108304234</v>
      </c>
      <c r="E223" s="260">
        <f t="shared" si="93"/>
        <v>0.7342403953965925</v>
      </c>
      <c r="F223" s="260">
        <f t="shared" si="93"/>
        <v>0.7148381869777355</v>
      </c>
      <c r="G223" s="260">
        <f t="shared" si="93"/>
        <v>0.7467308121100598</v>
      </c>
      <c r="H223" s="260">
        <f t="shared" si="93"/>
        <v>0.7762439750355516</v>
      </c>
      <c r="I223" s="260">
        <f>AVERAGE(D223:H223)</f>
        <v>0.8065258760700725</v>
      </c>
    </row>
    <row r="224" spans="1:9" s="9" customFormat="1" ht="14.25">
      <c r="A224" s="107" t="s">
        <v>25</v>
      </c>
      <c r="B224" s="259">
        <f>Historical!H213</f>
        <v>0.5746152947297966</v>
      </c>
      <c r="C224" s="260">
        <f aca="true" t="shared" si="94" ref="C224:H224">C59/C27</f>
        <v>0.4529952310431226</v>
      </c>
      <c r="D224" s="261">
        <f t="shared" si="94"/>
        <v>0.4751567490961452</v>
      </c>
      <c r="E224" s="260">
        <f t="shared" si="94"/>
        <v>0.38862089561611085</v>
      </c>
      <c r="F224" s="260">
        <f t="shared" si="94"/>
        <v>0.38125386039057113</v>
      </c>
      <c r="G224" s="260">
        <f t="shared" si="94"/>
        <v>0.39160400651702926</v>
      </c>
      <c r="H224" s="260">
        <f t="shared" si="94"/>
        <v>0.40124797681513075</v>
      </c>
      <c r="I224" s="260">
        <f>AVERAGE(D224:H224)</f>
        <v>0.4075766976869974</v>
      </c>
    </row>
    <row r="225" spans="1:9" s="9" customFormat="1" ht="14.25">
      <c r="A225" s="107" t="s">
        <v>45</v>
      </c>
      <c r="B225" s="259">
        <f>Historical!H214</f>
        <v>2.7256254591317024</v>
      </c>
      <c r="C225" s="260">
        <f aca="true" t="shared" si="95" ref="C225:H225">(C96+C90+C89)/(C90+C89)</f>
        <v>2.6995841292918366</v>
      </c>
      <c r="D225" s="261">
        <f t="shared" si="95"/>
        <v>2.6005779330984864</v>
      </c>
      <c r="E225" s="260">
        <f t="shared" si="95"/>
        <v>2.090376409007886</v>
      </c>
      <c r="F225" s="260">
        <f t="shared" si="95"/>
        <v>1.6901614202197854</v>
      </c>
      <c r="G225" s="260">
        <f t="shared" si="95"/>
        <v>1.6849854608581536</v>
      </c>
      <c r="H225" s="260">
        <f t="shared" si="95"/>
        <v>1.741649497114619</v>
      </c>
      <c r="I225" s="260">
        <f>AVERAGE(D225:H225)</f>
        <v>1.961550144059786</v>
      </c>
    </row>
    <row r="226" spans="1:9" s="9" customFormat="1" ht="14.25">
      <c r="A226" s="107"/>
      <c r="B226" s="259"/>
      <c r="C226" s="260"/>
      <c r="D226" s="261"/>
      <c r="E226" s="260"/>
      <c r="F226" s="260"/>
      <c r="G226" s="260"/>
      <c r="H226" s="260"/>
      <c r="I226" s="260"/>
    </row>
    <row r="227" spans="1:9" s="9" customFormat="1" ht="14.25">
      <c r="A227" s="109" t="s">
        <v>82</v>
      </c>
      <c r="B227" s="259"/>
      <c r="C227" s="260"/>
      <c r="D227" s="261"/>
      <c r="E227" s="260"/>
      <c r="F227" s="260"/>
      <c r="G227" s="260"/>
      <c r="H227" s="260"/>
      <c r="I227" s="260"/>
    </row>
    <row r="228" spans="1:9" s="9" customFormat="1" ht="14.25">
      <c r="A228" s="107" t="s">
        <v>37</v>
      </c>
      <c r="B228" s="247">
        <f>Historical!H217</f>
        <v>0.07967384002493201</v>
      </c>
      <c r="C228" s="110">
        <f aca="true" t="shared" si="96" ref="C228:H228">(C99+(C90*(1-(C98/C96))))/((B35+C35)/2)</f>
        <v>0.08971804515288109</v>
      </c>
      <c r="D228" s="249">
        <f t="shared" si="96"/>
        <v>0.06308232463990537</v>
      </c>
      <c r="E228" s="110">
        <f t="shared" si="96"/>
        <v>0.04989137866626064</v>
      </c>
      <c r="F228" s="110">
        <f t="shared" si="96"/>
        <v>0.03810797339696186</v>
      </c>
      <c r="G228" s="110">
        <f t="shared" si="96"/>
        <v>0.03699282933378736</v>
      </c>
      <c r="H228" s="110">
        <f t="shared" si="96"/>
        <v>0.03761654328309227</v>
      </c>
      <c r="I228" s="110">
        <f>AVERAGE(D228:H228)</f>
        <v>0.04513820986400151</v>
      </c>
    </row>
    <row r="229" spans="1:9" s="9" customFormat="1" ht="14.25">
      <c r="A229" s="107" t="s">
        <v>81</v>
      </c>
      <c r="B229" s="247">
        <f>Historical!H218</f>
        <v>0.10792394542023986</v>
      </c>
      <c r="C229" s="110">
        <f aca="true" t="shared" si="97" ref="C229:H229">(C99+(C90*(1-(C98/C96))))/((B46+B54+B59+C46+C54+C59)/2)</f>
        <v>0.10955485565757352</v>
      </c>
      <c r="D229" s="249">
        <f t="shared" si="97"/>
        <v>0.07674213980242824</v>
      </c>
      <c r="E229" s="110">
        <f t="shared" si="97"/>
        <v>0.06882718896499476</v>
      </c>
      <c r="F229" s="110">
        <f t="shared" si="97"/>
        <v>0.05942911994011599</v>
      </c>
      <c r="G229" s="110">
        <f t="shared" si="97"/>
        <v>0.059374159437217244</v>
      </c>
      <c r="H229" s="110">
        <f t="shared" si="97"/>
        <v>0.06095421334457562</v>
      </c>
      <c r="I229" s="110">
        <f>AVERAGE(D229:H229)</f>
        <v>0.06506536429786638</v>
      </c>
    </row>
    <row r="230" spans="1:9" s="9" customFormat="1" ht="14.25">
      <c r="A230" s="107" t="s">
        <v>170</v>
      </c>
      <c r="B230" s="247">
        <f>Historical!H219</f>
        <v>0.12945176984889853</v>
      </c>
      <c r="C230" s="110">
        <f aca="true" t="shared" si="98" ref="C230:H230">(C99-C101)/((C59+B59)/2)</f>
        <v>0.15808093544469276</v>
      </c>
      <c r="D230" s="249">
        <f t="shared" si="98"/>
        <v>0.09764626524507071</v>
      </c>
      <c r="E230" s="110">
        <f t="shared" si="98"/>
        <v>0.08047028405754085</v>
      </c>
      <c r="F230" s="110">
        <f t="shared" si="98"/>
        <v>0.062318338813194867</v>
      </c>
      <c r="G230" s="110">
        <f t="shared" si="98"/>
        <v>0.06190307508444592</v>
      </c>
      <c r="H230" s="110">
        <f t="shared" si="98"/>
        <v>0.06459736625876733</v>
      </c>
      <c r="I230" s="110">
        <f>AVERAGE(D230:H230)</f>
        <v>0.07338706589180394</v>
      </c>
    </row>
    <row r="231" spans="1:9" s="9" customFormat="1" ht="14.25">
      <c r="A231" s="107"/>
      <c r="B231" s="259"/>
      <c r="C231" s="260"/>
      <c r="D231" s="261"/>
      <c r="E231" s="260"/>
      <c r="F231" s="260"/>
      <c r="G231" s="260"/>
      <c r="H231" s="260"/>
      <c r="I231" s="260"/>
    </row>
    <row r="232" spans="1:9" s="9" customFormat="1" ht="14.25">
      <c r="A232" s="109" t="s">
        <v>3</v>
      </c>
      <c r="B232" s="259"/>
      <c r="C232" s="260"/>
      <c r="D232" s="261"/>
      <c r="E232" s="260"/>
      <c r="F232" s="260"/>
      <c r="G232" s="260"/>
      <c r="H232" s="260"/>
      <c r="I232" s="260"/>
    </row>
    <row r="233" spans="1:9" s="9" customFormat="1" ht="14.25">
      <c r="A233" s="107" t="s">
        <v>39</v>
      </c>
      <c r="B233" s="259">
        <f>Historical!H222</f>
        <v>17.444280690075598</v>
      </c>
      <c r="C233" s="260">
        <f aca="true" t="shared" si="99" ref="C233:H233">C77/(C12+C13)</f>
        <v>56.84882477167384</v>
      </c>
      <c r="D233" s="261">
        <f t="shared" si="99"/>
        <v>24</v>
      </c>
      <c r="E233" s="260">
        <f t="shared" si="99"/>
        <v>24.000000000000004</v>
      </c>
      <c r="F233" s="260">
        <f t="shared" si="99"/>
        <v>24</v>
      </c>
      <c r="G233" s="260">
        <f t="shared" si="99"/>
        <v>24</v>
      </c>
      <c r="H233" s="260">
        <f t="shared" si="99"/>
        <v>24.000000000000004</v>
      </c>
      <c r="I233" s="260">
        <f>AVERAGE(D233:H233)</f>
        <v>24</v>
      </c>
    </row>
    <row r="234" spans="1:9" s="9" customFormat="1" ht="14.25">
      <c r="A234" s="107" t="s">
        <v>38</v>
      </c>
      <c r="B234" s="259">
        <f>Historical!H223</f>
        <v>12.267771857581176</v>
      </c>
      <c r="C234" s="260">
        <f aca="true" t="shared" si="100" ref="C234:H234">C77/((B14+C14)/2)</f>
        <v>16.17344928350441</v>
      </c>
      <c r="D234" s="261">
        <f t="shared" si="100"/>
        <v>16.0894449485804</v>
      </c>
      <c r="E234" s="260">
        <f t="shared" si="100"/>
        <v>16.45644317206623</v>
      </c>
      <c r="F234" s="260">
        <f t="shared" si="100"/>
        <v>16.45644317206623</v>
      </c>
      <c r="G234" s="260">
        <f t="shared" si="100"/>
        <v>16.45644317206623</v>
      </c>
      <c r="H234" s="260">
        <f t="shared" si="100"/>
        <v>16.45644317206623</v>
      </c>
      <c r="I234" s="260">
        <f>AVERAGE(D234:H234)</f>
        <v>16.38304352736906</v>
      </c>
    </row>
    <row r="235" spans="1:9" s="9" customFormat="1" ht="14.25">
      <c r="A235" s="107" t="s">
        <v>42</v>
      </c>
      <c r="B235" s="259">
        <f>Historical!H224</f>
        <v>-8.088740010195728</v>
      </c>
      <c r="C235" s="260">
        <f aca="true" t="shared" si="101" ref="C235:H235">C77/((B17+C17-B44-C44)/2)</f>
        <v>-7.923156166561866</v>
      </c>
      <c r="D235" s="261">
        <f t="shared" si="101"/>
        <v>-9.089353126421456</v>
      </c>
      <c r="E235" s="260">
        <f t="shared" si="101"/>
        <v>-7.493979986361251</v>
      </c>
      <c r="F235" s="260">
        <f t="shared" si="101"/>
        <v>-6.497280262328087</v>
      </c>
      <c r="G235" s="260">
        <f t="shared" si="101"/>
        <v>-6.360629683584718</v>
      </c>
      <c r="H235" s="260">
        <f t="shared" si="101"/>
        <v>-6.534845179816559</v>
      </c>
      <c r="I235" s="260">
        <f>AVERAGE(D235:H235)</f>
        <v>-7.195217647702414</v>
      </c>
    </row>
    <row r="236" spans="1:9" s="9" customFormat="1" ht="14.25">
      <c r="A236" s="107" t="s">
        <v>40</v>
      </c>
      <c r="B236" s="259">
        <f>Historical!H225</f>
        <v>0.9974738340300977</v>
      </c>
      <c r="C236" s="260">
        <f aca="true" t="shared" si="102" ref="C236:H236">C77/((B27+C27)/2)</f>
        <v>0.6403785118610126</v>
      </c>
      <c r="D236" s="261">
        <f t="shared" si="102"/>
        <v>0.6455697370307654</v>
      </c>
      <c r="E236" s="260">
        <f t="shared" si="102"/>
        <v>0.568841219463607</v>
      </c>
      <c r="F236" s="260">
        <f t="shared" si="102"/>
        <v>0.5026643606711372</v>
      </c>
      <c r="G236" s="260">
        <f t="shared" si="102"/>
        <v>0.4982394768696131</v>
      </c>
      <c r="H236" s="260">
        <f t="shared" si="102"/>
        <v>0.5037641251215096</v>
      </c>
      <c r="I236" s="260">
        <f>AVERAGE(D236:H236)</f>
        <v>0.5438157838313264</v>
      </c>
    </row>
    <row r="237" spans="1:9" s="9" customFormat="1" ht="14.25">
      <c r="A237" s="107" t="s">
        <v>41</v>
      </c>
      <c r="B237" s="259">
        <f>Historical!H226</f>
        <v>0.67113529394462</v>
      </c>
      <c r="C237" s="260">
        <f aca="true" t="shared" si="103" ref="C237:H237">C77/((B35+C35)/2)</f>
        <v>0.5527220045097416</v>
      </c>
      <c r="D237" s="261">
        <f t="shared" si="103"/>
        <v>0.5551802900406156</v>
      </c>
      <c r="E237" s="260">
        <f t="shared" si="103"/>
        <v>0.49617464034661807</v>
      </c>
      <c r="F237" s="260">
        <f t="shared" si="103"/>
        <v>0.4459722806527606</v>
      </c>
      <c r="G237" s="260">
        <f t="shared" si="103"/>
        <v>0.4433336149108406</v>
      </c>
      <c r="H237" s="260">
        <f t="shared" si="103"/>
        <v>0.44852342873826156</v>
      </c>
      <c r="I237" s="260">
        <f>AVERAGE(D237:H237)</f>
        <v>0.47783685093781936</v>
      </c>
    </row>
    <row r="238" spans="1:9" s="9" customFormat="1" ht="14.25">
      <c r="A238" s="107"/>
      <c r="B238" s="123"/>
      <c r="C238" s="107"/>
      <c r="D238" s="248"/>
      <c r="E238" s="107"/>
      <c r="F238" s="107"/>
      <c r="G238" s="107"/>
      <c r="H238" s="107"/>
      <c r="I238" s="110"/>
    </row>
    <row r="239" spans="1:9" s="9" customFormat="1" ht="14.25">
      <c r="A239" s="109" t="s">
        <v>168</v>
      </c>
      <c r="B239" s="107"/>
      <c r="C239" s="107"/>
      <c r="D239" s="248"/>
      <c r="E239" s="107"/>
      <c r="F239" s="107"/>
      <c r="G239" s="107"/>
      <c r="H239" s="107"/>
      <c r="I239" s="110"/>
    </row>
    <row r="240" spans="1:9" s="9" customFormat="1" ht="14.25">
      <c r="A240" s="107" t="s">
        <v>169</v>
      </c>
      <c r="B240" s="262">
        <f>Historical!H229</f>
        <v>2.6117053934165098</v>
      </c>
      <c r="C240" s="262">
        <f>(+C96-C91+C90+C83)/(C90+C38)</f>
        <v>2.7938620606841984</v>
      </c>
      <c r="D240" s="263">
        <f>(+D96-D91+D90+D89+D83)/(D90+D89+D38)</f>
        <v>2.8242166320350237</v>
      </c>
      <c r="E240" s="262">
        <f>(+E96-E91+E90+D89+E83)/(E90+D89+E38)</f>
        <v>2.7685960433637167</v>
      </c>
      <c r="F240" s="262">
        <f>(+F96-F91+F90+E89+F83)/(F90+E89+F38)</f>
        <v>2.0351304965705865</v>
      </c>
      <c r="G240" s="262">
        <f>(+G96-G91+G90+F89+G83)/(G90+F89+G38)</f>
        <v>1.8495070161022893</v>
      </c>
      <c r="H240" s="262">
        <f>(+H96-H91+H90+G89+H83)/(H90+G89+H38)</f>
        <v>1.8748589213725473</v>
      </c>
      <c r="I240" s="260">
        <f>AVERAGE(D240:H240)</f>
        <v>2.2704618218888326</v>
      </c>
    </row>
    <row r="241" spans="1:9" s="9" customFormat="1" ht="14.25">
      <c r="A241" s="107"/>
      <c r="B241" s="123"/>
      <c r="C241" s="107"/>
      <c r="D241" s="248"/>
      <c r="E241" s="107"/>
      <c r="F241" s="107"/>
      <c r="G241" s="107"/>
      <c r="H241" s="107"/>
      <c r="I241" s="110"/>
    </row>
    <row r="242" spans="1:9" s="9" customFormat="1" ht="14.25">
      <c r="A242" s="109" t="s">
        <v>110</v>
      </c>
      <c r="B242" s="123"/>
      <c r="C242" s="107"/>
      <c r="D242" s="248"/>
      <c r="E242" s="123"/>
      <c r="F242" s="123"/>
      <c r="G242" s="123"/>
      <c r="H242" s="123"/>
      <c r="I242" s="247"/>
    </row>
    <row r="243" spans="1:9" s="9" customFormat="1" ht="14.25">
      <c r="A243" s="107" t="s">
        <v>76</v>
      </c>
      <c r="B243" s="110">
        <f>(B38+B46+B49)/(B38+B46+B49+B59)</f>
        <v>0.5621639294110513</v>
      </c>
      <c r="C243" s="110">
        <f>(C38+C46+C49)/(C38+C46+C49+C59)</f>
        <v>0.5169946199273531</v>
      </c>
      <c r="D243" s="249">
        <f>(D38+D46+D42+D49)/(D38+D42+D46+D49+D59)</f>
        <v>0.5277077307541216</v>
      </c>
      <c r="E243" s="247">
        <f>(E38+E46+E42+E49)/(E38+E42+E46+E49+E59)</f>
        <v>0.6037409139356221</v>
      </c>
      <c r="F243" s="247">
        <f>(F38+F46+F42+F49)/(F38+F42+F46+F49+F59)</f>
        <v>0.6096916943287989</v>
      </c>
      <c r="G243" s="247">
        <f>(G38+G46+G42+G49)/(G38+G42+G46+G49+G59)</f>
        <v>0.5992407355421446</v>
      </c>
      <c r="H243" s="247">
        <f>(H38+H46+H42+H49)/(H38+H42+H46+H49+H59)</f>
        <v>0.5893449178228196</v>
      </c>
      <c r="I243" s="110">
        <f>AVERAGE(D243:H243)</f>
        <v>0.5859451984767013</v>
      </c>
    </row>
    <row r="244" spans="1:9" s="9" customFormat="1" ht="14.25">
      <c r="A244" s="107" t="s">
        <v>111</v>
      </c>
      <c r="B244" s="110">
        <f>B59/(B38+B46+B49+B59)</f>
        <v>0.43783607058894863</v>
      </c>
      <c r="C244" s="110">
        <f>C59/(C38+C46+C49+C59)</f>
        <v>0.4830053800726469</v>
      </c>
      <c r="D244" s="249">
        <f>D59/(D38+D46+D49+D59+D42)</f>
        <v>0.47229226924587847</v>
      </c>
      <c r="E244" s="247">
        <f>E59/(E38+E46+E49+E59+E42)</f>
        <v>0.3962590860643779</v>
      </c>
      <c r="F244" s="247">
        <f>F59/(F38+F46+F49+F59+F42)</f>
        <v>0.39030830567120106</v>
      </c>
      <c r="G244" s="247">
        <f>G59/(G38+G46+G49+G59+G42)</f>
        <v>0.40075926445785537</v>
      </c>
      <c r="H244" s="247">
        <f>H59/(H38+H46+H49+H59+H42)</f>
        <v>0.41065508217718044</v>
      </c>
      <c r="I244" s="110">
        <f>AVERAGE(D244:H244)</f>
        <v>0.41405480152329865</v>
      </c>
    </row>
    <row r="245" spans="1:9" s="9" customFormat="1" ht="14.25">
      <c r="A245" s="107"/>
      <c r="B245" s="247"/>
      <c r="C245" s="107"/>
      <c r="D245" s="248"/>
      <c r="E245" s="247"/>
      <c r="F245" s="247"/>
      <c r="G245" s="247"/>
      <c r="H245" s="247"/>
      <c r="I245" s="247"/>
    </row>
    <row r="246" spans="1:9" s="9" customFormat="1" ht="14.25">
      <c r="A246" s="109" t="s">
        <v>112</v>
      </c>
      <c r="B246" s="247"/>
      <c r="C246" s="107"/>
      <c r="D246" s="248"/>
      <c r="E246" s="107"/>
      <c r="F246" s="107"/>
      <c r="G246" s="107"/>
      <c r="H246" s="107"/>
      <c r="I246" s="110"/>
    </row>
    <row r="247" spans="1:9" s="9" customFormat="1" ht="14.25">
      <c r="A247" s="107" t="s">
        <v>113</v>
      </c>
      <c r="B247" s="110">
        <f aca="true" t="shared" si="104" ref="B247:H247">(B$38+B$42)/(B$38+B$42+B$49+B$59+B$46)</f>
        <v>0.0913360890979819</v>
      </c>
      <c r="C247" s="110">
        <f t="shared" si="104"/>
        <v>0.08698930467484663</v>
      </c>
      <c r="D247" s="249">
        <f t="shared" si="104"/>
        <v>0.08279857421945966</v>
      </c>
      <c r="E247" s="110">
        <f t="shared" si="104"/>
        <v>0.06405604428130138</v>
      </c>
      <c r="F247" s="110">
        <f t="shared" si="104"/>
        <v>0.06368238371630118</v>
      </c>
      <c r="G247" s="110">
        <f t="shared" si="104"/>
        <v>0.06255568390296316</v>
      </c>
      <c r="H247" s="110">
        <f t="shared" si="104"/>
        <v>0.060316551247256</v>
      </c>
      <c r="I247" s="110">
        <f>AVERAGE(D247:H247)</f>
        <v>0.06668184747345628</v>
      </c>
    </row>
    <row r="248" spans="1:9" s="9" customFormat="1" ht="14.25">
      <c r="A248" s="107" t="s">
        <v>76</v>
      </c>
      <c r="B248" s="110">
        <f aca="true" t="shared" si="105" ref="B248:H248">(B$46+B$49)/(+B$49+B$38+B$46+B$59+B$42)</f>
        <v>0.5055473720003146</v>
      </c>
      <c r="C248" s="110">
        <f t="shared" si="105"/>
        <v>0.4662358852372348</v>
      </c>
      <c r="D248" s="249">
        <f t="shared" si="105"/>
        <v>0.4449091565346619</v>
      </c>
      <c r="E248" s="110">
        <f t="shared" si="105"/>
        <v>0.5396848696543207</v>
      </c>
      <c r="F248" s="110">
        <f t="shared" si="105"/>
        <v>0.5460093106124977</v>
      </c>
      <c r="G248" s="110">
        <f t="shared" si="105"/>
        <v>0.5366850516391816</v>
      </c>
      <c r="H248" s="110">
        <f t="shared" si="105"/>
        <v>0.5290283665755635</v>
      </c>
      <c r="I248" s="110">
        <f>AVERAGE(D248:H248)</f>
        <v>0.519263351003245</v>
      </c>
    </row>
    <row r="249" spans="1:9" s="9" customFormat="1" ht="14.25">
      <c r="A249" s="107" t="s">
        <v>111</v>
      </c>
      <c r="B249" s="110">
        <f aca="true" t="shared" si="106" ref="B249:H249">B$59/(B$38+B$46+B$59+B$42+B$49)</f>
        <v>0.40311653890170346</v>
      </c>
      <c r="C249" s="110">
        <f t="shared" si="106"/>
        <v>0.44677481008791853</v>
      </c>
      <c r="D249" s="249">
        <f t="shared" si="106"/>
        <v>0.47229226924587847</v>
      </c>
      <c r="E249" s="110">
        <f t="shared" si="106"/>
        <v>0.3962590860643779</v>
      </c>
      <c r="F249" s="110">
        <f t="shared" si="106"/>
        <v>0.39030830567120106</v>
      </c>
      <c r="G249" s="110">
        <f t="shared" si="106"/>
        <v>0.40075926445785537</v>
      </c>
      <c r="H249" s="110">
        <f t="shared" si="106"/>
        <v>0.41065508217718044</v>
      </c>
      <c r="I249" s="110">
        <f>AVERAGE(D249:H249)</f>
        <v>0.41405480152329865</v>
      </c>
    </row>
    <row r="250" spans="1:9" s="9" customFormat="1" ht="15">
      <c r="A250" s="125"/>
      <c r="B250" s="125"/>
      <c r="C250" s="125"/>
      <c r="D250" s="264"/>
      <c r="E250" s="125"/>
      <c r="F250" s="125"/>
      <c r="G250" s="125"/>
      <c r="H250" s="125"/>
      <c r="I250" s="126"/>
    </row>
    <row r="251" s="9" customFormat="1" ht="12.75">
      <c r="I251" s="14"/>
    </row>
    <row r="252" s="9" customFormat="1" ht="12.75">
      <c r="I252" s="14"/>
    </row>
    <row r="253" spans="2:9" s="9" customFormat="1" ht="12.75">
      <c r="B253" s="14"/>
      <c r="C253" s="14"/>
      <c r="D253" s="14"/>
      <c r="E253" s="14"/>
      <c r="F253" s="14"/>
      <c r="G253" s="14"/>
      <c r="H253" s="14"/>
      <c r="I253" s="14"/>
    </row>
    <row r="254" s="9" customFormat="1" ht="12.75">
      <c r="I254" s="14"/>
    </row>
    <row r="255" spans="1:9" s="9" customFormat="1" ht="12.75">
      <c r="A255" s="39"/>
      <c r="B255" s="39"/>
      <c r="C255" s="39"/>
      <c r="D255" s="39"/>
      <c r="I255" s="14"/>
    </row>
    <row r="256" spans="1:9" s="9" customFormat="1" ht="12.75">
      <c r="A256" s="39"/>
      <c r="B256" s="39"/>
      <c r="C256" s="39"/>
      <c r="D256" s="39"/>
      <c r="I256" s="14"/>
    </row>
    <row r="257" spans="1:9" s="9" customFormat="1" ht="12.75">
      <c r="A257" s="39"/>
      <c r="B257" s="88"/>
      <c r="C257" s="88"/>
      <c r="D257" s="39"/>
      <c r="I257" s="14"/>
    </row>
    <row r="258" spans="1:9" s="9" customFormat="1" ht="12.75">
      <c r="A258" s="39"/>
      <c r="B258" s="39"/>
      <c r="C258" s="39"/>
      <c r="D258" s="39"/>
      <c r="I258" s="14"/>
    </row>
    <row r="259" spans="1:9" s="9" customFormat="1" ht="12.75">
      <c r="A259" s="39"/>
      <c r="B259" s="89"/>
      <c r="C259" s="90"/>
      <c r="D259" s="88"/>
      <c r="I259" s="14"/>
    </row>
    <row r="260" spans="1:9" s="9" customFormat="1" ht="12.75">
      <c r="A260" s="91"/>
      <c r="B260" s="89"/>
      <c r="C260" s="39"/>
      <c r="D260" s="88"/>
      <c r="I260" s="14"/>
    </row>
    <row r="261" spans="1:9" s="9" customFormat="1" ht="12.75">
      <c r="A261" s="17"/>
      <c r="B261" s="21"/>
      <c r="D261" s="15"/>
      <c r="I261" s="14"/>
    </row>
    <row r="262" spans="1:9" s="9" customFormat="1" ht="12.75">
      <c r="A262" s="17"/>
      <c r="B262" s="21"/>
      <c r="D262" s="15"/>
      <c r="I262" s="14"/>
    </row>
    <row r="263" spans="1:9" s="9" customFormat="1" ht="12.75">
      <c r="A263" s="17"/>
      <c r="B263" s="21"/>
      <c r="I263" s="14"/>
    </row>
    <row r="264" spans="1:9" s="9" customFormat="1" ht="12.75">
      <c r="A264" s="17"/>
      <c r="B264" s="21"/>
      <c r="I264" s="14"/>
    </row>
    <row r="265" spans="1:9" s="9" customFormat="1" ht="12.75">
      <c r="A265" s="17"/>
      <c r="B265" s="21"/>
      <c r="I265" s="14"/>
    </row>
    <row r="266" spans="1:9" s="9" customFormat="1" ht="12.75">
      <c r="A266" s="17"/>
      <c r="B266" s="21"/>
      <c r="I266" s="14"/>
    </row>
    <row r="267" spans="1:9" s="9" customFormat="1" ht="12.75">
      <c r="A267" s="92"/>
      <c r="B267" s="89"/>
      <c r="C267" s="39"/>
      <c r="D267" s="39"/>
      <c r="I267" s="14"/>
    </row>
    <row r="268" spans="1:9" s="9" customFormat="1" ht="12.75">
      <c r="A268" s="88"/>
      <c r="B268" s="89"/>
      <c r="C268" s="39"/>
      <c r="D268" s="39"/>
      <c r="I268" s="14"/>
    </row>
    <row r="269" spans="1:9" s="9" customFormat="1" ht="12.75">
      <c r="A269" s="88"/>
      <c r="B269" s="39"/>
      <c r="C269" s="39"/>
      <c r="D269" s="39"/>
      <c r="I269" s="14"/>
    </row>
    <row r="270" spans="1:9" s="9" customFormat="1" ht="12.75">
      <c r="A270" s="39"/>
      <c r="B270" s="39"/>
      <c r="C270" s="88"/>
      <c r="D270" s="39"/>
      <c r="I270" s="14"/>
    </row>
    <row r="271" spans="1:9" s="9" customFormat="1" ht="12.75">
      <c r="A271" s="91"/>
      <c r="B271" s="89"/>
      <c r="C271" s="39"/>
      <c r="D271" s="39"/>
      <c r="I271" s="14"/>
    </row>
    <row r="272" spans="1:9" s="9" customFormat="1" ht="12.75">
      <c r="A272" s="91"/>
      <c r="B272" s="89"/>
      <c r="C272" s="39"/>
      <c r="D272" s="39"/>
      <c r="I272" s="14"/>
    </row>
    <row r="273" spans="1:9" s="9" customFormat="1" ht="12.75">
      <c r="A273" s="91"/>
      <c r="B273" s="89"/>
      <c r="C273" s="39"/>
      <c r="D273" s="39"/>
      <c r="I273" s="14"/>
    </row>
    <row r="274" spans="1:9" s="9" customFormat="1" ht="12.75">
      <c r="A274" s="91"/>
      <c r="B274" s="89"/>
      <c r="C274" s="39"/>
      <c r="D274" s="39"/>
      <c r="I274" s="14"/>
    </row>
    <row r="275" spans="1:9" s="9" customFormat="1" ht="12.75">
      <c r="A275" s="91"/>
      <c r="B275" s="89"/>
      <c r="C275" s="39"/>
      <c r="D275" s="39"/>
      <c r="I275" s="14"/>
    </row>
    <row r="276" spans="1:9" s="9" customFormat="1" ht="12.75">
      <c r="A276" s="91"/>
      <c r="B276" s="89"/>
      <c r="C276" s="39"/>
      <c r="D276" s="39"/>
      <c r="I276" s="14"/>
    </row>
    <row r="277" spans="1:9" s="9" customFormat="1" ht="12.75">
      <c r="A277" s="91"/>
      <c r="B277" s="89"/>
      <c r="C277" s="39"/>
      <c r="D277" s="39"/>
      <c r="I277" s="14"/>
    </row>
    <row r="278" spans="1:9" s="9" customFormat="1" ht="12.75">
      <c r="A278" s="39"/>
      <c r="B278" s="39"/>
      <c r="C278" s="39"/>
      <c r="D278" s="39"/>
      <c r="I278" s="14"/>
    </row>
    <row r="279" s="9" customFormat="1" ht="12.75">
      <c r="I279" s="14"/>
    </row>
    <row r="280" s="9" customFormat="1" ht="12.75">
      <c r="I280" s="14"/>
    </row>
    <row r="281" s="9" customFormat="1" ht="12.75">
      <c r="I281" s="14"/>
    </row>
    <row r="282" s="9" customFormat="1" ht="12.75">
      <c r="I282" s="14"/>
    </row>
    <row r="283" s="9" customFormat="1" ht="12.75">
      <c r="I283" s="14"/>
    </row>
    <row r="284" s="9" customFormat="1" ht="12.75">
      <c r="I284" s="14"/>
    </row>
    <row r="285" s="9" customFormat="1" ht="12.75">
      <c r="I285" s="14"/>
    </row>
    <row r="286" s="9" customFormat="1" ht="12.75">
      <c r="I286" s="14"/>
    </row>
    <row r="287" s="9" customFormat="1" ht="12.75">
      <c r="I287" s="14"/>
    </row>
    <row r="288" s="9" customFormat="1" ht="12.75">
      <c r="I288" s="14"/>
    </row>
    <row r="289" s="9" customFormat="1" ht="12.75">
      <c r="I289" s="14"/>
    </row>
    <row r="290" s="9" customFormat="1" ht="12.75">
      <c r="I290" s="14"/>
    </row>
    <row r="291" s="9" customFormat="1" ht="12.75">
      <c r="I291" s="14"/>
    </row>
    <row r="292" s="9" customFormat="1" ht="12.75">
      <c r="I292" s="14"/>
    </row>
    <row r="293" s="9" customFormat="1" ht="12.75">
      <c r="I293" s="14"/>
    </row>
    <row r="294" s="9" customFormat="1" ht="12.75">
      <c r="I294" s="14"/>
    </row>
    <row r="295" s="9" customFormat="1" ht="12.75">
      <c r="I295" s="14"/>
    </row>
    <row r="296" s="9" customFormat="1" ht="12.75">
      <c r="I296" s="14"/>
    </row>
    <row r="297" s="9" customFormat="1" ht="12.75">
      <c r="I297" s="14"/>
    </row>
    <row r="298" s="9" customFormat="1" ht="12.75">
      <c r="I298" s="14"/>
    </row>
    <row r="299" s="9" customFormat="1" ht="12.75">
      <c r="I299" s="14"/>
    </row>
    <row r="300" s="9" customFormat="1" ht="12.75">
      <c r="I300" s="14"/>
    </row>
    <row r="301" s="9" customFormat="1" ht="12.75">
      <c r="I301" s="14"/>
    </row>
    <row r="302" s="9" customFormat="1" ht="12.75">
      <c r="I302" s="14"/>
    </row>
    <row r="303" s="9" customFormat="1" ht="12.75">
      <c r="I303" s="14"/>
    </row>
  </sheetData>
  <sheetProtection/>
  <printOptions horizontalCentered="1"/>
  <pageMargins left="0.66" right="0.66" top="0.75" bottom="0.75" header="0.5" footer="0.5"/>
  <pageSetup fitToHeight="6" horizontalDpi="600" verticalDpi="600" orientation="portrait" scale="75" r:id="rId1"/>
  <rowBreaks count="4" manualBreakCount="4">
    <brk id="64" max="8" man="1"/>
    <brk id="103" max="12" man="1"/>
    <brk id="166" max="8" man="1"/>
    <brk id="2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State Employee</cp:lastModifiedBy>
  <cp:lastPrinted>2010-07-15T18:42:24Z</cp:lastPrinted>
  <dcterms:created xsi:type="dcterms:W3CDTF">2005-09-19T14:11:29Z</dcterms:created>
  <dcterms:modified xsi:type="dcterms:W3CDTF">2010-08-03T18:15:48Z</dcterms:modified>
  <cp:category/>
  <cp:version/>
  <cp:contentType/>
  <cp:contentStatus/>
</cp:coreProperties>
</file>