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70" yWindow="-105" windowWidth="15285" windowHeight="8820" tabRatio="685"/>
  </bookViews>
  <sheets>
    <sheet name="Historical" sheetId="5" r:id="rId1"/>
    <sheet name="Cash Flow" sheetId="9" r:id="rId2"/>
  </sheets>
  <definedNames>
    <definedName name="_xlnm.Print_Area" localSheetId="1">'Cash Flow'!$A$1:$H$57</definedName>
    <definedName name="_xlnm.Print_Area" localSheetId="0">Historical!$A$1:$H$268</definedName>
  </definedNames>
  <calcPr calcId="125725" iterate="1"/>
</workbook>
</file>

<file path=xl/calcChain.xml><?xml version="1.0" encoding="utf-8"?>
<calcChain xmlns="http://schemas.openxmlformats.org/spreadsheetml/2006/main">
  <c r="A110" i="5"/>
  <c r="A109"/>
  <c r="H47"/>
  <c r="H48"/>
  <c r="E49"/>
  <c r="D49"/>
  <c r="C49"/>
  <c r="F49"/>
  <c r="G49"/>
  <c r="A3" i="9"/>
  <c r="H14" i="5"/>
  <c r="H13"/>
  <c r="H12"/>
  <c r="A77"/>
  <c r="A76"/>
  <c r="A75"/>
  <c r="G46" i="9"/>
  <c r="G39"/>
  <c r="F39"/>
  <c r="C39"/>
  <c r="D39"/>
  <c r="E48"/>
  <c r="E39"/>
  <c r="C48"/>
  <c r="G31"/>
  <c r="F31"/>
  <c r="E31"/>
  <c r="D31"/>
  <c r="C31"/>
  <c r="E43"/>
  <c r="E158" i="5"/>
  <c r="E155"/>
  <c r="E150"/>
  <c r="E148"/>
  <c r="G43" i="9"/>
  <c r="F43"/>
  <c r="G22"/>
  <c r="F22"/>
  <c r="D46"/>
  <c r="C21"/>
  <c r="H162" i="5"/>
  <c r="H157"/>
  <c r="H158"/>
  <c r="H147"/>
  <c r="H146"/>
  <c r="H145"/>
  <c r="H144"/>
  <c r="H143"/>
  <c r="H46"/>
  <c r="H45"/>
  <c r="H49"/>
  <c r="H57"/>
  <c r="H53"/>
  <c r="H24"/>
  <c r="H23"/>
  <c r="H15"/>
  <c r="G156"/>
  <c r="F156"/>
  <c r="G155"/>
  <c r="F155"/>
  <c r="G150"/>
  <c r="F150"/>
  <c r="G148"/>
  <c r="F148"/>
  <c r="D155"/>
  <c r="C155"/>
  <c r="D150"/>
  <c r="C150"/>
  <c r="D148"/>
  <c r="C148"/>
  <c r="A190"/>
  <c r="A189"/>
  <c r="A188"/>
  <c r="A187"/>
  <c r="A186"/>
  <c r="A185"/>
  <c r="O151"/>
  <c r="N151"/>
  <c r="M151"/>
  <c r="L151"/>
  <c r="K151"/>
  <c r="B54" i="9"/>
  <c r="B48"/>
  <c r="B159" i="5"/>
  <c r="B139"/>
  <c r="B204" s="1"/>
  <c r="B72"/>
  <c r="B135" s="1"/>
  <c r="B177" s="1"/>
  <c r="B219" s="1"/>
  <c r="B50"/>
  <c r="B58"/>
  <c r="B26"/>
  <c r="B16"/>
  <c r="B20" s="1"/>
  <c r="B34"/>
  <c r="C54" i="9"/>
  <c r="D52" s="1"/>
  <c r="L22" i="5"/>
  <c r="N39"/>
  <c r="M39"/>
  <c r="L39"/>
  <c r="K39"/>
  <c r="K19"/>
  <c r="H22" i="9"/>
  <c r="I25" i="5"/>
  <c r="H37" i="9"/>
  <c r="H34"/>
  <c r="H18"/>
  <c r="H13"/>
  <c r="F48"/>
  <c r="D48"/>
  <c r="D54"/>
  <c r="E52" s="1"/>
  <c r="E54"/>
  <c r="F52" s="1"/>
  <c r="F54"/>
  <c r="G52" s="1"/>
  <c r="G54"/>
  <c r="G59" s="1"/>
  <c r="G48" l="1"/>
  <c r="C59"/>
  <c r="H148" i="5"/>
  <c r="E59" i="9"/>
  <c r="D59"/>
  <c r="F59"/>
  <c r="B222" i="5"/>
  <c r="B60"/>
  <c r="P151"/>
  <c r="P39"/>
  <c r="H52" i="9"/>
  <c r="B192" i="5"/>
  <c r="B201"/>
  <c r="B27"/>
  <c r="B179"/>
  <c r="B181"/>
  <c r="B191"/>
  <c r="B193"/>
  <c r="B198"/>
  <c r="B200"/>
  <c r="B205"/>
  <c r="B223"/>
  <c r="B36"/>
  <c r="B79" s="1"/>
  <c r="B41"/>
  <c r="B152"/>
  <c r="B194" s="1"/>
  <c r="B180"/>
  <c r="B184"/>
  <c r="B197"/>
  <c r="B199"/>
  <c r="H54" i="9"/>
  <c r="B96" i="5" l="1"/>
  <c r="B89"/>
  <c r="B122"/>
  <c r="B112"/>
  <c r="B120"/>
  <c r="B265"/>
  <c r="B261"/>
  <c r="B229"/>
  <c r="B227"/>
  <c r="B103"/>
  <c r="B266"/>
  <c r="B264"/>
  <c r="B260"/>
  <c r="B228"/>
  <c r="B62"/>
  <c r="B111"/>
  <c r="B106"/>
  <c r="B119"/>
  <c r="B118"/>
  <c r="B116"/>
  <c r="B98"/>
  <c r="B86"/>
  <c r="B78"/>
  <c r="B94"/>
  <c r="B102"/>
  <c r="B108"/>
  <c r="B107"/>
  <c r="B115"/>
  <c r="B87"/>
  <c r="B85"/>
  <c r="B81"/>
  <c r="B74"/>
  <c r="B95"/>
  <c r="B93"/>
  <c r="B153"/>
  <c r="B117"/>
  <c r="B101"/>
  <c r="B83"/>
  <c r="B88"/>
  <c r="B92"/>
  <c r="B161" l="1"/>
  <c r="B195"/>
  <c r="B63"/>
  <c r="B124"/>
  <c r="H150"/>
  <c r="G16"/>
  <c r="K33"/>
  <c r="H156"/>
  <c r="B252" l="1"/>
  <c r="B230"/>
  <c r="B203"/>
  <c r="B164"/>
  <c r="B11" i="9" s="1"/>
  <c r="B24" s="1"/>
  <c r="B50" s="1"/>
  <c r="E72" i="5"/>
  <c r="E135" s="1"/>
  <c r="E177" s="1"/>
  <c r="E219" s="1"/>
  <c r="D72"/>
  <c r="D135" s="1"/>
  <c r="D177" s="1"/>
  <c r="D219" s="1"/>
  <c r="C72"/>
  <c r="C135" s="1"/>
  <c r="C177" s="1"/>
  <c r="C219" s="1"/>
  <c r="F72"/>
  <c r="F135" s="1"/>
  <c r="F177" s="1"/>
  <c r="F219" s="1"/>
  <c r="E34"/>
  <c r="G26"/>
  <c r="O137"/>
  <c r="H133"/>
  <c r="H71"/>
  <c r="O22"/>
  <c r="N22"/>
  <c r="M22"/>
  <c r="P18"/>
  <c r="O18"/>
  <c r="N18"/>
  <c r="M18"/>
  <c r="K18"/>
  <c r="N91"/>
  <c r="M91" s="1"/>
  <c r="L91" s="1"/>
  <c r="O93"/>
  <c r="N93"/>
  <c r="M93"/>
  <c r="L93"/>
  <c r="K49"/>
  <c r="L49" s="1"/>
  <c r="O53"/>
  <c r="N53"/>
  <c r="M53"/>
  <c r="L53"/>
  <c r="K53"/>
  <c r="K150"/>
  <c r="K142"/>
  <c r="H155"/>
  <c r="H151"/>
  <c r="H149"/>
  <c r="H142"/>
  <c r="H137"/>
  <c r="H39"/>
  <c r="H44"/>
  <c r="H56"/>
  <c r="H54"/>
  <c r="H25"/>
  <c r="H18"/>
  <c r="H11"/>
  <c r="H33"/>
  <c r="H32"/>
  <c r="H31"/>
  <c r="G177"/>
  <c r="G219" s="1"/>
  <c r="G72"/>
  <c r="H64"/>
  <c r="H127" s="1"/>
  <c r="H169" s="1"/>
  <c r="H211" s="1"/>
  <c r="E139"/>
  <c r="E152"/>
  <c r="E159"/>
  <c r="F139"/>
  <c r="F159"/>
  <c r="D139"/>
  <c r="D192" s="1"/>
  <c r="D152"/>
  <c r="D159"/>
  <c r="D58"/>
  <c r="D223" s="1"/>
  <c r="D34"/>
  <c r="E16"/>
  <c r="I16" s="1"/>
  <c r="E26"/>
  <c r="G139"/>
  <c r="G199" s="1"/>
  <c r="G159"/>
  <c r="L45"/>
  <c r="M45"/>
  <c r="N45"/>
  <c r="C139"/>
  <c r="C197" s="1"/>
  <c r="A66"/>
  <c r="C34"/>
  <c r="F34"/>
  <c r="D16"/>
  <c r="F16"/>
  <c r="N149" s="1"/>
  <c r="L18"/>
  <c r="D26"/>
  <c r="F26"/>
  <c r="A118"/>
  <c r="G58"/>
  <c r="G223" s="1"/>
  <c r="F58"/>
  <c r="F223" s="1"/>
  <c r="E50"/>
  <c r="G50"/>
  <c r="F50"/>
  <c r="F41"/>
  <c r="F264" s="1"/>
  <c r="D41"/>
  <c r="N167"/>
  <c r="G41"/>
  <c r="A92"/>
  <c r="A93"/>
  <c r="A94"/>
  <c r="A95"/>
  <c r="A96"/>
  <c r="A74"/>
  <c r="A78"/>
  <c r="A79"/>
  <c r="A81"/>
  <c r="A83"/>
  <c r="A85"/>
  <c r="A86"/>
  <c r="A87"/>
  <c r="A115"/>
  <c r="A116"/>
  <c r="A117"/>
  <c r="A119"/>
  <c r="A106"/>
  <c r="A107"/>
  <c r="A111"/>
  <c r="A112"/>
  <c r="A122"/>
  <c r="A108"/>
  <c r="A100"/>
  <c r="A101"/>
  <c r="A102"/>
  <c r="A103"/>
  <c r="A124"/>
  <c r="A131"/>
  <c r="G135"/>
  <c r="N56"/>
  <c r="E184"/>
  <c r="K155"/>
  <c r="M155"/>
  <c r="D198"/>
  <c r="K157"/>
  <c r="K158"/>
  <c r="C159"/>
  <c r="H176"/>
  <c r="A179"/>
  <c r="C179"/>
  <c r="E179"/>
  <c r="G179"/>
  <c r="A181"/>
  <c r="E181"/>
  <c r="A184"/>
  <c r="D184"/>
  <c r="A191"/>
  <c r="C191"/>
  <c r="E191"/>
  <c r="A192"/>
  <c r="A193"/>
  <c r="E193"/>
  <c r="A197"/>
  <c r="D197"/>
  <c r="G197"/>
  <c r="A198"/>
  <c r="E198"/>
  <c r="G198"/>
  <c r="A199"/>
  <c r="F199"/>
  <c r="A200"/>
  <c r="A201"/>
  <c r="A203"/>
  <c r="A204"/>
  <c r="F204"/>
  <c r="G204"/>
  <c r="A205"/>
  <c r="D205"/>
  <c r="G205"/>
  <c r="A206"/>
  <c r="A208"/>
  <c r="A209"/>
  <c r="A215"/>
  <c r="H218"/>
  <c r="E224"/>
  <c r="G224"/>
  <c r="E246"/>
  <c r="G246"/>
  <c r="D260"/>
  <c r="F260"/>
  <c r="D261"/>
  <c r="F261"/>
  <c r="G261"/>
  <c r="D264"/>
  <c r="D265"/>
  <c r="G265"/>
  <c r="D266"/>
  <c r="F266"/>
  <c r="G60"/>
  <c r="G193"/>
  <c r="G191"/>
  <c r="G184"/>
  <c r="G181"/>
  <c r="E200"/>
  <c r="L155"/>
  <c r="E192"/>
  <c r="D194"/>
  <c r="E41"/>
  <c r="C41"/>
  <c r="C264" s="1"/>
  <c r="C26"/>
  <c r="C16"/>
  <c r="K149" s="1"/>
  <c r="K165"/>
  <c r="C152"/>
  <c r="L56"/>
  <c r="M56"/>
  <c r="F205"/>
  <c r="E204"/>
  <c r="F200"/>
  <c r="E199"/>
  <c r="F198"/>
  <c r="E197"/>
  <c r="F193"/>
  <c r="G192"/>
  <c r="D191"/>
  <c r="D181"/>
  <c r="C50"/>
  <c r="G20"/>
  <c r="G229" s="1"/>
  <c r="K45"/>
  <c r="L31"/>
  <c r="D50"/>
  <c r="D228" s="1"/>
  <c r="M54"/>
  <c r="O31"/>
  <c r="C58"/>
  <c r="C223" s="1"/>
  <c r="E205"/>
  <c r="G200"/>
  <c r="E58"/>
  <c r="E223" s="1"/>
  <c r="M31"/>
  <c r="G201"/>
  <c r="D245"/>
  <c r="D246"/>
  <c r="F222"/>
  <c r="E261"/>
  <c r="E264"/>
  <c r="M167"/>
  <c r="E266"/>
  <c r="F152"/>
  <c r="D222"/>
  <c r="G152"/>
  <c r="G194" s="1"/>
  <c r="E260"/>
  <c r="O149"/>
  <c r="L149"/>
  <c r="H204"/>
  <c r="H193"/>
  <c r="H184"/>
  <c r="M149"/>
  <c r="D60" l="1"/>
  <c r="D227" s="1"/>
  <c r="H16"/>
  <c r="H26"/>
  <c r="C254"/>
  <c r="C255"/>
  <c r="D255"/>
  <c r="D254"/>
  <c r="E255"/>
  <c r="E254"/>
  <c r="G228"/>
  <c r="E194"/>
  <c r="F255"/>
  <c r="F254"/>
  <c r="G255"/>
  <c r="G254"/>
  <c r="H223"/>
  <c r="H139"/>
  <c r="H191"/>
  <c r="H199"/>
  <c r="J199" s="1"/>
  <c r="H50"/>
  <c r="E153"/>
  <c r="F153"/>
  <c r="F234" s="1"/>
  <c r="A129"/>
  <c r="L54"/>
  <c r="Q45"/>
  <c r="N31"/>
  <c r="P31" s="1"/>
  <c r="F181"/>
  <c r="F191"/>
  <c r="D193"/>
  <c r="K199"/>
  <c r="K204"/>
  <c r="C153"/>
  <c r="F60"/>
  <c r="F62" s="1"/>
  <c r="C192"/>
  <c r="C181"/>
  <c r="D200"/>
  <c r="F265"/>
  <c r="F246"/>
  <c r="F245"/>
  <c r="F224"/>
  <c r="C205"/>
  <c r="D204"/>
  <c r="C200"/>
  <c r="D199"/>
  <c r="F197"/>
  <c r="K197" s="1"/>
  <c r="F192"/>
  <c r="F184"/>
  <c r="K184" s="1"/>
  <c r="F179"/>
  <c r="D179"/>
  <c r="C201"/>
  <c r="K16"/>
  <c r="C60"/>
  <c r="K205"/>
  <c r="Q205" s="1"/>
  <c r="E265"/>
  <c r="C189"/>
  <c r="C188"/>
  <c r="C187"/>
  <c r="C186"/>
  <c r="C185"/>
  <c r="H189"/>
  <c r="H188"/>
  <c r="H187"/>
  <c r="H186"/>
  <c r="H185"/>
  <c r="C184"/>
  <c r="C190"/>
  <c r="H190"/>
  <c r="D189"/>
  <c r="D188"/>
  <c r="D187"/>
  <c r="D186"/>
  <c r="D185"/>
  <c r="D190"/>
  <c r="F189"/>
  <c r="I189" s="1"/>
  <c r="F188"/>
  <c r="F187"/>
  <c r="I187" s="1"/>
  <c r="F186"/>
  <c r="I186" s="1"/>
  <c r="F185"/>
  <c r="F190"/>
  <c r="K198"/>
  <c r="C261"/>
  <c r="H261" s="1"/>
  <c r="O167"/>
  <c r="G62"/>
  <c r="K139"/>
  <c r="G189"/>
  <c r="G188"/>
  <c r="G187"/>
  <c r="G186"/>
  <c r="J186" s="1"/>
  <c r="G185"/>
  <c r="G190"/>
  <c r="E189"/>
  <c r="E188"/>
  <c r="E187"/>
  <c r="E186"/>
  <c r="E185"/>
  <c r="E190"/>
  <c r="H152"/>
  <c r="K192"/>
  <c r="K200"/>
  <c r="K193"/>
  <c r="K191"/>
  <c r="F201"/>
  <c r="C228"/>
  <c r="E161"/>
  <c r="E252" s="1"/>
  <c r="H179"/>
  <c r="H181"/>
  <c r="H192"/>
  <c r="H197"/>
  <c r="H200"/>
  <c r="H205"/>
  <c r="D224"/>
  <c r="H224" s="1"/>
  <c r="K56"/>
  <c r="O56" s="1"/>
  <c r="C204"/>
  <c r="C199"/>
  <c r="C198"/>
  <c r="C193"/>
  <c r="K167"/>
  <c r="C266"/>
  <c r="H58"/>
  <c r="D247"/>
  <c r="P149"/>
  <c r="H201"/>
  <c r="C246"/>
  <c r="H246" s="1"/>
  <c r="C245"/>
  <c r="L167"/>
  <c r="C260"/>
  <c r="C247"/>
  <c r="Q53"/>
  <c r="M16"/>
  <c r="N16"/>
  <c r="B209"/>
  <c r="B206"/>
  <c r="B208"/>
  <c r="C222"/>
  <c r="C62"/>
  <c r="E60"/>
  <c r="E227" s="1"/>
  <c r="L16"/>
  <c r="H194"/>
  <c r="E228"/>
  <c r="L165"/>
  <c r="M165" s="1"/>
  <c r="C20"/>
  <c r="C229" s="1"/>
  <c r="K31"/>
  <c r="C194"/>
  <c r="G266"/>
  <c r="G264"/>
  <c r="H264" s="1"/>
  <c r="G260"/>
  <c r="D201"/>
  <c r="D153"/>
  <c r="D234" s="1"/>
  <c r="P53"/>
  <c r="C265"/>
  <c r="H265" s="1"/>
  <c r="A213"/>
  <c r="F194"/>
  <c r="F247"/>
  <c r="E247"/>
  <c r="E245"/>
  <c r="A171"/>
  <c r="G153"/>
  <c r="G34"/>
  <c r="G36" s="1"/>
  <c r="G245"/>
  <c r="H30"/>
  <c r="F228"/>
  <c r="G227"/>
  <c r="E201"/>
  <c r="F195"/>
  <c r="F161"/>
  <c r="F164" s="1"/>
  <c r="G257" s="1"/>
  <c r="C195"/>
  <c r="C161"/>
  <c r="H198"/>
  <c r="P22"/>
  <c r="F20"/>
  <c r="D20"/>
  <c r="E222"/>
  <c r="G27"/>
  <c r="H41"/>
  <c r="E20"/>
  <c r="J187" l="1"/>
  <c r="G110"/>
  <c r="G109"/>
  <c r="K201"/>
  <c r="D62"/>
  <c r="H254"/>
  <c r="P167"/>
  <c r="I206"/>
  <c r="G209"/>
  <c r="F235"/>
  <c r="C234"/>
  <c r="H234"/>
  <c r="E195"/>
  <c r="E234"/>
  <c r="J206"/>
  <c r="H255"/>
  <c r="H153"/>
  <c r="G234"/>
  <c r="F227"/>
  <c r="G256"/>
  <c r="G77"/>
  <c r="G76"/>
  <c r="G75"/>
  <c r="H20"/>
  <c r="C27"/>
  <c r="E203"/>
  <c r="E62"/>
  <c r="H260"/>
  <c r="H266"/>
  <c r="E230"/>
  <c r="E164"/>
  <c r="K163"/>
  <c r="H195"/>
  <c r="K194"/>
  <c r="D161"/>
  <c r="D230" s="1"/>
  <c r="D195"/>
  <c r="F11" i="9"/>
  <c r="F24" s="1"/>
  <c r="F50" s="1"/>
  <c r="M41" i="5"/>
  <c r="M63" s="1"/>
  <c r="C36"/>
  <c r="C248"/>
  <c r="G119"/>
  <c r="H228"/>
  <c r="C227"/>
  <c r="H60"/>
  <c r="M94"/>
  <c r="M95" s="1"/>
  <c r="P16"/>
  <c r="C116"/>
  <c r="G95"/>
  <c r="P23"/>
  <c r="C164"/>
  <c r="C230"/>
  <c r="F203"/>
  <c r="F252"/>
  <c r="H245"/>
  <c r="G195"/>
  <c r="K195" s="1"/>
  <c r="G161"/>
  <c r="I161" s="1"/>
  <c r="G247"/>
  <c r="G222"/>
  <c r="H222" s="1"/>
  <c r="H34"/>
  <c r="G115"/>
  <c r="G89"/>
  <c r="G103"/>
  <c r="G117"/>
  <c r="G106"/>
  <c r="G101"/>
  <c r="G94"/>
  <c r="I94" s="1"/>
  <c r="G122"/>
  <c r="G83"/>
  <c r="G92"/>
  <c r="G96"/>
  <c r="G88"/>
  <c r="G93"/>
  <c r="G79"/>
  <c r="G98"/>
  <c r="G124"/>
  <c r="G108"/>
  <c r="G81"/>
  <c r="G116"/>
  <c r="G74"/>
  <c r="G111"/>
  <c r="G85"/>
  <c r="G112"/>
  <c r="G118"/>
  <c r="G107"/>
  <c r="G102"/>
  <c r="G78"/>
  <c r="G87"/>
  <c r="G120"/>
  <c r="G86"/>
  <c r="D252"/>
  <c r="C252"/>
  <c r="C203"/>
  <c r="F230"/>
  <c r="D27"/>
  <c r="F248"/>
  <c r="D229"/>
  <c r="D248"/>
  <c r="D36"/>
  <c r="F27"/>
  <c r="F229"/>
  <c r="F36"/>
  <c r="E36"/>
  <c r="E27"/>
  <c r="G248"/>
  <c r="E229"/>
  <c r="F239"/>
  <c r="N94"/>
  <c r="N95" s="1"/>
  <c r="F241"/>
  <c r="F206"/>
  <c r="I207" s="1"/>
  <c r="H27"/>
  <c r="C89"/>
  <c r="E248"/>
  <c r="E110" l="1"/>
  <c r="E109"/>
  <c r="D110"/>
  <c r="D109"/>
  <c r="F110"/>
  <c r="F109"/>
  <c r="H109"/>
  <c r="C109"/>
  <c r="H110"/>
  <c r="C110"/>
  <c r="H227"/>
  <c r="E235"/>
  <c r="F257"/>
  <c r="C235"/>
  <c r="C209"/>
  <c r="C257"/>
  <c r="D257"/>
  <c r="E11" i="9"/>
  <c r="E24" s="1"/>
  <c r="E50" s="1"/>
  <c r="F209" i="5"/>
  <c r="E76"/>
  <c r="E77"/>
  <c r="E75"/>
  <c r="D256"/>
  <c r="D76"/>
  <c r="D77"/>
  <c r="D75"/>
  <c r="D79"/>
  <c r="F256"/>
  <c r="F77"/>
  <c r="F75"/>
  <c r="F76"/>
  <c r="C76"/>
  <c r="H77"/>
  <c r="H75"/>
  <c r="C77"/>
  <c r="C75"/>
  <c r="H76"/>
  <c r="C122"/>
  <c r="H36"/>
  <c r="C118"/>
  <c r="I36"/>
  <c r="E256"/>
  <c r="C249"/>
  <c r="C256"/>
  <c r="H248"/>
  <c r="H247"/>
  <c r="L41"/>
  <c r="L63" s="1"/>
  <c r="L164"/>
  <c r="E239"/>
  <c r="E206"/>
  <c r="E241"/>
  <c r="D203"/>
  <c r="D164"/>
  <c r="D235" s="1"/>
  <c r="H203"/>
  <c r="L23"/>
  <c r="C85"/>
  <c r="C86"/>
  <c r="C117"/>
  <c r="C92"/>
  <c r="C239"/>
  <c r="C241"/>
  <c r="C237"/>
  <c r="C120"/>
  <c r="C79"/>
  <c r="C107"/>
  <c r="C112"/>
  <c r="C83"/>
  <c r="C81"/>
  <c r="C87"/>
  <c r="C101"/>
  <c r="C111"/>
  <c r="C94"/>
  <c r="C106"/>
  <c r="C74"/>
  <c r="C88"/>
  <c r="C98"/>
  <c r="C108"/>
  <c r="C95"/>
  <c r="C78"/>
  <c r="C93"/>
  <c r="C103"/>
  <c r="C102"/>
  <c r="C115"/>
  <c r="C96"/>
  <c r="C119"/>
  <c r="H229"/>
  <c r="C11" i="9"/>
  <c r="H62" i="5"/>
  <c r="C124"/>
  <c r="K41"/>
  <c r="K63" s="1"/>
  <c r="F237"/>
  <c r="N23"/>
  <c r="M23"/>
  <c r="F83"/>
  <c r="O23"/>
  <c r="C206"/>
  <c r="H161"/>
  <c r="G164"/>
  <c r="G203"/>
  <c r="K203" s="1"/>
  <c r="G252"/>
  <c r="H252" s="1"/>
  <c r="G230"/>
  <c r="H230" s="1"/>
  <c r="O81"/>
  <c r="K164"/>
  <c r="H89"/>
  <c r="H83"/>
  <c r="E83"/>
  <c r="F89"/>
  <c r="D103"/>
  <c r="D96"/>
  <c r="D101"/>
  <c r="D107"/>
  <c r="D81"/>
  <c r="D249"/>
  <c r="D98"/>
  <c r="D124"/>
  <c r="D122"/>
  <c r="D120"/>
  <c r="D85"/>
  <c r="D78"/>
  <c r="D106"/>
  <c r="D86"/>
  <c r="D88"/>
  <c r="D115"/>
  <c r="D92"/>
  <c r="D95"/>
  <c r="D117"/>
  <c r="D74"/>
  <c r="D116"/>
  <c r="D102"/>
  <c r="D112"/>
  <c r="D93"/>
  <c r="D111"/>
  <c r="D119"/>
  <c r="D94"/>
  <c r="D108"/>
  <c r="D118"/>
  <c r="D87"/>
  <c r="D89"/>
  <c r="F85"/>
  <c r="F92"/>
  <c r="F95"/>
  <c r="F119"/>
  <c r="F86"/>
  <c r="F115"/>
  <c r="F74"/>
  <c r="F87"/>
  <c r="F102"/>
  <c r="F106"/>
  <c r="F103"/>
  <c r="F120"/>
  <c r="G249"/>
  <c r="F108"/>
  <c r="F93"/>
  <c r="F94"/>
  <c r="F79"/>
  <c r="F117"/>
  <c r="F122"/>
  <c r="F78"/>
  <c r="F124"/>
  <c r="F96"/>
  <c r="F111"/>
  <c r="F101"/>
  <c r="F98"/>
  <c r="F107"/>
  <c r="F112"/>
  <c r="F116"/>
  <c r="K116" s="1"/>
  <c r="F88"/>
  <c r="F118"/>
  <c r="F81"/>
  <c r="D83"/>
  <c r="E89"/>
  <c r="E74"/>
  <c r="E102"/>
  <c r="E107"/>
  <c r="E116"/>
  <c r="E94"/>
  <c r="E93"/>
  <c r="E106"/>
  <c r="E118"/>
  <c r="E96"/>
  <c r="E119"/>
  <c r="E111"/>
  <c r="E95"/>
  <c r="E103"/>
  <c r="E117"/>
  <c r="E112"/>
  <c r="E79"/>
  <c r="E87"/>
  <c r="E101"/>
  <c r="E115"/>
  <c r="E122"/>
  <c r="E120"/>
  <c r="H88"/>
  <c r="H112"/>
  <c r="H92"/>
  <c r="H94"/>
  <c r="H95"/>
  <c r="H78"/>
  <c r="H81"/>
  <c r="H86"/>
  <c r="H98"/>
  <c r="H116"/>
  <c r="H118"/>
  <c r="H119"/>
  <c r="H107"/>
  <c r="H108"/>
  <c r="H102"/>
  <c r="H74"/>
  <c r="E92"/>
  <c r="E98"/>
  <c r="E85"/>
  <c r="E81"/>
  <c r="E86"/>
  <c r="E108"/>
  <c r="E88"/>
  <c r="E78"/>
  <c r="F249"/>
  <c r="E249"/>
  <c r="E237"/>
  <c r="H96"/>
  <c r="H120"/>
  <c r="H93"/>
  <c r="H85"/>
  <c r="H87"/>
  <c r="H115"/>
  <c r="H117"/>
  <c r="H106"/>
  <c r="H111"/>
  <c r="H101"/>
  <c r="H122"/>
  <c r="H79"/>
  <c r="H124"/>
  <c r="E124"/>
  <c r="H103"/>
  <c r="H235" l="1"/>
  <c r="I167"/>
  <c r="G235"/>
  <c r="H206"/>
  <c r="E257"/>
  <c r="D209"/>
  <c r="E209"/>
  <c r="L94"/>
  <c r="L95" s="1"/>
  <c r="H209"/>
  <c r="H257"/>
  <c r="M81"/>
  <c r="H249"/>
  <c r="H256"/>
  <c r="D206"/>
  <c r="M164"/>
  <c r="D237"/>
  <c r="D241"/>
  <c r="D239"/>
  <c r="D11" i="9"/>
  <c r="D24" s="1"/>
  <c r="D50" s="1"/>
  <c r="N41" i="5"/>
  <c r="G11" i="9"/>
  <c r="G24" s="1"/>
  <c r="G50" s="1"/>
  <c r="G239" i="5"/>
  <c r="K81"/>
  <c r="C24" i="9"/>
  <c r="C50" s="1"/>
  <c r="Q23" i="5"/>
  <c r="O164"/>
  <c r="I164"/>
  <c r="N81"/>
  <c r="G237"/>
  <c r="H239"/>
  <c r="O94"/>
  <c r="O95" s="1"/>
  <c r="G241"/>
  <c r="G206"/>
  <c r="H164"/>
  <c r="L81"/>
  <c r="H237" l="1"/>
  <c r="K206"/>
  <c r="J207"/>
  <c r="H241"/>
  <c r="H11" i="9"/>
  <c r="N63" i="5"/>
  <c r="P63" s="1"/>
  <c r="P41"/>
  <c r="H50" i="9"/>
  <c r="H24"/>
  <c r="Q81" i="5"/>
  <c r="O54"/>
</calcChain>
</file>

<file path=xl/sharedStrings.xml><?xml version="1.0" encoding="utf-8"?>
<sst xmlns="http://schemas.openxmlformats.org/spreadsheetml/2006/main" count="198" uniqueCount="168">
  <si>
    <t>Account Name</t>
  </si>
  <si>
    <t>Asset-utilization Ratios:</t>
  </si>
  <si>
    <t>Average</t>
  </si>
  <si>
    <t>Avg. Annual</t>
  </si>
  <si>
    <t>Cash &amp; Equivalents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</si>
  <si>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</si>
  <si>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</si>
  <si>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</si>
  <si>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</si>
  <si>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</si>
  <si>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</si>
  <si>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</si>
  <si>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</si>
  <si>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</si>
  <si>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</si>
  <si>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</si>
  <si>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</si>
  <si>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</si>
  <si>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</si>
  <si>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</si>
  <si>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</si>
  <si>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</si>
  <si>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</si>
  <si>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</si>
  <si>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</si>
  <si>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</si>
  <si>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</si>
  <si>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</si>
  <si>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</si>
  <si>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</si>
  <si>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</si>
  <si>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</si>
  <si>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</si>
  <si>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</si>
  <si>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</si>
  <si>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</si>
  <si>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</si>
  <si>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</si>
  <si>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</si>
  <si>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</si>
  <si>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</si>
  <si>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</si>
  <si>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</si>
  <si>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</si>
  <si>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</si>
  <si>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</si>
  <si>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>Total Revenues</t>
  </si>
  <si>
    <t>Preferred Stock Dividends</t>
  </si>
  <si>
    <t xml:space="preserve">  Construction Work in Progress</t>
  </si>
  <si>
    <t>Net Plant &amp; Equipment</t>
  </si>
  <si>
    <t>Long-Term Debt</t>
  </si>
  <si>
    <t>Other Deferred Credits</t>
  </si>
  <si>
    <t>Total LTD &amp; Deferrals</t>
  </si>
  <si>
    <t>Total Plant &amp; Equipment:</t>
  </si>
  <si>
    <t>Common Equity:</t>
  </si>
  <si>
    <t>Return On Total Capital</t>
  </si>
  <si>
    <t>Profitability Ratios:</t>
  </si>
  <si>
    <t>Total Other Assets</t>
  </si>
  <si>
    <t>average</t>
  </si>
  <si>
    <t>avg.</t>
  </si>
  <si>
    <t>Acounts Payable</t>
  </si>
  <si>
    <t>Accounts Receivable, net</t>
  </si>
  <si>
    <t>Years Ended December 31</t>
  </si>
  <si>
    <t>Exhibit 1</t>
  </si>
  <si>
    <t>Capital Structure (Regulatory):</t>
  </si>
  <si>
    <t>Common Equity</t>
  </si>
  <si>
    <t>Capital Structure:</t>
  </si>
  <si>
    <t>Short-Term Debt</t>
  </si>
  <si>
    <t>Patrons Capital</t>
  </si>
  <si>
    <t>Current Portion of LTD</t>
  </si>
  <si>
    <t>Customer Deposits</t>
  </si>
  <si>
    <t>Cost of Purchased Power</t>
  </si>
  <si>
    <t>Total Patronage Equity</t>
  </si>
  <si>
    <t>Return of Patrons Capital</t>
  </si>
  <si>
    <t>Net Margin</t>
  </si>
  <si>
    <t>BS</t>
  </si>
  <si>
    <t>IS</t>
  </si>
  <si>
    <t>Loan Covenants:</t>
  </si>
  <si>
    <t>Return On Patrons Capital</t>
  </si>
  <si>
    <t>2005 to 2009</t>
  </si>
  <si>
    <t>Accrued Expenses</t>
  </si>
  <si>
    <t>Debt Service Coverage Ratio &gt; 1.35</t>
  </si>
  <si>
    <t>Historical Cash Flow Statements</t>
  </si>
  <si>
    <t>Cash flows from operating activities:</t>
  </si>
  <si>
    <t xml:space="preserve">   Adjustments to reconcile net income</t>
  </si>
  <si>
    <t xml:space="preserve">      Other Assets and Liabilities</t>
  </si>
  <si>
    <t>Net cash provided by operating activities</t>
  </si>
  <si>
    <t xml:space="preserve">     Proceeds from sales of assets</t>
  </si>
  <si>
    <t xml:space="preserve">     Other</t>
  </si>
  <si>
    <t>Net cash used in investing activities</t>
  </si>
  <si>
    <t>Cash flows from financing activities:</t>
  </si>
  <si>
    <t xml:space="preserve">     Long-term debt repaid</t>
  </si>
  <si>
    <t>Change in cash and cash equivalents</t>
  </si>
  <si>
    <t>Cash and cash equivalents at beginning of period</t>
  </si>
  <si>
    <t>Cash and cash equivalents at end of period</t>
  </si>
  <si>
    <t xml:space="preserve">   Net Margin</t>
  </si>
  <si>
    <t xml:space="preserve">   Changes in Assets &amp; Liabilities: </t>
  </si>
  <si>
    <t xml:space="preserve">      Increase/(Decrease) Accts Payable</t>
  </si>
  <si>
    <t xml:space="preserve">      (Increase)/Decrease Accts Receivable</t>
  </si>
  <si>
    <t xml:space="preserve">      Increase/(Decrease) Deposits</t>
  </si>
  <si>
    <t xml:space="preserve">      Increase/(Decrease) Accrued Expense</t>
  </si>
  <si>
    <t xml:space="preserve">     Customer Advances and Impact Fees</t>
  </si>
  <si>
    <t xml:space="preserve">     Additions to Utility Plant</t>
  </si>
  <si>
    <t xml:space="preserve">     Proceeds from new borrowings</t>
  </si>
  <si>
    <t>Garkane Energy Cooperative, Inc.</t>
  </si>
  <si>
    <t>Accum Depreciation &amp; Amort.</t>
  </si>
  <si>
    <t>Other Property &amp; Investments:</t>
  </si>
  <si>
    <t>Non-Utility Property - Net</t>
  </si>
  <si>
    <t>Investment in Associated Co.</t>
  </si>
  <si>
    <t xml:space="preserve">Other Investments </t>
  </si>
  <si>
    <t>Other Accrued Liabilities</t>
  </si>
  <si>
    <t>Accum Operating Provisions</t>
  </si>
  <si>
    <t>Power Production</t>
  </si>
  <si>
    <t>Cost of Propane Sales</t>
  </si>
  <si>
    <t>Transmission Expense</t>
  </si>
  <si>
    <t>Distribution Exp - Operation</t>
  </si>
  <si>
    <t>Distribution Exp - Maintenance</t>
  </si>
  <si>
    <t>Customer Accounts</t>
  </si>
  <si>
    <t xml:space="preserve">Other Capital Credits </t>
  </si>
  <si>
    <t>Total Other (Income)/Expense</t>
  </si>
  <si>
    <t xml:space="preserve">      (Increase)/Decrease Notes Receivable</t>
  </si>
  <si>
    <t xml:space="preserve">      Increase/(Decrease) Materials &amp; Supplies</t>
  </si>
  <si>
    <t xml:space="preserve">     Investment in Associated Companies</t>
  </si>
  <si>
    <t xml:space="preserve">     Additions to Non-Utility Property</t>
  </si>
  <si>
    <t>Supplemental Info - Interest Paid</t>
  </si>
  <si>
    <t>Distribution &lt; 30% of Patronage Capital</t>
  </si>
  <si>
    <t>Equities &amp; Margins &gt; 25% Total Assets</t>
  </si>
  <si>
    <t>Long-Term Liabilities</t>
  </si>
  <si>
    <t>page 2 of 6</t>
  </si>
  <si>
    <t>page 6 of 6</t>
  </si>
  <si>
    <t>page 1 of 6</t>
  </si>
  <si>
    <t>page 3 of 6</t>
  </si>
  <si>
    <t>page 4 of 6</t>
  </si>
  <si>
    <t>page 5 of 6</t>
  </si>
  <si>
    <t>Cash Flows from Noncapital Financing Activities:</t>
  </si>
  <si>
    <t xml:space="preserve">      Increase (Decrease) Deferred Tax Liability</t>
  </si>
  <si>
    <t xml:space="preserve">      Increase (Decrease) Deferred Credits</t>
  </si>
  <si>
    <t xml:space="preserve">     Depreciation and amortization</t>
  </si>
  <si>
    <t xml:space="preserve">     Cumulative Affect of Accounting Chng</t>
  </si>
  <si>
    <t xml:space="preserve">      Increase (Decrease) Operating Provisions</t>
  </si>
  <si>
    <t>Net Cash Provided by Noncapital Financing</t>
  </si>
  <si>
    <t xml:space="preserve">     Patronage Refunds </t>
  </si>
  <si>
    <t>Cash Flows From Investing Activities:</t>
  </si>
  <si>
    <t xml:space="preserve">Net Cash Used for Capital and Financing </t>
  </si>
  <si>
    <t>Production Plant</t>
  </si>
  <si>
    <t>Transmission Plant</t>
  </si>
  <si>
    <t>Distribution Plant</t>
  </si>
  <si>
    <t>General Plant</t>
  </si>
  <si>
    <t>Gross Margin</t>
  </si>
  <si>
    <t>Investment &amp; Loans &lt; 15% of Total Plant</t>
  </si>
  <si>
    <t>Investment &amp; Loans &lt; 50% of Equity</t>
  </si>
  <si>
    <t>Times Interest Earned - Excluding Gain on Sale</t>
  </si>
  <si>
    <t>Net Margin - Excluding Gain on Sale</t>
  </si>
  <si>
    <t>Return On Total Assets - Excluding Gain on Sale</t>
  </si>
  <si>
    <t>Return On Total Capital - Excluding Gain on Sale</t>
  </si>
  <si>
    <t>Return On Patrons Capital - Excluding Gain on Sale</t>
  </si>
  <si>
    <t>Debt Service Coverage Ratio &gt; 1.35 - Excluding Gain on Sale</t>
  </si>
  <si>
    <t>Materials &amp; Supplies (Avg Cost)</t>
  </si>
  <si>
    <t>Unamortized Impact Fees</t>
  </si>
  <si>
    <t>Unamortized Gain on Reaquired Debt (Deseret Restructure)</t>
  </si>
  <si>
    <t>Operating Revenues &amp; Patronage Cap</t>
  </si>
  <si>
    <t>Depreciation and Amortization</t>
  </si>
  <si>
    <t>Administrative and General</t>
  </si>
  <si>
    <t>Taxes</t>
  </si>
  <si>
    <t>Interest expense (net)</t>
  </si>
  <si>
    <t>Interest and Other Income</t>
  </si>
  <si>
    <t>Loss (Gain) on Sale of Assets</t>
  </si>
  <si>
    <t>Other (Income) Expense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</si>
</sst>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&quot;$&quot;#,##0.0_);\(&quot;$&quot;#,##0.0\)"/>
  </numFmts>
  <fonts count="18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/>
      <sz val="12"/>
      <name val="Arial"/>
      <family val="2"/>
    </font>
    <font>
      <sz val="12"/>
      <name val="Times New Roman"/>
      <family val="1"/>
    </font>
    <font>
      <b/>
      <u/>
      <sz val="12"/>
      <name val="Arial"/>
      <family val="2"/>
    </font>
    <font>
      <b/>
      <u/>
      <sz val="10"/>
      <name val="Times New Roman"/>
      <family val="1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3" fontId="7" fillId="2" borderId="0"/>
    <xf numFmtId="7" fontId="7" fillId="2" borderId="0"/>
    <xf numFmtId="5" fontId="7" fillId="2" borderId="0"/>
    <xf numFmtId="0" fontId="7" fillId="2" borderId="0"/>
    <xf numFmtId="2" fontId="7" fillId="2" borderId="0"/>
    <xf numFmtId="0" fontId="1" fillId="2" borderId="0"/>
    <xf numFmtId="0" fontId="2" fillId="2" borderId="0"/>
    <xf numFmtId="0" fontId="7" fillId="0" borderId="0" applyFill="0" applyBorder="0"/>
    <xf numFmtId="10" fontId="6" fillId="2" borderId="0"/>
    <xf numFmtId="0" fontId="7" fillId="2" borderId="1"/>
  </cellStyleXfs>
  <cellXfs count="194">
    <xf numFmtId="5" fontId="0" fillId="2" borderId="0" xfId="0" applyNumberFormat="1" applyFill="1"/>
    <xf numFmtId="10" fontId="0" fillId="2" borderId="0" xfId="0" applyNumberFormat="1" applyFill="1"/>
    <xf numFmtId="5" fontId="4" fillId="2" borderId="0" xfId="0" applyNumberFormat="1" applyFont="1" applyFill="1"/>
    <xf numFmtId="10" fontId="4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10" fontId="4" fillId="2" borderId="0" xfId="0" applyNumberFormat="1" applyFont="1" applyFill="1" applyAlignment="1">
      <alignment horizontal="centerContinuous"/>
    </xf>
    <xf numFmtId="5" fontId="4" fillId="2" borderId="0" xfId="0" applyNumberFormat="1" applyFont="1" applyFill="1" applyBorder="1"/>
    <xf numFmtId="5" fontId="0" fillId="2" borderId="0" xfId="0" applyNumberFormat="1" applyFill="1" applyBorder="1"/>
    <xf numFmtId="10" fontId="0" fillId="2" borderId="0" xfId="0" applyNumberFormat="1" applyFill="1" applyBorder="1"/>
    <xf numFmtId="5" fontId="0" fillId="2" borderId="0" xfId="0" applyNumberForma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0" fontId="0" fillId="2" borderId="0" xfId="0" applyNumberFormat="1" applyFill="1"/>
    <xf numFmtId="39" fontId="4" fillId="2" borderId="0" xfId="0" applyNumberFormat="1" applyFont="1" applyFill="1"/>
    <xf numFmtId="9" fontId="0" fillId="2" borderId="0" xfId="0" applyNumberFormat="1" applyFill="1"/>
    <xf numFmtId="5" fontId="7" fillId="2" borderId="0" xfId="0" applyNumberFormat="1" applyFont="1" applyFill="1"/>
    <xf numFmtId="5" fontId="0" fillId="2" borderId="0" xfId="0" quotePrefix="1" applyNumberFormat="1" applyFill="1" applyAlignment="1">
      <alignment horizontal="right"/>
    </xf>
    <xf numFmtId="5" fontId="4" fillId="2" borderId="0" xfId="0" applyNumberFormat="1" applyFont="1" applyFill="1" applyAlignment="1">
      <alignment horizontal="center"/>
    </xf>
    <xf numFmtId="10" fontId="6" fillId="2" borderId="0" xfId="10"/>
    <xf numFmtId="5" fontId="0" fillId="2" borderId="0" xfId="0" applyNumberFormat="1" applyFill="1" applyAlignment="1">
      <alignment horizontal="right"/>
    </xf>
    <xf numFmtId="1" fontId="0" fillId="2" borderId="0" xfId="0" applyNumberFormat="1" applyFill="1"/>
    <xf numFmtId="10" fontId="4" fillId="2" borderId="0" xfId="10" applyFont="1"/>
    <xf numFmtId="5" fontId="7" fillId="2" borderId="0" xfId="0" applyNumberFormat="1" applyFont="1" applyFill="1" applyAlignment="1">
      <alignment horizontal="centerContinuous"/>
    </xf>
    <xf numFmtId="10" fontId="7" fillId="2" borderId="0" xfId="0" applyNumberFormat="1" applyFont="1" applyFill="1" applyAlignment="1">
      <alignment horizontal="centerContinuous"/>
    </xf>
    <xf numFmtId="10" fontId="8" fillId="2" borderId="0" xfId="0" quotePrefix="1" applyNumberFormat="1" applyFont="1" applyFill="1" applyAlignment="1">
      <alignment horizontal="right"/>
    </xf>
    <xf numFmtId="5" fontId="7" fillId="2" borderId="0" xfId="0" applyNumberFormat="1" applyFont="1" applyFill="1" applyAlignment="1">
      <alignment horizontal="right"/>
    </xf>
    <xf numFmtId="0" fontId="7" fillId="2" borderId="0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horizontal="right"/>
    </xf>
    <xf numFmtId="164" fontId="8" fillId="2" borderId="0" xfId="0" quotePrefix="1" applyNumberFormat="1" applyFont="1" applyFill="1" applyAlignment="1">
      <alignment horizontal="centerContinuous"/>
    </xf>
    <xf numFmtId="10" fontId="7" fillId="2" borderId="0" xfId="0" applyNumberFormat="1" applyFont="1" applyFill="1"/>
    <xf numFmtId="5" fontId="7" fillId="2" borderId="0" xfId="0" applyNumberFormat="1" applyFont="1" applyFill="1" applyBorder="1"/>
    <xf numFmtId="5" fontId="9" fillId="2" borderId="0" xfId="0" applyNumberFormat="1" applyFont="1" applyFill="1" applyAlignment="1">
      <alignment horizontal="centerContinuous"/>
    </xf>
    <xf numFmtId="5" fontId="2" fillId="2" borderId="0" xfId="0" applyNumberFormat="1" applyFont="1" applyFill="1" applyAlignment="1">
      <alignment horizontal="centerContinuous"/>
    </xf>
    <xf numFmtId="164" fontId="2" fillId="2" borderId="0" xfId="0" applyNumberFormat="1" applyFont="1" applyFill="1" applyAlignment="1">
      <alignment horizontal="centerContinuous"/>
    </xf>
    <xf numFmtId="5" fontId="10" fillId="3" borderId="0" xfId="3" applyNumberFormat="1" applyFont="1" applyFill="1" applyBorder="1"/>
    <xf numFmtId="5" fontId="11" fillId="2" borderId="0" xfId="0" applyNumberFormat="1" applyFont="1" applyFill="1" applyAlignment="1">
      <alignment horizontal="centerContinuous"/>
    </xf>
    <xf numFmtId="10" fontId="12" fillId="2" borderId="0" xfId="0" applyNumberFormat="1" applyFont="1" applyFill="1" applyBorder="1" applyAlignment="1">
      <alignment horizontal="right"/>
    </xf>
    <xf numFmtId="10" fontId="12" fillId="2" borderId="7" xfId="0" applyNumberFormat="1" applyFont="1" applyFill="1" applyBorder="1" applyAlignment="1">
      <alignment horizontal="right"/>
    </xf>
    <xf numFmtId="5" fontId="8" fillId="2" borderId="0" xfId="0" applyNumberFormat="1" applyFont="1" applyFill="1"/>
    <xf numFmtId="165" fontId="0" fillId="2" borderId="0" xfId="0" applyNumberFormat="1" applyFill="1"/>
    <xf numFmtId="37" fontId="11" fillId="0" borderId="0" xfId="9" applyNumberFormat="1" applyFont="1" applyFill="1" applyBorder="1" applyAlignment="1">
      <alignment horizontal="right"/>
    </xf>
    <xf numFmtId="37" fontId="11" fillId="2" borderId="0" xfId="9" applyNumberFormat="1" applyFont="1" applyFill="1" applyBorder="1" applyAlignment="1">
      <alignment horizontal="right"/>
    </xf>
    <xf numFmtId="2" fontId="11" fillId="2" borderId="6" xfId="9" applyNumberFormat="1" applyFont="1" applyFill="1" applyBorder="1"/>
    <xf numFmtId="10" fontId="11" fillId="2" borderId="0" xfId="0" applyNumberFormat="1" applyFont="1" applyFill="1"/>
    <xf numFmtId="37" fontId="11" fillId="2" borderId="7" xfId="9" applyNumberFormat="1" applyFont="1" applyFill="1" applyBorder="1" applyAlignment="1">
      <alignment horizontal="right"/>
    </xf>
    <xf numFmtId="10" fontId="11" fillId="2" borderId="7" xfId="0" applyNumberFormat="1" applyFont="1" applyFill="1" applyBorder="1"/>
    <xf numFmtId="166" fontId="0" fillId="2" borderId="0" xfId="0" applyNumberFormat="1" applyFill="1"/>
    <xf numFmtId="5" fontId="4" fillId="0" borderId="0" xfId="0" applyNumberFormat="1" applyFont="1" applyFill="1"/>
    <xf numFmtId="10" fontId="0" fillId="0" borderId="0" xfId="0" applyNumberFormat="1" applyFill="1"/>
    <xf numFmtId="5" fontId="0" fillId="0" borderId="0" xfId="0" applyNumberFormat="1" applyFill="1"/>
    <xf numFmtId="5" fontId="8" fillId="2" borderId="0" xfId="0" applyNumberFormat="1" applyFont="1" applyFill="1" applyAlignment="1">
      <alignment horizontal="right"/>
    </xf>
    <xf numFmtId="10" fontId="8" fillId="2" borderId="0" xfId="0" applyNumberFormat="1" applyFont="1" applyFill="1" applyAlignment="1">
      <alignment horizontal="right"/>
    </xf>
    <xf numFmtId="0" fontId="8" fillId="2" borderId="7" xfId="0" applyNumberFormat="1" applyFont="1" applyFill="1" applyBorder="1"/>
    <xf numFmtId="10" fontId="8" fillId="2" borderId="2" xfId="0" applyNumberFormat="1" applyFont="1" applyFill="1" applyBorder="1" applyAlignment="1">
      <alignment horizontal="right"/>
    </xf>
    <xf numFmtId="10" fontId="2" fillId="2" borderId="0" xfId="0" quotePrefix="1" applyNumberFormat="1" applyFont="1" applyFill="1" applyAlignment="1">
      <alignment horizontal="right"/>
    </xf>
    <xf numFmtId="5" fontId="11" fillId="2" borderId="0" xfId="0" applyNumberFormat="1" applyFont="1" applyFill="1"/>
    <xf numFmtId="5" fontId="11" fillId="2" borderId="0" xfId="0" applyNumberFormat="1" applyFont="1" applyFill="1" applyAlignment="1">
      <alignment horizontal="right"/>
    </xf>
    <xf numFmtId="0" fontId="11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11" fillId="2" borderId="2" xfId="0" applyFont="1" applyFill="1" applyBorder="1"/>
    <xf numFmtId="0" fontId="2" fillId="2" borderId="2" xfId="0" applyFont="1" applyFill="1" applyBorder="1"/>
    <xf numFmtId="0" fontId="2" fillId="2" borderId="7" xfId="0" applyNumberFormat="1" applyFont="1" applyFill="1" applyBorder="1" applyAlignment="1">
      <alignment horizontal="right"/>
    </xf>
    <xf numFmtId="37" fontId="11" fillId="2" borderId="0" xfId="0" applyNumberFormat="1" applyFont="1" applyFill="1"/>
    <xf numFmtId="165" fontId="11" fillId="2" borderId="0" xfId="1" applyNumberFormat="1" applyFont="1" applyFill="1"/>
    <xf numFmtId="165" fontId="11" fillId="0" borderId="0" xfId="1" applyNumberFormat="1" applyFont="1"/>
    <xf numFmtId="5" fontId="11" fillId="2" borderId="0" xfId="0" quotePrefix="1" applyNumberFormat="1" applyFont="1" applyFill="1" applyAlignment="1">
      <alignment horizontal="left"/>
    </xf>
    <xf numFmtId="5" fontId="11" fillId="2" borderId="0" xfId="0" applyNumberFormat="1" applyFont="1" applyFill="1" applyAlignment="1">
      <alignment horizontal="left"/>
    </xf>
    <xf numFmtId="165" fontId="11" fillId="2" borderId="7" xfId="1" applyNumberFormat="1" applyFont="1" applyFill="1" applyBorder="1"/>
    <xf numFmtId="165" fontId="11" fillId="2" borderId="0" xfId="1" applyNumberFormat="1" applyFont="1" applyFill="1" applyBorder="1"/>
    <xf numFmtId="37" fontId="11" fillId="2" borderId="4" xfId="0" applyNumberFormat="1" applyFont="1" applyFill="1" applyBorder="1"/>
    <xf numFmtId="165" fontId="11" fillId="2" borderId="4" xfId="1" applyNumberFormat="1" applyFont="1" applyFill="1" applyBorder="1"/>
    <xf numFmtId="165" fontId="11" fillId="2" borderId="0" xfId="1" applyNumberFormat="1" applyFont="1" applyFill="1" applyAlignment="1">
      <alignment horizontal="right"/>
    </xf>
    <xf numFmtId="165" fontId="11" fillId="2" borderId="7" xfId="1" applyNumberFormat="1" applyFont="1" applyFill="1" applyBorder="1" applyAlignment="1">
      <alignment horizontal="right"/>
    </xf>
    <xf numFmtId="5" fontId="11" fillId="2" borderId="4" xfId="0" applyNumberFormat="1" applyFont="1" applyFill="1" applyBorder="1"/>
    <xf numFmtId="165" fontId="11" fillId="2" borderId="8" xfId="1" applyNumberFormat="1" applyFont="1" applyFill="1" applyBorder="1"/>
    <xf numFmtId="10" fontId="11" fillId="2" borderId="8" xfId="0" applyNumberFormat="1" applyFont="1" applyFill="1" applyBorder="1"/>
    <xf numFmtId="165" fontId="11" fillId="2" borderId="5" xfId="1" applyNumberFormat="1" applyFont="1" applyFill="1" applyBorder="1"/>
    <xf numFmtId="10" fontId="11" fillId="2" borderId="5" xfId="0" applyNumberFormat="1" applyFont="1" applyFill="1" applyBorder="1"/>
    <xf numFmtId="5" fontId="11" fillId="2" borderId="6" xfId="0" applyNumberFormat="1" applyFont="1" applyFill="1" applyBorder="1"/>
    <xf numFmtId="165" fontId="11" fillId="2" borderId="6" xfId="1" applyNumberFormat="1" applyFont="1" applyFill="1" applyBorder="1"/>
    <xf numFmtId="5" fontId="11" fillId="0" borderId="0" xfId="0" applyNumberFormat="1" applyFont="1" applyFill="1" applyAlignment="1">
      <alignment horizontal="left"/>
    </xf>
    <xf numFmtId="165" fontId="11" fillId="0" borderId="0" xfId="1" applyNumberFormat="1" applyFont="1" applyFill="1"/>
    <xf numFmtId="10" fontId="11" fillId="0" borderId="0" xfId="0" applyNumberFormat="1" applyFont="1" applyFill="1"/>
    <xf numFmtId="5" fontId="11" fillId="2" borderId="0" xfId="0" applyNumberFormat="1" applyFont="1" applyFill="1" applyBorder="1"/>
    <xf numFmtId="5" fontId="11" fillId="2" borderId="5" xfId="0" applyNumberFormat="1" applyFont="1" applyFill="1" applyBorder="1"/>
    <xf numFmtId="10" fontId="11" fillId="2" borderId="9" xfId="0" applyNumberFormat="1" applyFont="1" applyFill="1" applyBorder="1"/>
    <xf numFmtId="5" fontId="14" fillId="2" borderId="0" xfId="0" applyNumberFormat="1" applyFont="1" applyFill="1"/>
    <xf numFmtId="165" fontId="14" fillId="2" borderId="0" xfId="1" applyNumberFormat="1" applyFont="1" applyFill="1"/>
    <xf numFmtId="10" fontId="14" fillId="2" borderId="0" xfId="0" applyNumberFormat="1" applyFont="1" applyFill="1"/>
    <xf numFmtId="10" fontId="8" fillId="2" borderId="0" xfId="0" applyNumberFormat="1" applyFont="1" applyFill="1" applyBorder="1" applyAlignment="1">
      <alignment horizontal="right"/>
    </xf>
    <xf numFmtId="10" fontId="8" fillId="2" borderId="7" xfId="0" applyNumberFormat="1" applyFont="1" applyFill="1" applyBorder="1" applyAlignment="1">
      <alignment horizontal="right"/>
    </xf>
    <xf numFmtId="10" fontId="11" fillId="2" borderId="0" xfId="0" applyNumberFormat="1" applyFont="1" applyFill="1" applyAlignment="1">
      <alignment horizontal="center"/>
    </xf>
    <xf numFmtId="10" fontId="11" fillId="2" borderId="0" xfId="0" quotePrefix="1" applyNumberFormat="1" applyFont="1" applyFill="1" applyAlignment="1">
      <alignment horizontal="center"/>
    </xf>
    <xf numFmtId="5" fontId="2" fillId="2" borderId="0" xfId="0" applyNumberFormat="1" applyFont="1" applyFill="1"/>
    <xf numFmtId="5" fontId="2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>
      <alignment horizontal="right"/>
    </xf>
    <xf numFmtId="10" fontId="2" fillId="2" borderId="0" xfId="0" applyNumberFormat="1" applyFont="1" applyFill="1" applyAlignment="1">
      <alignment horizontal="right"/>
    </xf>
    <xf numFmtId="1" fontId="2" fillId="2" borderId="7" xfId="0" applyNumberFormat="1" applyFont="1" applyFill="1" applyBorder="1" applyAlignment="1">
      <alignment horizontal="right"/>
    </xf>
    <xf numFmtId="0" fontId="11" fillId="2" borderId="0" xfId="0" applyFont="1" applyFill="1" applyBorder="1"/>
    <xf numFmtId="10" fontId="11" fillId="2" borderId="2" xfId="0" applyNumberFormat="1" applyFont="1" applyFill="1" applyBorder="1"/>
    <xf numFmtId="10" fontId="11" fillId="2" borderId="0" xfId="0" applyNumberFormat="1" applyFont="1" applyFill="1" applyBorder="1"/>
    <xf numFmtId="10" fontId="11" fillId="2" borderId="4" xfId="0" applyNumberFormat="1" applyFont="1" applyFill="1" applyBorder="1"/>
    <xf numFmtId="10" fontId="11" fillId="2" borderId="3" xfId="0" applyNumberFormat="1" applyFont="1" applyFill="1" applyBorder="1"/>
    <xf numFmtId="0" fontId="2" fillId="2" borderId="7" xfId="0" applyNumberFormat="1" applyFont="1" applyFill="1" applyBorder="1"/>
    <xf numFmtId="165" fontId="11" fillId="0" borderId="0" xfId="1" applyNumberFormat="1" applyFont="1" applyFill="1" applyBorder="1"/>
    <xf numFmtId="5" fontId="11" fillId="3" borderId="0" xfId="3" applyNumberFormat="1" applyFont="1" applyFill="1" applyBorder="1"/>
    <xf numFmtId="165" fontId="11" fillId="3" borderId="0" xfId="1" applyNumberFormat="1" applyFont="1" applyFill="1" applyBorder="1"/>
    <xf numFmtId="5" fontId="11" fillId="3" borderId="4" xfId="3" applyNumberFormat="1" applyFont="1" applyFill="1" applyBorder="1"/>
    <xf numFmtId="165" fontId="11" fillId="3" borderId="4" xfId="1" applyNumberFormat="1" applyFont="1" applyFill="1" applyBorder="1"/>
    <xf numFmtId="165" fontId="11" fillId="0" borderId="4" xfId="1" applyNumberFormat="1" applyFont="1" applyFill="1" applyBorder="1"/>
    <xf numFmtId="0" fontId="11" fillId="0" borderId="0" xfId="0" applyFont="1" applyFill="1" applyBorder="1" applyAlignment="1">
      <alignment horizontal="left"/>
    </xf>
    <xf numFmtId="165" fontId="11" fillId="3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0" fontId="11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165" fontId="11" fillId="0" borderId="7" xfId="1" applyNumberFormat="1" applyFont="1" applyFill="1" applyBorder="1"/>
    <xf numFmtId="5" fontId="11" fillId="0" borderId="4" xfId="3" applyNumberFormat="1" applyFont="1" applyFill="1" applyBorder="1"/>
    <xf numFmtId="165" fontId="11" fillId="0" borderId="5" xfId="1" applyNumberFormat="1" applyFont="1" applyFill="1" applyBorder="1"/>
    <xf numFmtId="5" fontId="11" fillId="3" borderId="6" xfId="3" applyNumberFormat="1" applyFont="1" applyFill="1" applyBorder="1"/>
    <xf numFmtId="165" fontId="11" fillId="3" borderId="6" xfId="1" applyNumberFormat="1" applyFont="1" applyFill="1" applyBorder="1"/>
    <xf numFmtId="37" fontId="11" fillId="0" borderId="0" xfId="0" applyNumberFormat="1" applyFont="1"/>
    <xf numFmtId="1" fontId="2" fillId="2" borderId="7" xfId="0" applyNumberFormat="1" applyFont="1" applyFill="1" applyBorder="1"/>
    <xf numFmtId="15" fontId="11" fillId="2" borderId="0" xfId="0" applyNumberFormat="1" applyFont="1" applyFill="1" applyBorder="1"/>
    <xf numFmtId="10" fontId="2" fillId="2" borderId="2" xfId="0" applyNumberFormat="1" applyFont="1" applyFill="1" applyBorder="1" applyAlignment="1">
      <alignment horizontal="right"/>
    </xf>
    <xf numFmtId="165" fontId="11" fillId="2" borderId="0" xfId="0" applyNumberFormat="1" applyFont="1" applyFill="1"/>
    <xf numFmtId="37" fontId="11" fillId="0" borderId="0" xfId="9" applyNumberFormat="1" applyFont="1" applyFill="1" applyBorder="1" applyAlignment="1">
      <alignment vertical="center"/>
    </xf>
    <xf numFmtId="37" fontId="11" fillId="0" borderId="0" xfId="9" applyNumberFormat="1" applyFont="1" applyBorder="1" applyAlignment="1">
      <alignment horizontal="right"/>
    </xf>
    <xf numFmtId="37" fontId="11" fillId="0" borderId="0" xfId="9" applyNumberFormat="1" applyFont="1" applyBorder="1" applyAlignment="1">
      <alignment vertical="center"/>
    </xf>
    <xf numFmtId="165" fontId="11" fillId="0" borderId="0" xfId="1" applyNumberFormat="1" applyFont="1" applyBorder="1" applyAlignment="1">
      <alignment horizontal="right"/>
    </xf>
    <xf numFmtId="165" fontId="11" fillId="2" borderId="0" xfId="1" applyNumberFormat="1" applyFont="1" applyFill="1" applyBorder="1" applyAlignment="1">
      <alignment horizontal="right"/>
    </xf>
    <xf numFmtId="37" fontId="11" fillId="3" borderId="0" xfId="9" quotePrefix="1" applyNumberFormat="1" applyFont="1" applyFill="1" applyBorder="1" applyAlignment="1">
      <alignment horizontal="left"/>
    </xf>
    <xf numFmtId="37" fontId="11" fillId="3" borderId="0" xfId="9" quotePrefix="1" applyNumberFormat="1" applyFont="1" applyFill="1" applyBorder="1" applyAlignment="1">
      <alignment horizontal="right"/>
    </xf>
    <xf numFmtId="37" fontId="11" fillId="0" borderId="0" xfId="9" applyNumberFormat="1" applyFont="1" applyFill="1" applyBorder="1" applyAlignment="1">
      <alignment horizontal="right" vertical="center"/>
    </xf>
    <xf numFmtId="37" fontId="11" fillId="0" borderId="0" xfId="9" quotePrefix="1" applyNumberFormat="1" applyFont="1" applyBorder="1" applyAlignment="1">
      <alignment horizontal="left" vertical="center"/>
    </xf>
    <xf numFmtId="37" fontId="11" fillId="0" borderId="0" xfId="9" quotePrefix="1" applyNumberFormat="1" applyFont="1" applyBorder="1" applyAlignment="1">
      <alignment horizontal="right" vertical="center"/>
    </xf>
    <xf numFmtId="37" fontId="11" fillId="0" borderId="0" xfId="9" applyNumberFormat="1" applyFont="1" applyBorder="1" applyAlignment="1">
      <alignment horizontal="left" vertical="center"/>
    </xf>
    <xf numFmtId="37" fontId="11" fillId="0" borderId="0" xfId="9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horizontal="right"/>
    </xf>
    <xf numFmtId="165" fontId="11" fillId="2" borderId="4" xfId="1" applyNumberFormat="1" applyFont="1" applyFill="1" applyBorder="1" applyAlignment="1">
      <alignment horizontal="right"/>
    </xf>
    <xf numFmtId="2" fontId="11" fillId="2" borderId="0" xfId="9" applyNumberFormat="1" applyFont="1" applyFill="1" applyBorder="1"/>
    <xf numFmtId="0" fontId="11" fillId="0" borderId="0" xfId="0" applyFont="1" applyFill="1"/>
    <xf numFmtId="10" fontId="11" fillId="0" borderId="2" xfId="0" applyNumberFormat="1" applyFont="1" applyFill="1" applyBorder="1"/>
    <xf numFmtId="10" fontId="11" fillId="0" borderId="7" xfId="0" applyNumberFormat="1" applyFont="1" applyFill="1" applyBorder="1"/>
    <xf numFmtId="5" fontId="11" fillId="0" borderId="0" xfId="0" applyNumberFormat="1" applyFont="1" applyFill="1"/>
    <xf numFmtId="10" fontId="11" fillId="0" borderId="8" xfId="0" applyNumberFormat="1" applyFont="1" applyFill="1" applyBorder="1"/>
    <xf numFmtId="10" fontId="11" fillId="0" borderId="0" xfId="0" applyNumberFormat="1" applyFont="1" applyFill="1" applyBorder="1"/>
    <xf numFmtId="10" fontId="11" fillId="0" borderId="3" xfId="0" applyNumberFormat="1" applyFont="1" applyFill="1" applyBorder="1"/>
    <xf numFmtId="10" fontId="11" fillId="0" borderId="9" xfId="0" applyNumberFormat="1" applyFont="1" applyFill="1" applyBorder="1"/>
    <xf numFmtId="10" fontId="11" fillId="0" borderId="0" xfId="0" applyNumberFormat="1" applyFont="1" applyFill="1" applyAlignment="1">
      <alignment horizontal="center"/>
    </xf>
    <xf numFmtId="10" fontId="11" fillId="0" borderId="0" xfId="0" quotePrefix="1" applyNumberFormat="1" applyFont="1" applyFill="1" applyAlignment="1">
      <alignment horizontal="center"/>
    </xf>
    <xf numFmtId="5" fontId="9" fillId="0" borderId="0" xfId="0" applyNumberFormat="1" applyFont="1" applyFill="1" applyAlignment="1">
      <alignment horizontal="centerContinuous"/>
    </xf>
    <xf numFmtId="5" fontId="7" fillId="0" borderId="0" xfId="0" applyNumberFormat="1" applyFont="1" applyFill="1" applyAlignment="1">
      <alignment horizontal="centerContinuous"/>
    </xf>
    <xf numFmtId="5" fontId="2" fillId="0" borderId="0" xfId="0" applyNumberFormat="1" applyFont="1" applyFill="1" applyAlignment="1">
      <alignment horizontal="centerContinuous"/>
    </xf>
    <xf numFmtId="10" fontId="7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Continuous"/>
    </xf>
    <xf numFmtId="5" fontId="7" fillId="0" borderId="0" xfId="0" applyNumberFormat="1" applyFont="1" applyFill="1"/>
    <xf numFmtId="10" fontId="7" fillId="0" borderId="0" xfId="0" applyNumberFormat="1" applyFont="1" applyFill="1"/>
    <xf numFmtId="5" fontId="2" fillId="0" borderId="0" xfId="0" applyNumberFormat="1" applyFont="1" applyFill="1"/>
    <xf numFmtId="5" fontId="2" fillId="0" borderId="0" xfId="0" applyNumberFormat="1" applyFont="1" applyFill="1" applyAlignment="1">
      <alignment horizontal="right"/>
    </xf>
    <xf numFmtId="15" fontId="2" fillId="0" borderId="0" xfId="0" applyNumberFormat="1" applyFont="1" applyFill="1" applyAlignment="1">
      <alignment horizontal="right"/>
    </xf>
    <xf numFmtId="10" fontId="2" fillId="0" borderId="0" xfId="0" applyNumberFormat="1" applyFont="1" applyFill="1" applyAlignment="1">
      <alignment horizontal="right"/>
    </xf>
    <xf numFmtId="5" fontId="2" fillId="0" borderId="2" xfId="0" applyNumberFormat="1" applyFont="1" applyFill="1" applyBorder="1"/>
    <xf numFmtId="0" fontId="2" fillId="0" borderId="7" xfId="0" applyNumberFormat="1" applyFont="1" applyFill="1" applyBorder="1"/>
    <xf numFmtId="1" fontId="2" fillId="0" borderId="7" xfId="0" applyNumberFormat="1" applyFont="1" applyFill="1" applyBorder="1" applyAlignment="1">
      <alignment horizontal="right"/>
    </xf>
    <xf numFmtId="10" fontId="2" fillId="0" borderId="2" xfId="0" applyNumberFormat="1" applyFont="1" applyFill="1" applyBorder="1" applyAlignment="1">
      <alignment horizontal="right"/>
    </xf>
    <xf numFmtId="5" fontId="11" fillId="0" borderId="0" xfId="0" applyNumberFormat="1" applyFont="1" applyFill="1" applyBorder="1"/>
    <xf numFmtId="0" fontId="11" fillId="0" borderId="4" xfId="0" applyFont="1" applyFill="1" applyBorder="1"/>
    <xf numFmtId="0" fontId="11" fillId="0" borderId="0" xfId="0" applyFont="1" applyFill="1" applyBorder="1"/>
    <xf numFmtId="10" fontId="11" fillId="0" borderId="0" xfId="0" applyNumberFormat="1" applyFont="1" applyFill="1" applyBorder="1" applyAlignment="1">
      <alignment horizontal="right"/>
    </xf>
    <xf numFmtId="5" fontId="13" fillId="0" borderId="0" xfId="0" applyNumberFormat="1" applyFont="1" applyFill="1"/>
    <xf numFmtId="2" fontId="11" fillId="0" borderId="0" xfId="0" applyNumberFormat="1" applyFont="1" applyFill="1" applyBorder="1"/>
    <xf numFmtId="2" fontId="11" fillId="0" borderId="0" xfId="0" applyNumberFormat="1" applyFont="1" applyFill="1"/>
    <xf numFmtId="10" fontId="11" fillId="0" borderId="0" xfId="10" applyFont="1" applyFill="1"/>
    <xf numFmtId="2" fontId="11" fillId="0" borderId="0" xfId="0" applyNumberFormat="1" applyFont="1" applyFill="1" applyAlignment="1">
      <alignment horizontal="right"/>
    </xf>
    <xf numFmtId="165" fontId="10" fillId="3" borderId="0" xfId="3" applyNumberFormat="1" applyFont="1" applyFill="1" applyBorder="1"/>
    <xf numFmtId="37" fontId="11" fillId="0" borderId="0" xfId="3" applyNumberFormat="1" applyFont="1" applyFill="1" applyBorder="1"/>
    <xf numFmtId="165" fontId="11" fillId="2" borderId="5" xfId="1" applyNumberFormat="1" applyFont="1" applyFill="1" applyBorder="1" applyAlignment="1">
      <alignment horizontal="right"/>
    </xf>
    <xf numFmtId="10" fontId="11" fillId="2" borderId="0" xfId="10" applyNumberFormat="1" applyFont="1"/>
    <xf numFmtId="5" fontId="15" fillId="2" borderId="0" xfId="0" applyNumberFormat="1" applyFont="1" applyFill="1"/>
    <xf numFmtId="10" fontId="15" fillId="2" borderId="0" xfId="0" applyNumberFormat="1" applyFont="1" applyFill="1"/>
    <xf numFmtId="5" fontId="16" fillId="2" borderId="0" xfId="0" applyNumberFormat="1" applyFont="1" applyFill="1"/>
    <xf numFmtId="5" fontId="17" fillId="2" borderId="0" xfId="0" applyNumberFormat="1" applyFont="1" applyFill="1"/>
    <xf numFmtId="5" fontId="11" fillId="2" borderId="2" xfId="0" applyNumberFormat="1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 applyAlignment="1">
      <alignment horizontal="right"/>
    </xf>
    <xf numFmtId="165" fontId="11" fillId="3" borderId="7" xfId="1" applyNumberFormat="1" applyFont="1" applyFill="1" applyBorder="1" applyAlignment="1">
      <alignment horizontal="right"/>
    </xf>
    <xf numFmtId="37" fontId="2" fillId="0" borderId="0" xfId="9" applyNumberFormat="1" applyFont="1" applyBorder="1" applyAlignment="1">
      <alignment vertical="center"/>
    </xf>
    <xf numFmtId="165" fontId="2" fillId="2" borderId="4" xfId="1" applyNumberFormat="1" applyFont="1" applyFill="1" applyBorder="1" applyAlignment="1">
      <alignment horizontal="right"/>
    </xf>
    <xf numFmtId="165" fontId="11" fillId="0" borderId="7" xfId="1" applyNumberFormat="1" applyFont="1" applyBorder="1" applyAlignment="1">
      <alignment horizontal="right"/>
    </xf>
    <xf numFmtId="10" fontId="11" fillId="2" borderId="0" xfId="10" applyFont="1"/>
    <xf numFmtId="165" fontId="4" fillId="2" borderId="0" xfId="0" applyNumberFormat="1" applyFont="1" applyFill="1"/>
    <xf numFmtId="10" fontId="11" fillId="0" borderId="0" xfId="0" applyNumberFormat="1" applyFont="1" applyFill="1" applyAlignment="1">
      <alignment horizontal="right"/>
    </xf>
    <xf numFmtId="2" fontId="11" fillId="2" borderId="0" xfId="10" applyNumberFormat="1" applyFont="1"/>
    <xf numFmtId="0" fontId="11" fillId="3" borderId="0" xfId="0" applyFont="1" applyFill="1" applyBorder="1" applyAlignment="1">
      <alignment horizontal="left"/>
    </xf>
  </cellXfs>
  <cellStyles count="12">
    <cellStyle name="Comma" xfId="1" builtinId="3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_Financial Cash flow" xfId="9"/>
    <cellStyle name="Percent" xfId="10" builtinId="5"/>
    <cellStyle name="Total" xfId="1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8"/>
  <sheetViews>
    <sheetView showGridLines="0" tabSelected="1" view="pageBreakPreview" zoomScale="120" zoomScaleNormal="100" zoomScaleSheetLayoutView="120" workbookViewId="0">
      <selection activeCell="Z42" sqref="Z42"/>
    </sheetView>
  </sheetViews>
  <sheetFormatPr defaultColWidth="13.7109375" defaultRowHeight="12.75"/>
  <cols>
    <col min="1" max="1" width="40.42578125" customWidth="1"/>
    <col min="2" max="2" width="13.7109375" hidden="1" customWidth="1"/>
    <col min="3" max="7" width="14.7109375" customWidth="1"/>
    <col min="8" max="8" width="12.7109375" style="1" customWidth="1"/>
    <col min="9" max="16" width="13.7109375" hidden="1" customWidth="1"/>
    <col min="17" max="18" width="12.7109375" hidden="1" customWidth="1"/>
    <col min="19" max="24" width="12.7109375" customWidth="1"/>
  </cols>
  <sheetData>
    <row r="1" spans="1:16" ht="15">
      <c r="H1" s="91" t="s">
        <v>63</v>
      </c>
    </row>
    <row r="2" spans="1:16" ht="15">
      <c r="H2" s="92" t="s">
        <v>128</v>
      </c>
    </row>
    <row r="3" spans="1:16" ht="18">
      <c r="A3" s="31" t="s">
        <v>104</v>
      </c>
      <c r="B3" s="31"/>
      <c r="C3" s="5"/>
      <c r="D3" s="5"/>
      <c r="E3" s="5"/>
      <c r="F3" s="5"/>
      <c r="G3" s="5"/>
      <c r="H3" s="6"/>
      <c r="I3" s="2"/>
      <c r="J3" s="2"/>
    </row>
    <row r="4" spans="1:16" ht="15.75">
      <c r="A4" s="32" t="s">
        <v>44</v>
      </c>
      <c r="B4" s="32"/>
      <c r="C4" s="5"/>
      <c r="D4" s="5"/>
      <c r="E4" s="5"/>
      <c r="F4" s="5"/>
      <c r="G4" s="5"/>
      <c r="H4" s="6"/>
      <c r="I4" s="2"/>
      <c r="J4" s="2"/>
    </row>
    <row r="5" spans="1:16" ht="15.75">
      <c r="A5" s="33" t="s">
        <v>62</v>
      </c>
      <c r="B5" s="33"/>
      <c r="C5" s="5"/>
      <c r="D5" s="5"/>
      <c r="E5" s="5"/>
      <c r="F5" s="5"/>
      <c r="G5" s="5"/>
      <c r="H5" s="6"/>
      <c r="I5" s="2"/>
      <c r="J5" s="2"/>
    </row>
    <row r="6" spans="1:16">
      <c r="A6" s="28"/>
      <c r="B6" s="28"/>
      <c r="C6" s="22"/>
      <c r="D6" s="22"/>
      <c r="E6" s="22"/>
      <c r="F6" s="22"/>
      <c r="G6" s="22"/>
      <c r="H6" s="23"/>
      <c r="I6" s="2"/>
      <c r="J6" s="2"/>
    </row>
    <row r="7" spans="1:16" ht="15.75">
      <c r="A7" s="35"/>
      <c r="B7" s="35"/>
      <c r="C7" s="35"/>
      <c r="D7" s="35"/>
      <c r="E7" s="35"/>
      <c r="F7" s="35"/>
      <c r="G7" s="35"/>
      <c r="H7" s="54" t="s">
        <v>79</v>
      </c>
      <c r="I7" s="2"/>
      <c r="J7" s="2"/>
    </row>
    <row r="8" spans="1:16" ht="15.75">
      <c r="A8" s="55"/>
      <c r="B8" s="55"/>
      <c r="C8" s="55"/>
      <c r="D8" s="56"/>
      <c r="E8" s="57"/>
      <c r="F8" s="57"/>
      <c r="G8" s="58"/>
      <c r="H8" s="89" t="s">
        <v>3</v>
      </c>
      <c r="I8" s="2"/>
      <c r="J8" s="2"/>
    </row>
    <row r="9" spans="1:16" ht="15.75">
      <c r="A9" s="59" t="s">
        <v>0</v>
      </c>
      <c r="B9" s="60">
        <v>2004</v>
      </c>
      <c r="C9" s="60">
        <v>2005</v>
      </c>
      <c r="D9" s="60">
        <v>2006</v>
      </c>
      <c r="E9" s="61">
        <v>2007</v>
      </c>
      <c r="F9" s="61">
        <v>2008</v>
      </c>
      <c r="G9" s="61">
        <v>2009</v>
      </c>
      <c r="H9" s="90" t="s">
        <v>22</v>
      </c>
      <c r="I9" s="2"/>
      <c r="J9" s="2"/>
    </row>
    <row r="10" spans="1:16" ht="15.75">
      <c r="A10" s="178" t="s">
        <v>23</v>
      </c>
      <c r="B10" s="55"/>
      <c r="C10" s="63"/>
      <c r="D10" s="63"/>
      <c r="E10" s="63"/>
      <c r="F10" s="63"/>
      <c r="G10" s="63"/>
      <c r="H10" s="43"/>
      <c r="I10" s="2"/>
      <c r="J10" s="2"/>
    </row>
    <row r="11" spans="1:16" ht="15">
      <c r="A11" s="55" t="s">
        <v>144</v>
      </c>
      <c r="B11" s="55"/>
      <c r="C11" s="63">
        <v>5635297</v>
      </c>
      <c r="D11" s="63">
        <v>5635297</v>
      </c>
      <c r="E11" s="63">
        <v>6537753</v>
      </c>
      <c r="F11" s="63">
        <v>6537753</v>
      </c>
      <c r="G11" s="63">
        <v>6586591</v>
      </c>
      <c r="H11" s="43">
        <f>RATE(4,,-C11,G11)</f>
        <v>3.9766860921591964E-2</v>
      </c>
      <c r="I11" s="2"/>
      <c r="J11" s="2"/>
    </row>
    <row r="12" spans="1:16" ht="15">
      <c r="A12" s="55" t="s">
        <v>145</v>
      </c>
      <c r="B12" s="55"/>
      <c r="C12" s="63">
        <v>11109025</v>
      </c>
      <c r="D12" s="63">
        <v>11451536</v>
      </c>
      <c r="E12" s="63">
        <v>11585950</v>
      </c>
      <c r="F12" s="63">
        <v>11585950</v>
      </c>
      <c r="G12" s="63">
        <v>12290377</v>
      </c>
      <c r="H12" s="43">
        <f t="shared" ref="H12:H14" si="0">RATE(4,,-C12,G12)</f>
        <v>2.5586546444758398E-2</v>
      </c>
      <c r="I12" s="2"/>
      <c r="J12" s="2"/>
    </row>
    <row r="13" spans="1:16" ht="15">
      <c r="A13" s="55" t="s">
        <v>146</v>
      </c>
      <c r="B13" s="55"/>
      <c r="C13" s="63">
        <v>31036430</v>
      </c>
      <c r="D13" s="63">
        <v>33641456</v>
      </c>
      <c r="E13" s="63">
        <v>36619205</v>
      </c>
      <c r="F13" s="63">
        <v>42575062</v>
      </c>
      <c r="G13" s="63">
        <v>45531709</v>
      </c>
      <c r="H13" s="43">
        <f t="shared" si="0"/>
        <v>0.10055195048865433</v>
      </c>
      <c r="I13" s="2"/>
      <c r="J13" s="2"/>
    </row>
    <row r="14" spans="1:16" ht="15">
      <c r="A14" s="55" t="s">
        <v>147</v>
      </c>
      <c r="B14" s="55"/>
      <c r="C14" s="63">
        <v>7676490</v>
      </c>
      <c r="D14" s="63">
        <v>9245595</v>
      </c>
      <c r="E14" s="63">
        <v>10005466</v>
      </c>
      <c r="F14" s="63">
        <v>10922792</v>
      </c>
      <c r="G14" s="63">
        <v>11517544</v>
      </c>
      <c r="H14" s="43">
        <f t="shared" si="0"/>
        <v>0.10674940681943279</v>
      </c>
      <c r="I14" s="2"/>
      <c r="J14" s="2"/>
    </row>
    <row r="15" spans="1:16" ht="15">
      <c r="A15" s="55" t="s">
        <v>48</v>
      </c>
      <c r="B15" s="55"/>
      <c r="C15" s="67">
        <v>2348732</v>
      </c>
      <c r="D15" s="72">
        <v>1840247</v>
      </c>
      <c r="E15" s="72">
        <v>4149860</v>
      </c>
      <c r="F15" s="72">
        <v>4163926</v>
      </c>
      <c r="G15" s="72">
        <v>8649840</v>
      </c>
      <c r="H15" s="45">
        <f>RATE(4,,-C15,G15)</f>
        <v>0.38529941986100547</v>
      </c>
      <c r="I15" s="2"/>
      <c r="J15" s="2"/>
    </row>
    <row r="16" spans="1:16" ht="15">
      <c r="A16" s="55" t="s">
        <v>53</v>
      </c>
      <c r="B16" s="73">
        <f t="shared" ref="B16:G16" si="1">SUM(B11:B15)</f>
        <v>0</v>
      </c>
      <c r="C16" s="68">
        <f t="shared" si="1"/>
        <v>57805974</v>
      </c>
      <c r="D16" s="68">
        <f t="shared" si="1"/>
        <v>61814131</v>
      </c>
      <c r="E16" s="68">
        <f t="shared" si="1"/>
        <v>68898234</v>
      </c>
      <c r="F16" s="68">
        <f t="shared" si="1"/>
        <v>75785483</v>
      </c>
      <c r="G16" s="68">
        <f t="shared" si="1"/>
        <v>84576061</v>
      </c>
      <c r="H16" s="43">
        <f>RATE(4,,-C16,G16)</f>
        <v>9.9812579738672857E-2</v>
      </c>
      <c r="I16" s="29">
        <f>RATE(2,,-E16,G16)</f>
        <v>0.10794877650197189</v>
      </c>
      <c r="J16" s="29"/>
      <c r="K16" s="39">
        <f>+D16-C16</f>
        <v>4008157</v>
      </c>
      <c r="L16">
        <f t="shared" ref="L16:N16" si="2">+E16-D16</f>
        <v>7084103</v>
      </c>
      <c r="M16">
        <f t="shared" si="2"/>
        <v>6887249</v>
      </c>
      <c r="N16">
        <f t="shared" si="2"/>
        <v>8790578</v>
      </c>
      <c r="P16">
        <f>AVERAGE(K16:N16)</f>
        <v>6692521.75</v>
      </c>
    </row>
    <row r="17" spans="1:17" ht="15">
      <c r="A17" s="55"/>
      <c r="B17" s="55"/>
      <c r="C17" s="63"/>
      <c r="D17" s="63"/>
      <c r="E17" s="63"/>
      <c r="F17" s="63"/>
      <c r="G17" s="63"/>
      <c r="H17" s="43"/>
      <c r="I17" s="2"/>
      <c r="J17" s="2"/>
    </row>
    <row r="18" spans="1:17" ht="15">
      <c r="A18" s="55" t="s">
        <v>105</v>
      </c>
      <c r="B18" s="55"/>
      <c r="C18" s="63">
        <v>22993789</v>
      </c>
      <c r="D18" s="63">
        <v>24075991</v>
      </c>
      <c r="E18" s="63">
        <v>25597609</v>
      </c>
      <c r="F18" s="63">
        <v>27421432</v>
      </c>
      <c r="G18" s="63">
        <v>29488357</v>
      </c>
      <c r="H18" s="43">
        <f>RATE(4,,-C18,G18)</f>
        <v>6.4167542067939454E-2</v>
      </c>
      <c r="I18" s="2"/>
      <c r="J18" s="2"/>
      <c r="K18" s="1">
        <f>C18/C11</f>
        <v>4.0803153764566442</v>
      </c>
      <c r="L18" s="1">
        <f>D18/D11</f>
        <v>4.272355299108459</v>
      </c>
      <c r="M18" s="1">
        <f>E18/E11</f>
        <v>3.9153527213401915</v>
      </c>
      <c r="N18" s="1">
        <f>F18/F11</f>
        <v>4.194320586905012</v>
      </c>
      <c r="O18" s="1">
        <f>G18/G11</f>
        <v>4.4770287087812193</v>
      </c>
      <c r="P18" s="18">
        <f>SUM(C18:G18)/SUM(C11:G11)</f>
        <v>4.1890043772783949</v>
      </c>
    </row>
    <row r="19" spans="1:17" ht="15">
      <c r="A19" s="55"/>
      <c r="B19" s="55"/>
      <c r="C19" s="63"/>
      <c r="D19" s="63"/>
      <c r="E19" s="63"/>
      <c r="F19" s="63"/>
      <c r="G19" s="63"/>
      <c r="H19" s="43"/>
      <c r="I19" s="2"/>
      <c r="J19" s="2"/>
      <c r="K19">
        <f>(G18-F18)*12/10+G18</f>
        <v>31968667</v>
      </c>
    </row>
    <row r="20" spans="1:17" ht="15">
      <c r="A20" s="55" t="s">
        <v>49</v>
      </c>
      <c r="B20" s="55">
        <f t="shared" ref="B20:G20" si="3">B16-B18</f>
        <v>0</v>
      </c>
      <c r="C20" s="63">
        <f t="shared" si="3"/>
        <v>34812185</v>
      </c>
      <c r="D20" s="63">
        <f t="shared" si="3"/>
        <v>37738140</v>
      </c>
      <c r="E20" s="63">
        <f t="shared" si="3"/>
        <v>43300625</v>
      </c>
      <c r="F20" s="63">
        <f t="shared" si="3"/>
        <v>48364051</v>
      </c>
      <c r="G20" s="63">
        <f t="shared" si="3"/>
        <v>55087704</v>
      </c>
      <c r="H20" s="43">
        <f>RATE(4,,-C20,G20)</f>
        <v>0.12158152599684213</v>
      </c>
      <c r="I20" s="2"/>
      <c r="J20" s="2"/>
    </row>
    <row r="21" spans="1:17" ht="15">
      <c r="A21" s="55"/>
      <c r="B21" s="55"/>
      <c r="C21" s="63"/>
      <c r="D21" s="63"/>
      <c r="E21" s="63"/>
      <c r="F21" s="63"/>
      <c r="G21" s="63"/>
      <c r="H21" s="43"/>
      <c r="I21" s="2"/>
      <c r="J21" s="2"/>
    </row>
    <row r="22" spans="1:17" ht="15.75">
      <c r="A22" s="178" t="s">
        <v>106</v>
      </c>
      <c r="B22" s="55"/>
      <c r="C22" s="63"/>
      <c r="D22" s="63"/>
      <c r="E22" s="63"/>
      <c r="F22" s="63"/>
      <c r="G22" s="63"/>
      <c r="H22" s="43"/>
      <c r="I22" s="2"/>
      <c r="J22" s="2"/>
      <c r="L22">
        <f>+D18-C18</f>
        <v>1082202</v>
      </c>
      <c r="M22">
        <f>+E18-D18</f>
        <v>1521618</v>
      </c>
      <c r="N22">
        <f>+F18-E18</f>
        <v>1823823</v>
      </c>
      <c r="O22">
        <f>+G18-F18</f>
        <v>2066925</v>
      </c>
      <c r="P22">
        <f>(+O22+N22+M22+L22)/4</f>
        <v>1623642</v>
      </c>
    </row>
    <row r="23" spans="1:17" ht="15">
      <c r="A23" s="55" t="s">
        <v>107</v>
      </c>
      <c r="B23" s="55"/>
      <c r="C23" s="63">
        <v>1437580</v>
      </c>
      <c r="D23" s="63">
        <v>1580634</v>
      </c>
      <c r="E23" s="63">
        <v>1693299</v>
      </c>
      <c r="F23" s="63">
        <v>1707645</v>
      </c>
      <c r="G23" s="63">
        <v>1859736</v>
      </c>
      <c r="H23" s="43">
        <f t="shared" ref="H23:H24" si="4">RATE(4,,-C23,G23)</f>
        <v>6.648516565757763E-2</v>
      </c>
      <c r="I23" s="2"/>
      <c r="J23" s="2"/>
      <c r="L23" s="21">
        <f>+C18/C36</f>
        <v>0.52192779661689448</v>
      </c>
      <c r="M23" s="21">
        <f>+D18/D36</f>
        <v>0.50428435548943662</v>
      </c>
      <c r="N23" s="21">
        <f>+E18/E36</f>
        <v>0.47139317207185383</v>
      </c>
      <c r="O23" s="21">
        <f>+F18/F36</f>
        <v>0.455673887208423</v>
      </c>
      <c r="P23" s="21">
        <f>+G18/G36</f>
        <v>0.4411612033758896</v>
      </c>
      <c r="Q23" s="1">
        <f>(+P23+O23+N23)/3</f>
        <v>0.45607608755205548</v>
      </c>
    </row>
    <row r="24" spans="1:17" ht="15">
      <c r="A24" s="55" t="s">
        <v>108</v>
      </c>
      <c r="B24" s="55"/>
      <c r="C24" s="63">
        <v>984662</v>
      </c>
      <c r="D24" s="71">
        <v>1041367</v>
      </c>
      <c r="E24" s="71">
        <v>1103519</v>
      </c>
      <c r="F24" s="71">
        <v>1217438</v>
      </c>
      <c r="G24" s="71">
        <v>1442688</v>
      </c>
      <c r="H24" s="43">
        <f t="shared" si="4"/>
        <v>0.1001991633717068</v>
      </c>
      <c r="I24" s="2"/>
      <c r="J24" s="2"/>
    </row>
    <row r="25" spans="1:17" ht="15">
      <c r="A25" s="55" t="s">
        <v>109</v>
      </c>
      <c r="B25" s="55"/>
      <c r="C25" s="63">
        <v>15572</v>
      </c>
      <c r="D25" s="63">
        <v>36116</v>
      </c>
      <c r="E25" s="67">
        <v>60997</v>
      </c>
      <c r="F25" s="67">
        <v>194940</v>
      </c>
      <c r="G25" s="68">
        <v>246615</v>
      </c>
      <c r="H25" s="45">
        <f>RATE(4,,-C25,G25)</f>
        <v>0.9948891733548354</v>
      </c>
      <c r="I25" s="2">
        <f>+G25-F25</f>
        <v>51675</v>
      </c>
      <c r="J25" s="2"/>
      <c r="K25" s="1"/>
      <c r="L25" s="1"/>
      <c r="M25" s="1"/>
      <c r="N25" s="1"/>
      <c r="O25" s="1"/>
      <c r="P25" s="1"/>
      <c r="Q25" s="1"/>
    </row>
    <row r="26" spans="1:17" ht="15">
      <c r="A26" s="55" t="s">
        <v>57</v>
      </c>
      <c r="B26" s="73">
        <f t="shared" ref="B26:G26" si="5">SUM(B23:B25)</f>
        <v>0</v>
      </c>
      <c r="C26" s="74">
        <f t="shared" si="5"/>
        <v>2437814</v>
      </c>
      <c r="D26" s="74">
        <f t="shared" si="5"/>
        <v>2658117</v>
      </c>
      <c r="E26" s="74">
        <f t="shared" si="5"/>
        <v>2857815</v>
      </c>
      <c r="F26" s="74">
        <f t="shared" si="5"/>
        <v>3120023</v>
      </c>
      <c r="G26" s="74">
        <f t="shared" si="5"/>
        <v>3549039</v>
      </c>
      <c r="H26" s="75">
        <f>RATE(4,,-C26,G26)</f>
        <v>9.8443064885519863E-2</v>
      </c>
      <c r="I26" s="2"/>
      <c r="J26" s="2"/>
      <c r="K26" s="1"/>
    </row>
    <row r="27" spans="1:17" ht="15">
      <c r="A27" s="55" t="s">
        <v>40</v>
      </c>
      <c r="B27" s="73">
        <f t="shared" ref="B27:G27" si="6">B20+B26</f>
        <v>0</v>
      </c>
      <c r="C27" s="74">
        <f t="shared" si="6"/>
        <v>37249999</v>
      </c>
      <c r="D27" s="74">
        <f t="shared" si="6"/>
        <v>40396257</v>
      </c>
      <c r="E27" s="74">
        <f t="shared" si="6"/>
        <v>46158440</v>
      </c>
      <c r="F27" s="74">
        <f t="shared" si="6"/>
        <v>51484074</v>
      </c>
      <c r="G27" s="74">
        <f t="shared" si="6"/>
        <v>58636743</v>
      </c>
      <c r="H27" s="75">
        <f>RATE(4,,-C27,G27)</f>
        <v>0.12011056472710525</v>
      </c>
      <c r="I27" s="13"/>
      <c r="J27" s="13"/>
      <c r="K27" s="1"/>
    </row>
    <row r="28" spans="1:17" ht="15.75">
      <c r="A28" s="98"/>
      <c r="B28" s="183"/>
      <c r="C28" s="183"/>
      <c r="D28" s="183"/>
      <c r="E28" s="58"/>
      <c r="F28" s="58"/>
      <c r="G28" s="58"/>
      <c r="H28" s="89"/>
      <c r="I28" s="2"/>
      <c r="J28" s="2"/>
    </row>
    <row r="29" spans="1:17" ht="15.75">
      <c r="A29" s="178" t="s">
        <v>6</v>
      </c>
      <c r="B29" s="55"/>
      <c r="C29" s="55"/>
      <c r="D29" s="55"/>
      <c r="E29" s="55"/>
      <c r="F29" s="55"/>
      <c r="G29" s="55"/>
      <c r="H29" s="43"/>
      <c r="I29" s="2"/>
      <c r="J29" s="2"/>
      <c r="L29" s="1"/>
      <c r="M29" s="1"/>
      <c r="N29" s="1"/>
      <c r="O29" s="1"/>
      <c r="P29" t="s">
        <v>59</v>
      </c>
    </row>
    <row r="30" spans="1:17" ht="15">
      <c r="A30" s="55" t="s">
        <v>4</v>
      </c>
      <c r="B30" s="62"/>
      <c r="C30" s="63">
        <v>2849760</v>
      </c>
      <c r="D30" s="64">
        <v>2190021</v>
      </c>
      <c r="E30" s="64">
        <v>2614030</v>
      </c>
      <c r="F30" s="64">
        <v>2811786</v>
      </c>
      <c r="G30" s="64">
        <v>1308241</v>
      </c>
      <c r="H30" s="43">
        <f>RATE(4,,-C30,G30)</f>
        <v>-0.17686727646716788</v>
      </c>
      <c r="I30" s="47"/>
      <c r="J30" s="47"/>
      <c r="K30" s="48"/>
      <c r="L30" s="48"/>
      <c r="M30" s="48"/>
      <c r="N30" s="1"/>
      <c r="O30" s="1"/>
      <c r="P30" s="1"/>
    </row>
    <row r="31" spans="1:17" ht="15">
      <c r="A31" s="65" t="s">
        <v>61</v>
      </c>
      <c r="B31" s="62"/>
      <c r="C31" s="63">
        <v>1866656</v>
      </c>
      <c r="D31" s="63">
        <v>2272815</v>
      </c>
      <c r="E31" s="63">
        <v>2302125</v>
      </c>
      <c r="F31" s="63">
        <v>2263555</v>
      </c>
      <c r="G31" s="63">
        <v>3429385</v>
      </c>
      <c r="H31" s="43">
        <f>RATE(4,,-C31,G31)</f>
        <v>0.16422786156530356</v>
      </c>
      <c r="I31" s="2"/>
      <c r="J31" s="2"/>
      <c r="K31" s="21">
        <f>C31/C139</f>
        <v>0.12995779039675134</v>
      </c>
      <c r="L31" s="21">
        <f>D31/D139</f>
        <v>0.14483681017766289</v>
      </c>
      <c r="M31" s="21">
        <f>E31/E139</f>
        <v>0.13434099951629364</v>
      </c>
      <c r="N31" s="21">
        <f>F31/F139</f>
        <v>0.12228474100170135</v>
      </c>
      <c r="O31" s="21">
        <f>G31/G139</f>
        <v>0.16576069211651093</v>
      </c>
      <c r="P31" s="1">
        <f>AVERAGE(M31:O31)-0.01</f>
        <v>0.13079547754483531</v>
      </c>
    </row>
    <row r="32" spans="1:17" ht="15">
      <c r="A32" s="66" t="s">
        <v>157</v>
      </c>
      <c r="B32" s="62"/>
      <c r="C32" s="63">
        <v>1930386</v>
      </c>
      <c r="D32" s="63">
        <v>2740904</v>
      </c>
      <c r="E32" s="63">
        <v>3150942</v>
      </c>
      <c r="F32" s="63">
        <v>3535442</v>
      </c>
      <c r="G32" s="63">
        <v>3352913</v>
      </c>
      <c r="H32" s="43">
        <f>RATE(4,,-C32,G32)</f>
        <v>0.14800698724442243</v>
      </c>
      <c r="I32" s="2"/>
      <c r="J32" s="2"/>
    </row>
    <row r="33" spans="1:17" ht="15">
      <c r="A33" s="55" t="s">
        <v>21</v>
      </c>
      <c r="B33" s="62"/>
      <c r="C33" s="63">
        <v>158697</v>
      </c>
      <c r="D33" s="63">
        <v>142890</v>
      </c>
      <c r="E33" s="67">
        <v>76499</v>
      </c>
      <c r="F33" s="67">
        <v>82899</v>
      </c>
      <c r="G33" s="68">
        <v>115307</v>
      </c>
      <c r="H33" s="45">
        <f>RATE(4,,-C33,G33)</f>
        <v>-7.6744849668598236E-2</v>
      </c>
      <c r="I33" s="2"/>
      <c r="J33" s="2"/>
      <c r="K33">
        <f>AVERAGE(C33:G33)</f>
        <v>115258.4</v>
      </c>
    </row>
    <row r="34" spans="1:17" ht="15">
      <c r="A34" s="55" t="s">
        <v>36</v>
      </c>
      <c r="B34" s="69">
        <f t="shared" ref="B34:G34" si="7">SUM(B29:B33)</f>
        <v>0</v>
      </c>
      <c r="C34" s="70">
        <f t="shared" si="7"/>
        <v>6805499</v>
      </c>
      <c r="D34" s="70">
        <f t="shared" si="7"/>
        <v>7346630</v>
      </c>
      <c r="E34" s="70">
        <f t="shared" si="7"/>
        <v>8143596</v>
      </c>
      <c r="F34" s="70">
        <f t="shared" si="7"/>
        <v>8693682</v>
      </c>
      <c r="G34" s="70">
        <f t="shared" si="7"/>
        <v>8205846</v>
      </c>
      <c r="H34" s="43">
        <f>RATE(4,,-C34,G34)</f>
        <v>4.7890364405440262E-2</v>
      </c>
      <c r="I34" s="2"/>
      <c r="J34" s="2"/>
    </row>
    <row r="35" spans="1:17" ht="15">
      <c r="A35" s="55"/>
      <c r="B35" s="55"/>
      <c r="C35" s="63"/>
      <c r="D35" s="63"/>
      <c r="E35" s="63"/>
      <c r="F35" s="63"/>
      <c r="G35" s="63"/>
      <c r="H35" s="43"/>
      <c r="I35" s="2"/>
      <c r="J35" s="2"/>
    </row>
    <row r="36" spans="1:17" ht="16.5" thickBot="1">
      <c r="A36" s="93" t="s">
        <v>35</v>
      </c>
      <c r="B36" s="73">
        <f t="shared" ref="B36:G36" si="8">B34+B20+B26</f>
        <v>0</v>
      </c>
      <c r="C36" s="70">
        <f t="shared" si="8"/>
        <v>44055498</v>
      </c>
      <c r="D36" s="70">
        <f t="shared" si="8"/>
        <v>47742887</v>
      </c>
      <c r="E36" s="76">
        <f t="shared" si="8"/>
        <v>54302036</v>
      </c>
      <c r="F36" s="76">
        <f t="shared" si="8"/>
        <v>60177756</v>
      </c>
      <c r="G36" s="76">
        <f t="shared" si="8"/>
        <v>66842589</v>
      </c>
      <c r="H36" s="77">
        <f>RATE(4,,-C36,G36)</f>
        <v>0.10984744616350543</v>
      </c>
      <c r="I36" s="21">
        <f>(G36-E36)/E36</f>
        <v>0.23094075146648277</v>
      </c>
      <c r="J36" s="21"/>
    </row>
    <row r="37" spans="1:17" ht="15.75" thickTop="1">
      <c r="A37" s="55"/>
      <c r="B37" s="78"/>
      <c r="C37" s="79"/>
      <c r="D37" s="79"/>
      <c r="E37" s="68"/>
      <c r="F37" s="68"/>
      <c r="G37" s="68"/>
      <c r="H37" s="43"/>
      <c r="I37" s="2"/>
      <c r="J37" s="2"/>
    </row>
    <row r="38" spans="1:17" ht="15.75">
      <c r="A38" s="178" t="s">
        <v>54</v>
      </c>
      <c r="B38" s="55"/>
      <c r="C38" s="63"/>
      <c r="D38" s="63"/>
      <c r="E38" s="63"/>
      <c r="F38" s="63"/>
      <c r="G38" s="63"/>
      <c r="H38" s="43"/>
      <c r="I38" s="2"/>
      <c r="J38" s="2"/>
      <c r="O38" s="12"/>
      <c r="P38" s="12"/>
      <c r="Q38" s="12"/>
    </row>
    <row r="39" spans="1:17" ht="15">
      <c r="A39" s="66" t="s">
        <v>68</v>
      </c>
      <c r="B39" s="55"/>
      <c r="C39" s="63">
        <v>19103260</v>
      </c>
      <c r="D39" s="63">
        <v>20599555</v>
      </c>
      <c r="E39" s="63">
        <v>21580614</v>
      </c>
      <c r="F39" s="63">
        <v>21755173</v>
      </c>
      <c r="G39" s="63">
        <v>25676924</v>
      </c>
      <c r="H39" s="43">
        <f>RATE(4,,-C39,G39)</f>
        <v>7.6735116400533473E-2</v>
      </c>
      <c r="I39" s="2"/>
      <c r="J39" s="2"/>
      <c r="K39">
        <f>+D39-C39</f>
        <v>1496295</v>
      </c>
      <c r="L39">
        <f t="shared" ref="L39:N39" si="9">+E39-D39</f>
        <v>981059</v>
      </c>
      <c r="M39">
        <f t="shared" si="9"/>
        <v>174559</v>
      </c>
      <c r="N39">
        <f t="shared" si="9"/>
        <v>3921751</v>
      </c>
      <c r="P39">
        <f>AVERAGE(K39:N39)</f>
        <v>1643416</v>
      </c>
    </row>
    <row r="40" spans="1:17" ht="15">
      <c r="A40" s="66" t="s">
        <v>26</v>
      </c>
      <c r="B40" s="55"/>
      <c r="C40" s="63"/>
      <c r="D40" s="63"/>
      <c r="E40" s="63"/>
      <c r="F40" s="63"/>
      <c r="G40" s="63"/>
      <c r="H40" s="45"/>
      <c r="I40" s="2"/>
      <c r="J40" s="2"/>
    </row>
    <row r="41" spans="1:17" ht="15">
      <c r="A41" s="55" t="s">
        <v>72</v>
      </c>
      <c r="B41" s="73">
        <f t="shared" ref="B41:G41" si="10">SUM(B38:B40)</f>
        <v>0</v>
      </c>
      <c r="C41" s="70">
        <f t="shared" si="10"/>
        <v>19103260</v>
      </c>
      <c r="D41" s="70">
        <f t="shared" si="10"/>
        <v>20599555</v>
      </c>
      <c r="E41" s="70">
        <f t="shared" si="10"/>
        <v>21580614</v>
      </c>
      <c r="F41" s="70">
        <f t="shared" si="10"/>
        <v>21755173</v>
      </c>
      <c r="G41" s="70">
        <f t="shared" si="10"/>
        <v>25676924</v>
      </c>
      <c r="H41" s="100">
        <f>RATE(4,,-C41,G41)</f>
        <v>7.6735116400533473E-2</v>
      </c>
      <c r="I41" s="2"/>
      <c r="J41" s="2"/>
      <c r="K41">
        <f>+D164</f>
        <v>1957190</v>
      </c>
      <c r="L41">
        <f>+E164</f>
        <v>1399993</v>
      </c>
      <c r="M41">
        <f>+F164</f>
        <v>174559</v>
      </c>
      <c r="N41">
        <f>+G164</f>
        <v>3921751</v>
      </c>
      <c r="P41">
        <f>AVERAGE(K41:N41)</f>
        <v>1863373.25</v>
      </c>
    </row>
    <row r="42" spans="1:17" ht="15">
      <c r="A42" s="55"/>
      <c r="B42" s="83"/>
      <c r="C42" s="68"/>
      <c r="D42" s="68"/>
      <c r="E42" s="68"/>
      <c r="F42" s="68"/>
      <c r="G42" s="68"/>
      <c r="H42" s="43"/>
      <c r="I42" s="2"/>
      <c r="J42" s="2"/>
    </row>
    <row r="43" spans="1:17" ht="15.75">
      <c r="A43" s="178" t="s">
        <v>127</v>
      </c>
      <c r="B43" s="55"/>
      <c r="C43" s="63"/>
      <c r="D43" s="63"/>
      <c r="E43" s="63"/>
      <c r="F43" s="63"/>
      <c r="G43" s="63"/>
      <c r="H43" s="43"/>
      <c r="I43" s="2"/>
      <c r="J43" s="2"/>
    </row>
    <row r="44" spans="1:17" ht="15">
      <c r="A44" s="55" t="s">
        <v>50</v>
      </c>
      <c r="B44" s="55"/>
      <c r="C44" s="63">
        <v>20129340</v>
      </c>
      <c r="D44" s="63">
        <v>21440513</v>
      </c>
      <c r="E44" s="63">
        <v>25958640</v>
      </c>
      <c r="F44" s="63">
        <v>30773838</v>
      </c>
      <c r="G44" s="63">
        <v>32483374</v>
      </c>
      <c r="H44" s="43">
        <f>RATE(4,,-C44,G44)</f>
        <v>0.12708819028445967</v>
      </c>
      <c r="I44" s="2"/>
      <c r="J44" s="2"/>
    </row>
    <row r="45" spans="1:17" ht="15">
      <c r="A45" s="55" t="s">
        <v>9</v>
      </c>
      <c r="B45" s="55"/>
      <c r="C45" s="63">
        <v>136395</v>
      </c>
      <c r="D45" s="63">
        <v>140668</v>
      </c>
      <c r="E45" s="63">
        <v>174361</v>
      </c>
      <c r="F45" s="63">
        <v>210441</v>
      </c>
      <c r="G45" s="63">
        <v>241963</v>
      </c>
      <c r="H45" s="43">
        <f>RATE(4,,-C45,G45)</f>
        <v>0.15408455140232388</v>
      </c>
      <c r="I45" s="2"/>
      <c r="J45" s="2"/>
      <c r="K45" s="1">
        <f>C45/C11</f>
        <v>2.4203693256983617E-2</v>
      </c>
      <c r="L45" s="1">
        <f>D45/D11</f>
        <v>2.4961949654117608E-2</v>
      </c>
      <c r="M45" s="1">
        <f>E45/E11</f>
        <v>2.6669866542832071E-2</v>
      </c>
      <c r="N45" s="1">
        <f>F45/F11</f>
        <v>3.2188582223892523E-2</v>
      </c>
      <c r="Q45" s="1">
        <f>AVERAGE(K45:P45)</f>
        <v>2.7006022919456456E-2</v>
      </c>
    </row>
    <row r="46" spans="1:17" ht="15">
      <c r="A46" s="55" t="s">
        <v>111</v>
      </c>
      <c r="B46" s="55"/>
      <c r="C46" s="63">
        <v>416667</v>
      </c>
      <c r="D46" s="63">
        <v>455105</v>
      </c>
      <c r="E46" s="63">
        <v>460884</v>
      </c>
      <c r="F46" s="63">
        <v>478457</v>
      </c>
      <c r="G46" s="63">
        <v>1078651</v>
      </c>
      <c r="H46" s="43">
        <f>RATE(4,,-C46,G46)</f>
        <v>0.26844885620328418</v>
      </c>
      <c r="I46" s="2"/>
      <c r="J46" s="2"/>
      <c r="K46" s="1"/>
      <c r="L46" s="1"/>
      <c r="M46" s="1"/>
      <c r="N46" s="1"/>
      <c r="Q46" s="1"/>
    </row>
    <row r="47" spans="1:17" ht="15">
      <c r="A47" s="55" t="s">
        <v>158</v>
      </c>
      <c r="B47" s="55"/>
      <c r="C47" s="63"/>
      <c r="D47" s="63">
        <v>344059</v>
      </c>
      <c r="E47" s="63">
        <v>900082</v>
      </c>
      <c r="F47" s="63">
        <v>1269360</v>
      </c>
      <c r="G47" s="63">
        <v>1416412</v>
      </c>
      <c r="H47" s="43">
        <f>RATE(3,,-D47,G47)</f>
        <v>0.6026999556788516</v>
      </c>
      <c r="I47" s="2"/>
      <c r="J47" s="2"/>
      <c r="K47" s="1"/>
      <c r="L47" s="1"/>
      <c r="M47" s="1"/>
      <c r="N47" s="1"/>
      <c r="Q47" s="1"/>
    </row>
    <row r="48" spans="1:17" ht="15">
      <c r="A48" s="55" t="s">
        <v>159</v>
      </c>
      <c r="B48" s="55"/>
      <c r="C48" s="63">
        <v>903337</v>
      </c>
      <c r="D48" s="63">
        <v>848388</v>
      </c>
      <c r="E48" s="63">
        <v>793440</v>
      </c>
      <c r="F48" s="63">
        <v>738492</v>
      </c>
      <c r="G48" s="63">
        <v>683544</v>
      </c>
      <c r="H48" s="43">
        <f t="shared" ref="H48" si="11">RATE(4,,-C48,G48)</f>
        <v>-6.7327505525011724E-2</v>
      </c>
      <c r="I48" s="2"/>
      <c r="J48" s="2"/>
      <c r="K48" s="1"/>
      <c r="L48" s="1"/>
      <c r="M48" s="1"/>
      <c r="N48" s="1"/>
      <c r="Q48" s="1"/>
    </row>
    <row r="49" spans="1:17" ht="15">
      <c r="A49" s="55" t="s">
        <v>51</v>
      </c>
      <c r="B49" s="55"/>
      <c r="C49" s="63">
        <f>15572+170</f>
        <v>15742</v>
      </c>
      <c r="D49" s="68">
        <f>11466+437</f>
        <v>11903</v>
      </c>
      <c r="E49" s="67">
        <f>6475+647</f>
        <v>7122</v>
      </c>
      <c r="F49" s="67">
        <f>122168+300</f>
        <v>122468</v>
      </c>
      <c r="G49" s="68">
        <f>117960+740</f>
        <v>118700</v>
      </c>
      <c r="H49" s="45">
        <f t="shared" ref="H49" si="12">RATE(4,,-C49,G49)</f>
        <v>0.65709612872102485</v>
      </c>
      <c r="I49" s="2"/>
      <c r="J49" s="2"/>
      <c r="K49" s="7">
        <f>+G49-C49</f>
        <v>102958</v>
      </c>
      <c r="L49">
        <f>+K49/4</f>
        <v>25739.5</v>
      </c>
    </row>
    <row r="50" spans="1:17" ht="15">
      <c r="A50" s="83" t="s">
        <v>52</v>
      </c>
      <c r="B50" s="73">
        <f t="shared" ref="B50:G50" si="13">SUM(B44:B49)</f>
        <v>0</v>
      </c>
      <c r="C50" s="70">
        <f t="shared" si="13"/>
        <v>21601481</v>
      </c>
      <c r="D50" s="70">
        <f t="shared" si="13"/>
        <v>23240636</v>
      </c>
      <c r="E50" s="68">
        <f t="shared" si="13"/>
        <v>28294529</v>
      </c>
      <c r="F50" s="68">
        <f t="shared" si="13"/>
        <v>33593056</v>
      </c>
      <c r="G50" s="70">
        <f t="shared" si="13"/>
        <v>36022644</v>
      </c>
      <c r="H50" s="43">
        <f>RATE(4,,-C50,G50)</f>
        <v>0.13637851643961268</v>
      </c>
      <c r="I50" s="2"/>
      <c r="J50" s="2"/>
    </row>
    <row r="51" spans="1:17" ht="15">
      <c r="A51" s="55"/>
      <c r="B51" s="83"/>
      <c r="C51" s="68"/>
      <c r="D51" s="68"/>
      <c r="E51" s="68"/>
      <c r="F51" s="68"/>
      <c r="G51" s="68"/>
      <c r="H51" s="43"/>
      <c r="I51" s="2"/>
      <c r="J51" s="2"/>
    </row>
    <row r="52" spans="1:17" ht="15.75">
      <c r="A52" s="178" t="s">
        <v>7</v>
      </c>
      <c r="B52" s="55"/>
      <c r="C52" s="63"/>
      <c r="D52" s="63"/>
      <c r="E52" s="63"/>
      <c r="F52" s="63"/>
      <c r="G52" s="63"/>
      <c r="H52" s="43"/>
      <c r="I52" s="2"/>
      <c r="J52" s="2"/>
      <c r="Q52" s="11"/>
    </row>
    <row r="53" spans="1:17" ht="15">
      <c r="A53" s="80" t="s">
        <v>69</v>
      </c>
      <c r="B53" s="55"/>
      <c r="C53" s="63">
        <v>596320</v>
      </c>
      <c r="D53" s="63">
        <v>663152</v>
      </c>
      <c r="E53" s="63">
        <v>887269</v>
      </c>
      <c r="F53" s="63">
        <v>1117436</v>
      </c>
      <c r="G53" s="63">
        <v>1248446</v>
      </c>
      <c r="H53" s="43">
        <f t="shared" ref="H53" si="14">RATE(4,,-C53,G53)</f>
        <v>0.20288081061403884</v>
      </c>
      <c r="I53" s="2"/>
      <c r="J53" s="2"/>
      <c r="K53" s="18">
        <f>+C53/C44</f>
        <v>2.9624418883083103E-2</v>
      </c>
      <c r="L53" s="18">
        <f>+D53/D44</f>
        <v>3.0929856948851923E-2</v>
      </c>
      <c r="M53" s="18">
        <f>+E53/E44</f>
        <v>3.4180103426065464E-2</v>
      </c>
      <c r="N53" s="18">
        <f>+F53/F44</f>
        <v>3.6311232937536096E-2</v>
      </c>
      <c r="O53" s="18">
        <f>+G53/G44</f>
        <v>3.8433384413823518E-2</v>
      </c>
      <c r="P53" s="1">
        <f>AVERAGE(K53:O53)</f>
        <v>3.3895799321872019E-2</v>
      </c>
      <c r="Q53" s="1">
        <f>(+O53+N53+M53)/3</f>
        <v>3.6308240259141693E-2</v>
      </c>
    </row>
    <row r="54" spans="1:17" ht="15">
      <c r="A54" s="55" t="s">
        <v>60</v>
      </c>
      <c r="B54" s="55"/>
      <c r="C54" s="63">
        <v>1316079</v>
      </c>
      <c r="D54" s="63">
        <v>1707316</v>
      </c>
      <c r="E54" s="63">
        <v>1795897</v>
      </c>
      <c r="F54" s="81">
        <v>1811202</v>
      </c>
      <c r="G54" s="81">
        <v>1777174</v>
      </c>
      <c r="H54" s="82">
        <f>RATE(4,,-C54,G54)</f>
        <v>7.7983213184351433E-2</v>
      </c>
      <c r="I54" s="47"/>
      <c r="J54" s="47"/>
      <c r="K54" s="49"/>
      <c r="L54" s="1">
        <f>D54/D139</f>
        <v>0.10879996981949111</v>
      </c>
      <c r="M54" s="1">
        <f>E54/E139</f>
        <v>0.10479995569672071</v>
      </c>
      <c r="O54" s="14" t="e">
        <f ca="1">AVERAGE(K54:P54)</f>
        <v>#DIV/0!</v>
      </c>
    </row>
    <row r="55" spans="1:17" ht="15">
      <c r="A55" s="55" t="s">
        <v>80</v>
      </c>
      <c r="B55" s="55"/>
      <c r="C55" s="63"/>
      <c r="D55" s="63"/>
      <c r="E55" s="63"/>
      <c r="F55" s="81"/>
      <c r="G55" s="81"/>
      <c r="H55" s="82"/>
      <c r="I55" s="47"/>
      <c r="J55" s="47"/>
      <c r="K55" s="48"/>
      <c r="L55" s="1"/>
      <c r="M55" s="1"/>
      <c r="N55" s="1"/>
      <c r="O55" s="1"/>
      <c r="P55" s="1"/>
    </row>
    <row r="56" spans="1:17" ht="15">
      <c r="A56" s="80" t="s">
        <v>70</v>
      </c>
      <c r="B56" s="55"/>
      <c r="C56" s="63">
        <v>313170</v>
      </c>
      <c r="D56" s="63">
        <v>358655</v>
      </c>
      <c r="E56" s="63">
        <v>393931</v>
      </c>
      <c r="F56" s="63">
        <v>385377</v>
      </c>
      <c r="G56" s="63">
        <v>565358</v>
      </c>
      <c r="H56" s="43">
        <f>RATE(4,,-C56,G56)</f>
        <v>0.15913987867209908</v>
      </c>
      <c r="I56" s="2"/>
      <c r="J56" s="2"/>
      <c r="K56" s="1">
        <f>C56/C139</f>
        <v>2.1803096670490234E-2</v>
      </c>
      <c r="L56" s="1">
        <f>D56/D139</f>
        <v>2.2855554083491037E-2</v>
      </c>
      <c r="M56" s="1">
        <f>E56/E139</f>
        <v>2.2987928231722025E-2</v>
      </c>
      <c r="N56" s="1">
        <f>F56/F139</f>
        <v>2.0819342420666898E-2</v>
      </c>
      <c r="O56" s="1">
        <f>AVERAGE(K56:N56)</f>
        <v>2.2116480351592548E-2</v>
      </c>
    </row>
    <row r="57" spans="1:17" ht="15">
      <c r="A57" s="55" t="s">
        <v>110</v>
      </c>
      <c r="B57" s="55"/>
      <c r="C57" s="63">
        <v>1125188</v>
      </c>
      <c r="D57" s="68">
        <v>1173573</v>
      </c>
      <c r="E57" s="67">
        <v>1349796</v>
      </c>
      <c r="F57" s="67">
        <v>1515512</v>
      </c>
      <c r="G57" s="68">
        <v>1552043</v>
      </c>
      <c r="H57" s="45">
        <f t="shared" ref="H57" si="15">RATE(4,,-C57,G57)</f>
        <v>8.372642823497238E-2</v>
      </c>
      <c r="I57" s="2"/>
      <c r="J57" s="2"/>
    </row>
    <row r="58" spans="1:17" ht="15">
      <c r="A58" s="55" t="s">
        <v>37</v>
      </c>
      <c r="B58" s="73">
        <f t="shared" ref="B58:G58" si="16">SUM(B52:B57)</f>
        <v>0</v>
      </c>
      <c r="C58" s="70">
        <f t="shared" si="16"/>
        <v>3350757</v>
      </c>
      <c r="D58" s="70">
        <f t="shared" si="16"/>
        <v>3902696</v>
      </c>
      <c r="E58" s="68">
        <f t="shared" si="16"/>
        <v>4426893</v>
      </c>
      <c r="F58" s="68">
        <f t="shared" si="16"/>
        <v>4829527</v>
      </c>
      <c r="G58" s="70">
        <f t="shared" si="16"/>
        <v>5143021</v>
      </c>
      <c r="H58" s="43">
        <f>RATE(4,,-C58,G58)</f>
        <v>0.11306067973502325</v>
      </c>
      <c r="I58" s="2"/>
      <c r="J58" s="2"/>
    </row>
    <row r="59" spans="1:17" ht="15">
      <c r="A59" s="55"/>
      <c r="B59" s="55"/>
      <c r="C59" s="63"/>
      <c r="D59" s="63"/>
      <c r="E59" s="63"/>
      <c r="F59" s="63"/>
      <c r="G59" s="63"/>
      <c r="H59" s="43"/>
      <c r="I59" s="2"/>
      <c r="J59" s="2"/>
    </row>
    <row r="60" spans="1:17" ht="15">
      <c r="A60" s="55" t="s">
        <v>38</v>
      </c>
      <c r="B60" s="55">
        <f t="shared" ref="B60:G60" si="17">B50+B58</f>
        <v>0</v>
      </c>
      <c r="C60" s="67">
        <f t="shared" si="17"/>
        <v>24952238</v>
      </c>
      <c r="D60" s="67">
        <f t="shared" si="17"/>
        <v>27143332</v>
      </c>
      <c r="E60" s="67">
        <f t="shared" si="17"/>
        <v>32721422</v>
      </c>
      <c r="F60" s="67">
        <f t="shared" si="17"/>
        <v>38422583</v>
      </c>
      <c r="G60" s="67">
        <f t="shared" si="17"/>
        <v>41165665</v>
      </c>
      <c r="H60" s="45">
        <f>RATE(4,,-C60,G60)</f>
        <v>0.13333005962836708</v>
      </c>
      <c r="I60" s="2"/>
      <c r="J60" s="2"/>
    </row>
    <row r="61" spans="1:17" ht="15">
      <c r="A61" s="55"/>
      <c r="B61" s="55"/>
      <c r="C61" s="63"/>
      <c r="D61" s="63"/>
      <c r="E61" s="63"/>
      <c r="F61" s="63"/>
      <c r="G61" s="63"/>
      <c r="H61" s="45"/>
      <c r="I61" s="2"/>
      <c r="J61" s="2"/>
    </row>
    <row r="62" spans="1:17" ht="15.75" thickBot="1">
      <c r="A62" s="55" t="s">
        <v>39</v>
      </c>
      <c r="B62" s="84">
        <f>B41+B60+B46</f>
        <v>0</v>
      </c>
      <c r="C62" s="76">
        <f>C41+C60</f>
        <v>44055498</v>
      </c>
      <c r="D62" s="76">
        <f>D41+D60</f>
        <v>47742887</v>
      </c>
      <c r="E62" s="76">
        <f>E41+E60</f>
        <v>54302036</v>
      </c>
      <c r="F62" s="76">
        <f>F41+F60</f>
        <v>60177756</v>
      </c>
      <c r="G62" s="76">
        <f>G41+G60</f>
        <v>66842589</v>
      </c>
      <c r="H62" s="85">
        <f>RATE(4,,-C62,G62)</f>
        <v>0.10984744616350543</v>
      </c>
      <c r="I62" s="2"/>
      <c r="J62" s="2"/>
    </row>
    <row r="63" spans="1:17" ht="16.5" thickTop="1">
      <c r="A63" s="86"/>
      <c r="B63" s="86">
        <f>+B62-B36</f>
        <v>0</v>
      </c>
      <c r="C63" s="87"/>
      <c r="D63" s="87"/>
      <c r="E63" s="87"/>
      <c r="F63" s="87"/>
      <c r="G63" s="87"/>
      <c r="H63" s="88"/>
      <c r="I63" s="2"/>
      <c r="J63" s="2"/>
      <c r="K63">
        <f>+K39-K41</f>
        <v>-460895</v>
      </c>
      <c r="L63">
        <f>+L39-L41</f>
        <v>-418934</v>
      </c>
      <c r="M63">
        <f>+M39-M41</f>
        <v>0</v>
      </c>
      <c r="N63">
        <f>+N39-N41</f>
        <v>0</v>
      </c>
      <c r="P63">
        <f>AVERAGE(K63:N63)</f>
        <v>-219957.25</v>
      </c>
    </row>
    <row r="64" spans="1:17" ht="15">
      <c r="A64" s="2"/>
      <c r="B64" s="2"/>
      <c r="C64" s="2"/>
      <c r="D64" s="2"/>
      <c r="E64" s="2"/>
      <c r="F64" s="2"/>
      <c r="G64" s="2"/>
      <c r="H64" s="91" t="str">
        <f>H1</f>
        <v>Exhibit 1</v>
      </c>
      <c r="I64" s="2"/>
      <c r="J64" s="2"/>
    </row>
    <row r="65" spans="1:17" ht="15">
      <c r="A65" s="2"/>
      <c r="B65" s="2"/>
      <c r="C65" s="2"/>
      <c r="D65" s="2"/>
      <c r="E65" s="2"/>
      <c r="F65" s="2"/>
      <c r="G65" s="2"/>
      <c r="H65" s="92" t="s">
        <v>129</v>
      </c>
      <c r="I65" s="2"/>
      <c r="J65" s="2"/>
      <c r="N65" s="16"/>
    </row>
    <row r="66" spans="1:17" ht="18">
      <c r="A66" s="31" t="str">
        <f>A3</f>
        <v>Garkane Energy Cooperative, Inc.</v>
      </c>
      <c r="B66" s="5"/>
      <c r="C66" s="5"/>
      <c r="D66" s="5"/>
      <c r="E66" s="5"/>
      <c r="F66" s="5"/>
      <c r="G66" s="5"/>
      <c r="H66" s="6"/>
      <c r="I66" s="2"/>
      <c r="J66" s="2"/>
    </row>
    <row r="67" spans="1:17" ht="15.75">
      <c r="A67" s="32" t="s">
        <v>43</v>
      </c>
      <c r="B67" s="5"/>
      <c r="C67" s="5"/>
      <c r="D67" s="5"/>
      <c r="E67" s="5"/>
      <c r="F67" s="5"/>
      <c r="G67" s="5"/>
      <c r="H67" s="6"/>
      <c r="I67" s="2"/>
      <c r="J67" s="2"/>
    </row>
    <row r="68" spans="1:17" ht="15.75">
      <c r="A68" s="32" t="s">
        <v>44</v>
      </c>
      <c r="B68" s="5"/>
      <c r="C68" s="5"/>
      <c r="D68" s="5"/>
      <c r="E68" s="5"/>
      <c r="F68" s="5"/>
      <c r="G68" s="5"/>
      <c r="H68" s="6"/>
      <c r="I68" s="2"/>
      <c r="J68" s="2"/>
    </row>
    <row r="69" spans="1:17" ht="15.75">
      <c r="A69" s="4"/>
      <c r="B69" s="5"/>
      <c r="C69" s="5"/>
      <c r="D69" s="5"/>
      <c r="E69" s="5"/>
      <c r="F69" s="5"/>
      <c r="G69" s="5"/>
      <c r="H69" s="6"/>
      <c r="I69" s="2"/>
      <c r="J69" s="2"/>
    </row>
    <row r="70" spans="1:17">
      <c r="A70" s="2"/>
      <c r="B70" s="2"/>
      <c r="C70" s="2"/>
      <c r="D70" s="2"/>
      <c r="E70" s="2"/>
      <c r="F70" s="2"/>
      <c r="G70" s="2"/>
      <c r="H70" s="3"/>
      <c r="I70" s="2"/>
      <c r="J70" s="2"/>
    </row>
    <row r="71" spans="1:17" ht="15.75">
      <c r="A71" s="93"/>
      <c r="B71" s="93"/>
      <c r="C71" s="93"/>
      <c r="D71" s="94"/>
      <c r="E71" s="95"/>
      <c r="F71" s="95"/>
      <c r="G71" s="95"/>
      <c r="H71" s="96" t="str">
        <f>+H7</f>
        <v>2005 to 2009</v>
      </c>
      <c r="I71" s="2"/>
      <c r="J71" s="2"/>
    </row>
    <row r="72" spans="1:17" ht="15.75">
      <c r="A72" s="182" t="s">
        <v>0</v>
      </c>
      <c r="B72" s="61">
        <f t="shared" ref="B72" si="18">+B9</f>
        <v>2004</v>
      </c>
      <c r="C72" s="61">
        <f t="shared" ref="C72:E72" si="19">+C9</f>
        <v>2005</v>
      </c>
      <c r="D72" s="61">
        <f t="shared" si="19"/>
        <v>2006</v>
      </c>
      <c r="E72" s="61">
        <f t="shared" si="19"/>
        <v>2007</v>
      </c>
      <c r="F72" s="61">
        <f>+F9</f>
        <v>2008</v>
      </c>
      <c r="G72" s="97">
        <f>G9</f>
        <v>2009</v>
      </c>
      <c r="H72" s="90" t="s">
        <v>42</v>
      </c>
      <c r="I72" s="2"/>
      <c r="J72" s="2"/>
    </row>
    <row r="73" spans="1:17" ht="15.75">
      <c r="A73" s="178" t="s">
        <v>23</v>
      </c>
      <c r="B73" s="43"/>
      <c r="C73" s="43"/>
      <c r="D73" s="43"/>
      <c r="E73" s="43"/>
      <c r="F73" s="43"/>
      <c r="G73" s="43"/>
      <c r="H73" s="43"/>
      <c r="I73" s="2"/>
      <c r="J73" s="2"/>
    </row>
    <row r="74" spans="1:17" ht="15">
      <c r="A74" s="55" t="str">
        <f>A11</f>
        <v>Production Plant</v>
      </c>
      <c r="B74" s="43" t="e">
        <f t="shared" ref="B74:G74" si="20">B11/B$36</f>
        <v>#DIV/0!</v>
      </c>
      <c r="C74" s="43">
        <f t="shared" si="20"/>
        <v>0.12791359207879116</v>
      </c>
      <c r="D74" s="43">
        <f t="shared" si="20"/>
        <v>0.11803427388042118</v>
      </c>
      <c r="E74" s="43">
        <f t="shared" si="20"/>
        <v>0.12039609343561261</v>
      </c>
      <c r="F74" s="43">
        <f t="shared" si="20"/>
        <v>0.10864069108858097</v>
      </c>
      <c r="G74" s="43">
        <f t="shared" si="20"/>
        <v>9.8538837267359583E-2</v>
      </c>
      <c r="H74" s="43">
        <f>SUM(C11:G11)/SUM(C$36:G$36)</f>
        <v>0.11325645959853525</v>
      </c>
      <c r="I74" s="2"/>
      <c r="J74" s="2"/>
    </row>
    <row r="75" spans="1:17" ht="15">
      <c r="A75" s="55" t="str">
        <f t="shared" ref="A75:A77" si="21">A12</f>
        <v>Transmission Plant</v>
      </c>
      <c r="B75" s="43"/>
      <c r="C75" s="43">
        <f t="shared" ref="C75" si="22">C12/C$36</f>
        <v>0.25215978718479132</v>
      </c>
      <c r="D75" s="43">
        <f t="shared" ref="D75:G77" si="23">D12/D$36</f>
        <v>0.23985847357743573</v>
      </c>
      <c r="E75" s="43">
        <f t="shared" si="23"/>
        <v>0.21336124487118679</v>
      </c>
      <c r="F75" s="43">
        <f t="shared" si="23"/>
        <v>0.19252878090037123</v>
      </c>
      <c r="G75" s="43">
        <f t="shared" si="23"/>
        <v>0.18387045121786053</v>
      </c>
      <c r="H75" s="43">
        <f t="shared" ref="H75:H77" si="24">SUM(C12:G12)/SUM(C$36:G$36)</f>
        <v>0.2124438901141629</v>
      </c>
      <c r="I75" s="2"/>
      <c r="J75" s="2"/>
    </row>
    <row r="76" spans="1:17" ht="15">
      <c r="A76" s="55" t="str">
        <f t="shared" si="21"/>
        <v>Distribution Plant</v>
      </c>
      <c r="B76" s="43"/>
      <c r="C76" s="43">
        <f t="shared" ref="C76" si="25">C13/C$36</f>
        <v>0.70448482956656167</v>
      </c>
      <c r="D76" s="43">
        <f t="shared" si="23"/>
        <v>0.70463807519641619</v>
      </c>
      <c r="E76" s="43">
        <f t="shared" si="23"/>
        <v>0.67436154695930739</v>
      </c>
      <c r="F76" s="43">
        <f t="shared" si="23"/>
        <v>0.7074883616464529</v>
      </c>
      <c r="G76" s="43">
        <f t="shared" si="23"/>
        <v>0.68117811834009001</v>
      </c>
      <c r="H76" s="43">
        <f t="shared" si="24"/>
        <v>0.69348026799251139</v>
      </c>
      <c r="I76" s="2"/>
      <c r="J76" s="2"/>
    </row>
    <row r="77" spans="1:17" ht="15">
      <c r="A77" s="55" t="str">
        <f t="shared" si="21"/>
        <v>General Plant</v>
      </c>
      <c r="B77" s="43"/>
      <c r="C77" s="43">
        <f t="shared" ref="C77" si="26">C14/C$36</f>
        <v>0.1742459022935117</v>
      </c>
      <c r="D77" s="43">
        <f t="shared" si="23"/>
        <v>0.19365387350790078</v>
      </c>
      <c r="E77" s="43">
        <f t="shared" si="23"/>
        <v>0.18425581685371797</v>
      </c>
      <c r="F77" s="43">
        <f t="shared" si="23"/>
        <v>0.18150879537615194</v>
      </c>
      <c r="G77" s="43">
        <f t="shared" si="23"/>
        <v>0.17230846638809877</v>
      </c>
      <c r="H77" s="43">
        <f t="shared" si="24"/>
        <v>0.18075479108754403</v>
      </c>
      <c r="I77" s="2"/>
      <c r="J77" s="2"/>
    </row>
    <row r="78" spans="1:17" ht="15">
      <c r="A78" s="55" t="str">
        <f>A15</f>
        <v xml:space="preserve">  Construction Work in Progress</v>
      </c>
      <c r="B78" s="43" t="e">
        <f t="shared" ref="B78:G79" si="27">B15/B$36</f>
        <v>#DIV/0!</v>
      </c>
      <c r="C78" s="43">
        <f t="shared" si="27"/>
        <v>5.3313028035683538E-2</v>
      </c>
      <c r="D78" s="43">
        <f t="shared" si="27"/>
        <v>3.8544945972789624E-2</v>
      </c>
      <c r="E78" s="43">
        <f t="shared" si="27"/>
        <v>7.6421812250280996E-2</v>
      </c>
      <c r="F78" s="43">
        <f t="shared" si="27"/>
        <v>6.919377319420153E-2</v>
      </c>
      <c r="G78" s="43">
        <f t="shared" si="27"/>
        <v>0.12940611860501094</v>
      </c>
      <c r="H78" s="45">
        <f>SUM(C15:G15)/SUM(C$36:G$36)</f>
        <v>7.7447809296199766E-2</v>
      </c>
      <c r="I78" s="2"/>
      <c r="J78" s="2"/>
    </row>
    <row r="79" spans="1:17" s="8" customFormat="1" ht="15">
      <c r="A79" s="55" t="str">
        <f>A16</f>
        <v>Total Plant &amp; Equipment:</v>
      </c>
      <c r="B79" s="101" t="e">
        <f t="shared" si="27"/>
        <v>#DIV/0!</v>
      </c>
      <c r="C79" s="101">
        <f t="shared" si="27"/>
        <v>1.3121171391593394</v>
      </c>
      <c r="D79" s="101">
        <f t="shared" si="27"/>
        <v>1.2947296421349634</v>
      </c>
      <c r="E79" s="101">
        <f t="shared" si="27"/>
        <v>1.2687965143701057</v>
      </c>
      <c r="F79" s="101">
        <f t="shared" si="27"/>
        <v>1.2593604022057585</v>
      </c>
      <c r="G79" s="101">
        <f t="shared" si="27"/>
        <v>1.2653019918184198</v>
      </c>
      <c r="H79" s="43">
        <f>SUM(C16:G16)/SUM(C$36:G$36)</f>
        <v>1.2773832180889533</v>
      </c>
      <c r="I79" s="7"/>
      <c r="J79" s="7"/>
    </row>
    <row r="80" spans="1:17" s="8" customFormat="1" ht="15" customHeight="1">
      <c r="A80" s="83"/>
      <c r="B80" s="100"/>
      <c r="C80" s="100"/>
      <c r="D80" s="100"/>
      <c r="E80" s="100"/>
      <c r="F80" s="100"/>
      <c r="G80" s="100"/>
      <c r="H80" s="43"/>
      <c r="I80" s="7"/>
      <c r="J80" s="7"/>
      <c r="Q80" s="10" t="s">
        <v>59</v>
      </c>
    </row>
    <row r="81" spans="1:17" s="8" customFormat="1" ht="15">
      <c r="A81" s="55" t="str">
        <f>A18</f>
        <v>Accum Depreciation &amp; Amort.</v>
      </c>
      <c r="B81" s="43" t="e">
        <f t="shared" ref="B81:G81" si="28">B18/B$36</f>
        <v>#DIV/0!</v>
      </c>
      <c r="C81" s="43">
        <f t="shared" si="28"/>
        <v>0.52192779661689448</v>
      </c>
      <c r="D81" s="43">
        <f t="shared" si="28"/>
        <v>0.50428435548943662</v>
      </c>
      <c r="E81" s="43">
        <f t="shared" si="28"/>
        <v>0.47139317207185383</v>
      </c>
      <c r="F81" s="43">
        <f t="shared" si="28"/>
        <v>0.455673887208423</v>
      </c>
      <c r="G81" s="43">
        <f t="shared" si="28"/>
        <v>0.4411612033758896</v>
      </c>
      <c r="H81" s="43">
        <f>SUM(C18:G18)/SUM(C$36:G$36)</f>
        <v>0.47443180501331783</v>
      </c>
      <c r="I81" s="7"/>
      <c r="J81" s="7"/>
      <c r="K81" s="9">
        <f>C81/C74</f>
        <v>4.0803153764566451</v>
      </c>
      <c r="L81" s="9">
        <f>D81/D74</f>
        <v>4.272355299108459</v>
      </c>
      <c r="M81" s="9">
        <f>E81/E74</f>
        <v>3.9153527213401915</v>
      </c>
      <c r="N81" s="9">
        <f>F81/F74</f>
        <v>4.1943205869050111</v>
      </c>
      <c r="O81" s="9">
        <f>G81/G74</f>
        <v>4.4770287087812193</v>
      </c>
      <c r="Q81" s="9">
        <f>AVERAGE(K81:O81)</f>
        <v>4.1878745385183054</v>
      </c>
    </row>
    <row r="82" spans="1:17" s="8" customFormat="1" ht="15">
      <c r="A82" s="55"/>
      <c r="B82" s="100"/>
      <c r="C82" s="100"/>
      <c r="D82" s="100"/>
      <c r="E82" s="100"/>
      <c r="F82" s="100"/>
      <c r="G82" s="100"/>
      <c r="H82" s="43"/>
      <c r="I82" s="7"/>
      <c r="J82" s="7"/>
    </row>
    <row r="83" spans="1:17" ht="15">
      <c r="A83" s="55" t="str">
        <f>A20</f>
        <v>Net Plant &amp; Equipment</v>
      </c>
      <c r="B83" s="43" t="e">
        <f t="shared" ref="B83:G83" si="29">B20/B$36</f>
        <v>#DIV/0!</v>
      </c>
      <c r="C83" s="43">
        <f t="shared" si="29"/>
        <v>0.79018934254244499</v>
      </c>
      <c r="D83" s="43">
        <f t="shared" si="29"/>
        <v>0.79044528664552693</v>
      </c>
      <c r="E83" s="43">
        <f t="shared" si="29"/>
        <v>0.79740334229825194</v>
      </c>
      <c r="F83" s="43">
        <f t="shared" si="29"/>
        <v>0.80368651499733557</v>
      </c>
      <c r="G83" s="43">
        <f t="shared" si="29"/>
        <v>0.82414078844253025</v>
      </c>
      <c r="H83" s="43">
        <f>SUM(C20:G20)/SUM(C$36:G$36)</f>
        <v>0.80295141307563556</v>
      </c>
      <c r="I83" s="2"/>
      <c r="J83" s="2"/>
    </row>
    <row r="84" spans="1:17" ht="15">
      <c r="A84" s="55"/>
      <c r="B84" s="43"/>
      <c r="C84" s="43"/>
      <c r="D84" s="43"/>
      <c r="E84" s="43"/>
      <c r="F84" s="43"/>
      <c r="G84" s="43"/>
      <c r="H84" s="43"/>
      <c r="I84" s="2"/>
      <c r="J84" s="2"/>
    </row>
    <row r="85" spans="1:17" ht="15">
      <c r="A85" s="55" t="str">
        <f>A23</f>
        <v>Non-Utility Property - Net</v>
      </c>
      <c r="B85" s="43" t="e">
        <f t="shared" ref="B85:G89" si="30">B23/B$36</f>
        <v>#DIV/0!</v>
      </c>
      <c r="C85" s="43">
        <f t="shared" si="30"/>
        <v>3.2631114509249222E-2</v>
      </c>
      <c r="D85" s="43">
        <f t="shared" si="30"/>
        <v>3.3107214484117811E-2</v>
      </c>
      <c r="E85" s="43">
        <f t="shared" si="30"/>
        <v>3.1182974428435796E-2</v>
      </c>
      <c r="F85" s="43">
        <f t="shared" si="30"/>
        <v>2.8376681244146093E-2</v>
      </c>
      <c r="G85" s="43">
        <f t="shared" si="30"/>
        <v>2.7822620694719052E-2</v>
      </c>
      <c r="H85" s="43">
        <f>SUM(C23:G23)/SUM(C$36:G$36)</f>
        <v>3.0312209947448668E-2</v>
      </c>
      <c r="I85" s="2"/>
      <c r="J85" s="2"/>
    </row>
    <row r="86" spans="1:17" ht="15">
      <c r="A86" s="55" t="str">
        <f>A24</f>
        <v>Investment in Associated Co.</v>
      </c>
      <c r="B86" s="43" t="e">
        <f t="shared" si="30"/>
        <v>#DIV/0!</v>
      </c>
      <c r="C86" s="43">
        <f t="shared" si="30"/>
        <v>2.2350490737841618E-2</v>
      </c>
      <c r="D86" s="43">
        <f t="shared" si="30"/>
        <v>2.1811982170244545E-2</v>
      </c>
      <c r="E86" s="43">
        <f t="shared" si="30"/>
        <v>2.0321871540875558E-2</v>
      </c>
      <c r="F86" s="43">
        <f t="shared" si="30"/>
        <v>2.0230697867830098E-2</v>
      </c>
      <c r="G86" s="43">
        <f t="shared" si="30"/>
        <v>2.1583365060859627E-2</v>
      </c>
      <c r="H86" s="43">
        <f>SUM(C24:G24)/SUM(C$36:G$36)</f>
        <v>2.1198219691577754E-2</v>
      </c>
      <c r="I86" s="2"/>
      <c r="J86" s="2"/>
    </row>
    <row r="87" spans="1:17" ht="15">
      <c r="A87" s="55" t="str">
        <f>A25</f>
        <v xml:space="preserve">Other Investments </v>
      </c>
      <c r="B87" s="43" t="e">
        <f t="shared" si="30"/>
        <v>#DIV/0!</v>
      </c>
      <c r="C87" s="43">
        <f t="shared" si="30"/>
        <v>3.5346326127104499E-4</v>
      </c>
      <c r="D87" s="43">
        <f t="shared" si="30"/>
        <v>7.5646870705577563E-4</v>
      </c>
      <c r="E87" s="43">
        <f t="shared" si="30"/>
        <v>1.1232912150844583E-3</v>
      </c>
      <c r="F87" s="43">
        <f t="shared" si="30"/>
        <v>3.23940294483563E-3</v>
      </c>
      <c r="G87" s="43">
        <f t="shared" si="30"/>
        <v>3.6894890471702107E-3</v>
      </c>
      <c r="H87" s="45">
        <f>SUM(C25:G25)/SUM(C$36:G$36)</f>
        <v>2.0292854626806369E-3</v>
      </c>
      <c r="I87" s="2"/>
      <c r="J87" s="2"/>
    </row>
    <row r="88" spans="1:17" ht="15">
      <c r="A88" s="55" t="s">
        <v>57</v>
      </c>
      <c r="B88" s="101" t="e">
        <f t="shared" si="30"/>
        <v>#DIV/0!</v>
      </c>
      <c r="C88" s="101">
        <f t="shared" si="30"/>
        <v>5.5335068508361882E-2</v>
      </c>
      <c r="D88" s="101">
        <f t="shared" si="30"/>
        <v>5.5675665361418131E-2</v>
      </c>
      <c r="E88" s="101">
        <f t="shared" si="30"/>
        <v>5.262813718439581E-2</v>
      </c>
      <c r="F88" s="101">
        <f t="shared" si="30"/>
        <v>5.184678205681182E-2</v>
      </c>
      <c r="G88" s="101">
        <f t="shared" si="30"/>
        <v>5.3095474802748885E-2</v>
      </c>
      <c r="H88" s="75">
        <f>SUM(C26:G26)/SUM(C$36:G$36)</f>
        <v>5.3539715101707061E-2</v>
      </c>
      <c r="I88" s="2"/>
      <c r="J88" s="2"/>
    </row>
    <row r="89" spans="1:17" ht="15">
      <c r="A89" s="55" t="s">
        <v>40</v>
      </c>
      <c r="B89" s="101" t="e">
        <f t="shared" si="30"/>
        <v>#DIV/0!</v>
      </c>
      <c r="C89" s="101">
        <f t="shared" si="30"/>
        <v>0.84552441105080689</v>
      </c>
      <c r="D89" s="101">
        <f t="shared" si="30"/>
        <v>0.84612095200694504</v>
      </c>
      <c r="E89" s="101">
        <f t="shared" si="30"/>
        <v>0.85003147948264779</v>
      </c>
      <c r="F89" s="101">
        <f t="shared" si="30"/>
        <v>0.85553329705414738</v>
      </c>
      <c r="G89" s="101">
        <f t="shared" si="30"/>
        <v>0.87723626324527915</v>
      </c>
      <c r="H89" s="100">
        <f>SUM(C27:G27)/SUM(C$36:G$36)</f>
        <v>0.85649112817734263</v>
      </c>
      <c r="I89" s="2"/>
      <c r="J89" s="2"/>
    </row>
    <row r="90" spans="1:17" ht="15.75">
      <c r="A90" s="83"/>
      <c r="B90" s="58"/>
      <c r="C90" s="58"/>
      <c r="D90" s="58"/>
      <c r="E90" s="58"/>
      <c r="F90" s="58"/>
      <c r="G90" s="184"/>
      <c r="H90" s="89"/>
      <c r="I90" s="2"/>
      <c r="J90" s="2"/>
    </row>
    <row r="91" spans="1:17" ht="15.75">
      <c r="A91" s="178" t="s">
        <v>6</v>
      </c>
      <c r="B91" s="55"/>
      <c r="C91" s="55"/>
      <c r="D91" s="55"/>
      <c r="E91" s="55"/>
      <c r="F91" s="55"/>
      <c r="G91" s="55"/>
      <c r="H91" s="43"/>
      <c r="I91" s="2"/>
      <c r="J91" s="2"/>
      <c r="L91" s="20">
        <f>+M91-1</f>
        <v>2006</v>
      </c>
      <c r="M91" s="20">
        <f>+N91-1</f>
        <v>2007</v>
      </c>
      <c r="N91" s="20">
        <f>+O91-1</f>
        <v>2008</v>
      </c>
      <c r="O91" s="20">
        <v>2009</v>
      </c>
    </row>
    <row r="92" spans="1:17" ht="15">
      <c r="A92" s="55" t="str">
        <f>A30</f>
        <v>Cash &amp; Equivalents</v>
      </c>
      <c r="B92" s="43" t="e">
        <f t="shared" ref="B92:G96" si="31">B30/B$36</f>
        <v>#DIV/0!</v>
      </c>
      <c r="C92" s="43">
        <f t="shared" si="31"/>
        <v>6.4685683498572635E-2</v>
      </c>
      <c r="D92" s="43">
        <f t="shared" si="31"/>
        <v>4.5871147255925268E-2</v>
      </c>
      <c r="E92" s="43">
        <f t="shared" si="31"/>
        <v>4.8138710673758162E-2</v>
      </c>
      <c r="F92" s="43">
        <f t="shared" si="31"/>
        <v>4.6724673482341217E-2</v>
      </c>
      <c r="G92" s="43">
        <f t="shared" si="31"/>
        <v>1.9571967806333773E-2</v>
      </c>
      <c r="H92" s="43">
        <f>SUM(C30:G30)/SUM(C$36:G$36)</f>
        <v>4.310854195539273E-2</v>
      </c>
      <c r="I92" s="2"/>
      <c r="J92" s="2"/>
    </row>
    <row r="93" spans="1:17" ht="15">
      <c r="A93" s="55" t="str">
        <f>A31</f>
        <v>Accounts Receivable, net</v>
      </c>
      <c r="B93" s="43" t="e">
        <f t="shared" si="31"/>
        <v>#DIV/0!</v>
      </c>
      <c r="C93" s="43">
        <f t="shared" si="31"/>
        <v>4.2370557245772142E-2</v>
      </c>
      <c r="D93" s="43">
        <f t="shared" si="31"/>
        <v>4.7605311341980636E-2</v>
      </c>
      <c r="E93" s="43">
        <f t="shared" si="31"/>
        <v>4.2394819229245845E-2</v>
      </c>
      <c r="F93" s="43">
        <f t="shared" si="31"/>
        <v>3.7614480008194388E-2</v>
      </c>
      <c r="G93" s="43">
        <f t="shared" si="31"/>
        <v>5.1305388545018808E-2</v>
      </c>
      <c r="H93" s="43">
        <f>SUM(C31:G31)/SUM(C$36:G$36)</f>
        <v>4.4429195837858773E-2</v>
      </c>
      <c r="I93" s="2"/>
      <c r="J93" s="2"/>
      <c r="K93" s="19" t="s">
        <v>75</v>
      </c>
      <c r="L93">
        <f>+D39-C39</f>
        <v>1496295</v>
      </c>
      <c r="M93">
        <f>+E39-D39</f>
        <v>981059</v>
      </c>
      <c r="N93">
        <f>+F39-E39</f>
        <v>174559</v>
      </c>
      <c r="O93">
        <f>+G39-F39</f>
        <v>3921751</v>
      </c>
    </row>
    <row r="94" spans="1:17" ht="15">
      <c r="A94" s="55" t="str">
        <f>A32</f>
        <v>Materials &amp; Supplies (Avg Cost)</v>
      </c>
      <c r="B94" s="43" t="e">
        <f t="shared" si="31"/>
        <v>#DIV/0!</v>
      </c>
      <c r="C94" s="43">
        <f t="shared" si="31"/>
        <v>4.381714173336549E-2</v>
      </c>
      <c r="D94" s="43">
        <f t="shared" si="31"/>
        <v>5.7409682828774053E-2</v>
      </c>
      <c r="E94" s="43">
        <f t="shared" si="31"/>
        <v>5.8026222073883194E-2</v>
      </c>
      <c r="F94" s="43">
        <f t="shared" si="31"/>
        <v>5.8749980640687233E-2</v>
      </c>
      <c r="G94" s="43">
        <f t="shared" si="31"/>
        <v>5.0161327533258776E-2</v>
      </c>
      <c r="H94" s="43">
        <f>SUM(C32:G32)/SUM(C$36:G$36)</f>
        <v>5.3861107726975256E-2</v>
      </c>
      <c r="I94" s="3">
        <f>+G94</f>
        <v>5.0161327533258776E-2</v>
      </c>
      <c r="J94" s="3"/>
      <c r="K94" s="19" t="s">
        <v>76</v>
      </c>
      <c r="L94">
        <f>+D164+D167</f>
        <v>1496295</v>
      </c>
      <c r="M94">
        <f>+E164+E167</f>
        <v>981059</v>
      </c>
      <c r="N94">
        <f>+F164+F167</f>
        <v>174559</v>
      </c>
      <c r="O94">
        <f>+G164+G167</f>
        <v>3921751</v>
      </c>
    </row>
    <row r="95" spans="1:17" ht="15">
      <c r="A95" s="55" t="str">
        <f>A33</f>
        <v>Other Current Assets</v>
      </c>
      <c r="B95" s="99" t="e">
        <f t="shared" si="31"/>
        <v>#DIV/0!</v>
      </c>
      <c r="C95" s="99">
        <f t="shared" si="31"/>
        <v>3.6022064714828555E-3</v>
      </c>
      <c r="D95" s="99">
        <f t="shared" si="31"/>
        <v>2.9929065663750077E-3</v>
      </c>
      <c r="E95" s="99">
        <f t="shared" si="31"/>
        <v>1.408768540465039E-3</v>
      </c>
      <c r="F95" s="99">
        <f t="shared" si="31"/>
        <v>1.3775688146297777E-3</v>
      </c>
      <c r="G95" s="99">
        <f t="shared" si="31"/>
        <v>1.7250528701095046E-3</v>
      </c>
      <c r="H95" s="45">
        <f>SUM(C33:G33)/SUM(C$36:G$36)</f>
        <v>2.1100263024306253E-3</v>
      </c>
      <c r="I95" s="2"/>
      <c r="J95" s="2"/>
      <c r="L95">
        <f>+L93-L94</f>
        <v>0</v>
      </c>
      <c r="M95">
        <f>+M93-M94</f>
        <v>0</v>
      </c>
      <c r="N95">
        <f>+N93-N94</f>
        <v>0</v>
      </c>
      <c r="O95">
        <f>+O93-O94</f>
        <v>0</v>
      </c>
    </row>
    <row r="96" spans="1:17" ht="15">
      <c r="A96" s="55" t="str">
        <f>A34</f>
        <v>Total Current Assets</v>
      </c>
      <c r="B96" s="43" t="e">
        <f t="shared" si="31"/>
        <v>#DIV/0!</v>
      </c>
      <c r="C96" s="43">
        <f t="shared" si="31"/>
        <v>0.15447558894919314</v>
      </c>
      <c r="D96" s="43">
        <f t="shared" si="31"/>
        <v>0.15387904799305496</v>
      </c>
      <c r="E96" s="43">
        <f t="shared" si="31"/>
        <v>0.14996852051735224</v>
      </c>
      <c r="F96" s="43">
        <f t="shared" si="31"/>
        <v>0.14446670294585262</v>
      </c>
      <c r="G96" s="43">
        <f t="shared" si="31"/>
        <v>0.12276373675472085</v>
      </c>
      <c r="H96" s="43">
        <f>SUM(C34:G34)/SUM(C$36:G$36)</f>
        <v>0.14350887182265737</v>
      </c>
      <c r="I96" s="2"/>
      <c r="J96" s="2"/>
    </row>
    <row r="97" spans="1:10" ht="15">
      <c r="A97" s="55"/>
      <c r="B97" s="43"/>
      <c r="C97" s="43"/>
      <c r="D97" s="43"/>
      <c r="E97" s="43"/>
      <c r="F97" s="43"/>
      <c r="G97" s="43"/>
      <c r="H97" s="45"/>
      <c r="I97" s="2"/>
      <c r="J97" s="2"/>
    </row>
    <row r="98" spans="1:10" ht="15.75" thickBot="1">
      <c r="A98" s="55" t="s">
        <v>35</v>
      </c>
      <c r="B98" s="77" t="e">
        <f t="shared" ref="B98:G98" si="32">B36/B$36</f>
        <v>#DIV/0!</v>
      </c>
      <c r="C98" s="77">
        <f t="shared" si="32"/>
        <v>1</v>
      </c>
      <c r="D98" s="77">
        <f t="shared" si="32"/>
        <v>1</v>
      </c>
      <c r="E98" s="77">
        <f t="shared" si="32"/>
        <v>1</v>
      </c>
      <c r="F98" s="77">
        <f t="shared" si="32"/>
        <v>1</v>
      </c>
      <c r="G98" s="77">
        <f t="shared" si="32"/>
        <v>1</v>
      </c>
      <c r="H98" s="85">
        <f>SUM(C36:G36)/SUM(C$36:G$36)</f>
        <v>1</v>
      </c>
      <c r="I98" s="2"/>
      <c r="J98" s="2"/>
    </row>
    <row r="99" spans="1:10" ht="15.75" thickTop="1">
      <c r="A99" s="55"/>
      <c r="B99" s="100"/>
      <c r="C99" s="100"/>
      <c r="D99" s="100"/>
      <c r="E99" s="100"/>
      <c r="F99" s="100"/>
      <c r="G99" s="100"/>
      <c r="H99" s="43"/>
      <c r="I99" s="2"/>
      <c r="J99" s="2"/>
    </row>
    <row r="100" spans="1:10" ht="15.75">
      <c r="A100" s="178" t="str">
        <f>A38</f>
        <v>Common Equity:</v>
      </c>
      <c r="B100" s="55"/>
      <c r="C100" s="55"/>
      <c r="D100" s="55"/>
      <c r="E100" s="55"/>
      <c r="F100" s="55"/>
      <c r="G100" s="55"/>
      <c r="H100" s="43"/>
    </row>
    <row r="101" spans="1:10" ht="15">
      <c r="A101" s="55" t="str">
        <f>A39</f>
        <v>Patrons Capital</v>
      </c>
      <c r="B101" s="43" t="e">
        <f t="shared" ref="B101:G103" si="33">B39/B$36</f>
        <v>#DIV/0!</v>
      </c>
      <c r="C101" s="43">
        <f t="shared" si="33"/>
        <v>0.4336180696447921</v>
      </c>
      <c r="D101" s="43">
        <f t="shared" si="33"/>
        <v>0.43146856619709656</v>
      </c>
      <c r="E101" s="43">
        <f t="shared" si="33"/>
        <v>0.39741813732361714</v>
      </c>
      <c r="F101" s="43">
        <f t="shared" si="33"/>
        <v>0.36151519175955982</v>
      </c>
      <c r="G101" s="43">
        <f t="shared" si="33"/>
        <v>0.38414017745482598</v>
      </c>
      <c r="H101" s="43">
        <f>SUM(C39:G39)/SUM(C$36:G$36)</f>
        <v>0.39804928637319359</v>
      </c>
      <c r="I101" s="2"/>
      <c r="J101" s="2"/>
    </row>
    <row r="102" spans="1:10" ht="15">
      <c r="A102" s="55" t="str">
        <f>A40</f>
        <v>Retained Earnings</v>
      </c>
      <c r="B102" s="99" t="e">
        <f t="shared" si="33"/>
        <v>#DIV/0!</v>
      </c>
      <c r="C102" s="99">
        <f t="shared" si="33"/>
        <v>0</v>
      </c>
      <c r="D102" s="99">
        <f t="shared" si="33"/>
        <v>0</v>
      </c>
      <c r="E102" s="99">
        <f t="shared" si="33"/>
        <v>0</v>
      </c>
      <c r="F102" s="99">
        <f t="shared" si="33"/>
        <v>0</v>
      </c>
      <c r="G102" s="99">
        <f t="shared" si="33"/>
        <v>0</v>
      </c>
      <c r="H102" s="45">
        <f>SUM(C40:G40)/SUM(C$36:G$36)</f>
        <v>0</v>
      </c>
      <c r="I102" s="2"/>
      <c r="J102" s="2"/>
    </row>
    <row r="103" spans="1:10" ht="15">
      <c r="A103" s="55" t="str">
        <f>A41</f>
        <v>Total Patronage Equity</v>
      </c>
      <c r="B103" s="99" t="e">
        <f t="shared" si="33"/>
        <v>#DIV/0!</v>
      </c>
      <c r="C103" s="99">
        <f t="shared" si="33"/>
        <v>0.4336180696447921</v>
      </c>
      <c r="D103" s="99">
        <f t="shared" si="33"/>
        <v>0.43146856619709656</v>
      </c>
      <c r="E103" s="99">
        <f t="shared" si="33"/>
        <v>0.39741813732361714</v>
      </c>
      <c r="F103" s="99">
        <f t="shared" si="33"/>
        <v>0.36151519175955982</v>
      </c>
      <c r="G103" s="99">
        <f t="shared" si="33"/>
        <v>0.38414017745482598</v>
      </c>
      <c r="H103" s="75">
        <f>SUM(C41:G41)/SUM(C$36:G$36)</f>
        <v>0.39804928637319359</v>
      </c>
      <c r="I103" s="2"/>
      <c r="J103" s="2"/>
    </row>
    <row r="104" spans="1:10" ht="15">
      <c r="A104" s="55"/>
      <c r="B104" s="100"/>
      <c r="C104" s="100"/>
      <c r="D104" s="100"/>
      <c r="E104" s="100"/>
      <c r="F104" s="100"/>
      <c r="G104" s="100"/>
      <c r="H104" s="43"/>
      <c r="I104" s="2"/>
      <c r="J104" s="2"/>
    </row>
    <row r="105" spans="1:10" s="181" customFormat="1" ht="15.75">
      <c r="A105" s="178" t="s">
        <v>127</v>
      </c>
      <c r="B105" s="179"/>
      <c r="C105" s="179"/>
      <c r="D105" s="179"/>
      <c r="E105" s="179"/>
      <c r="F105" s="179"/>
      <c r="G105" s="179"/>
      <c r="H105" s="179"/>
      <c r="I105" s="180"/>
      <c r="J105" s="180"/>
    </row>
    <row r="106" spans="1:10" ht="15">
      <c r="A106" s="55" t="str">
        <f>A44</f>
        <v>Long-Term Debt</v>
      </c>
      <c r="B106" s="43" t="e">
        <f t="shared" ref="B106:G108" si="34">B44/B$36</f>
        <v>#DIV/0!</v>
      </c>
      <c r="C106" s="43">
        <f t="shared" si="34"/>
        <v>0.45690869275839308</v>
      </c>
      <c r="D106" s="43">
        <f t="shared" si="34"/>
        <v>0.44908287594757307</v>
      </c>
      <c r="E106" s="43">
        <f t="shared" si="34"/>
        <v>0.47804174414381073</v>
      </c>
      <c r="F106" s="43">
        <f t="shared" si="34"/>
        <v>0.51138227886064747</v>
      </c>
      <c r="G106" s="43">
        <f t="shared" si="34"/>
        <v>0.48596822005203899</v>
      </c>
      <c r="H106" s="43">
        <f>SUM(C44:G44)/SUM(C$36:G$36)</f>
        <v>0.47885668642273799</v>
      </c>
      <c r="I106" s="2"/>
      <c r="J106" s="2"/>
    </row>
    <row r="107" spans="1:10" ht="15">
      <c r="A107" s="55" t="str">
        <f>A45</f>
        <v>Deferred Income Taxes</v>
      </c>
      <c r="B107" s="43" t="e">
        <f t="shared" si="34"/>
        <v>#DIV/0!</v>
      </c>
      <c r="C107" s="43">
        <f t="shared" si="34"/>
        <v>3.0959813460739905E-3</v>
      </c>
      <c r="D107" s="43">
        <f t="shared" si="34"/>
        <v>2.9463656020634029E-3</v>
      </c>
      <c r="E107" s="43">
        <f t="shared" si="34"/>
        <v>3.210947744206129E-3</v>
      </c>
      <c r="F107" s="43">
        <f t="shared" si="34"/>
        <v>3.496989817965296E-3</v>
      </c>
      <c r="G107" s="43">
        <f t="shared" si="34"/>
        <v>3.619892700445819E-3</v>
      </c>
      <c r="H107" s="43">
        <f>SUM(C45:G45)/SUM(C$36:G$36)</f>
        <v>3.3092613690165178E-3</v>
      </c>
      <c r="I107" s="2"/>
      <c r="J107" s="2"/>
    </row>
    <row r="108" spans="1:10" ht="15">
      <c r="A108" s="55" t="str">
        <f>A46</f>
        <v>Accum Operating Provisions</v>
      </c>
      <c r="B108" s="43" t="e">
        <f t="shared" si="34"/>
        <v>#DIV/0!</v>
      </c>
      <c r="C108" s="43">
        <f t="shared" si="34"/>
        <v>9.457775281532398E-3</v>
      </c>
      <c r="D108" s="43">
        <f t="shared" si="34"/>
        <v>9.5324147448393719E-3</v>
      </c>
      <c r="E108" s="43">
        <f t="shared" si="34"/>
        <v>8.487416567585053E-3</v>
      </c>
      <c r="F108" s="43">
        <f t="shared" si="34"/>
        <v>7.9507285050642307E-3</v>
      </c>
      <c r="G108" s="43">
        <f t="shared" si="34"/>
        <v>1.6137181640286255E-2</v>
      </c>
      <c r="H108" s="43">
        <f>SUM(C46:G46)/SUM(C$36:G$36)</f>
        <v>1.0580535644807031E-2</v>
      </c>
      <c r="I108" s="2"/>
      <c r="J108" s="2"/>
    </row>
    <row r="109" spans="1:10" ht="15">
      <c r="A109" s="55" t="str">
        <f t="shared" ref="A109:A110" si="35">A47</f>
        <v>Unamortized Impact Fees</v>
      </c>
      <c r="B109" s="43"/>
      <c r="C109" s="43">
        <f t="shared" ref="C109:G110" si="36">C47/C$36</f>
        <v>0</v>
      </c>
      <c r="D109" s="43">
        <f t="shared" si="36"/>
        <v>7.2064975877977385E-3</v>
      </c>
      <c r="E109" s="43">
        <f t="shared" si="36"/>
        <v>1.6575474260302137E-2</v>
      </c>
      <c r="F109" s="43">
        <f t="shared" si="36"/>
        <v>2.1093508372096826E-2</v>
      </c>
      <c r="G109" s="43">
        <f t="shared" si="36"/>
        <v>2.1190262393935698E-2</v>
      </c>
      <c r="H109" s="43">
        <f t="shared" ref="H109:H110" si="37">SUM(C47:G47)/SUM(C$36:G$36)</f>
        <v>1.4388920540739843E-2</v>
      </c>
      <c r="I109" s="2"/>
      <c r="J109" s="2"/>
    </row>
    <row r="110" spans="1:10" ht="15">
      <c r="A110" s="55" t="str">
        <f t="shared" si="35"/>
        <v>Unamortized Gain on Reaquired Debt (Deseret Restructure)</v>
      </c>
      <c r="B110" s="43"/>
      <c r="C110" s="43">
        <f t="shared" si="36"/>
        <v>2.0504523635165809E-2</v>
      </c>
      <c r="D110" s="43">
        <f t="shared" si="36"/>
        <v>1.7769935027180071E-2</v>
      </c>
      <c r="E110" s="43">
        <f t="shared" si="36"/>
        <v>1.4611606828149132E-2</v>
      </c>
      <c r="F110" s="43">
        <f t="shared" si="36"/>
        <v>1.2271843436634627E-2</v>
      </c>
      <c r="G110" s="43">
        <f t="shared" si="36"/>
        <v>1.0226174811990002E-2</v>
      </c>
      <c r="H110" s="43">
        <f t="shared" si="37"/>
        <v>1.4525446226963204E-2</v>
      </c>
      <c r="I110" s="2"/>
      <c r="J110" s="2"/>
    </row>
    <row r="111" spans="1:10" ht="15">
      <c r="A111" s="55" t="str">
        <f>A49</f>
        <v>Other Deferred Credits</v>
      </c>
      <c r="B111" s="99" t="e">
        <f t="shared" ref="B111:G112" si="38">B49/B$36</f>
        <v>#DIV/0!</v>
      </c>
      <c r="C111" s="45">
        <f t="shared" si="38"/>
        <v>3.5732203049889484E-4</v>
      </c>
      <c r="D111" s="45">
        <f t="shared" si="38"/>
        <v>2.4931462565303182E-4</v>
      </c>
      <c r="E111" s="45">
        <f t="shared" si="38"/>
        <v>1.3115530327444813E-4</v>
      </c>
      <c r="F111" s="45">
        <f t="shared" si="38"/>
        <v>2.0351041338264593E-3</v>
      </c>
      <c r="G111" s="45">
        <f t="shared" si="38"/>
        <v>1.775813920074221E-3</v>
      </c>
      <c r="H111" s="45">
        <f>SUM(C49:G49)/SUM(C$36:G$36)</f>
        <v>1.0103039913120337E-3</v>
      </c>
      <c r="I111" s="3"/>
      <c r="J111" s="3"/>
    </row>
    <row r="112" spans="1:10" ht="15">
      <c r="A112" s="55" t="str">
        <f>A50</f>
        <v>Total LTD &amp; Deferrals</v>
      </c>
      <c r="B112" s="43" t="e">
        <f t="shared" si="38"/>
        <v>#DIV/0!</v>
      </c>
      <c r="C112" s="43">
        <f t="shared" si="38"/>
        <v>0.49032429505166414</v>
      </c>
      <c r="D112" s="43">
        <f t="shared" si="38"/>
        <v>0.48678740353510669</v>
      </c>
      <c r="E112" s="43">
        <f t="shared" si="38"/>
        <v>0.5210583448473276</v>
      </c>
      <c r="F112" s="43">
        <f t="shared" si="38"/>
        <v>0.55823045312623487</v>
      </c>
      <c r="G112" s="43">
        <f t="shared" si="38"/>
        <v>0.53891754551877102</v>
      </c>
      <c r="H112" s="43">
        <f>SUM(C50:G50)/SUM(C$36:G$36)</f>
        <v>0.52267115419557664</v>
      </c>
      <c r="I112" s="2"/>
      <c r="J112" s="2"/>
    </row>
    <row r="113" spans="1:17" ht="15">
      <c r="A113" s="55"/>
      <c r="B113" s="100"/>
      <c r="C113" s="100"/>
      <c r="D113" s="100"/>
      <c r="E113" s="100"/>
      <c r="F113" s="100"/>
      <c r="G113" s="100"/>
      <c r="H113" s="43"/>
      <c r="I113" s="2"/>
      <c r="J113" s="2"/>
    </row>
    <row r="114" spans="1:17" ht="15.75">
      <c r="A114" s="178" t="s">
        <v>7</v>
      </c>
      <c r="B114" s="43"/>
      <c r="C114" s="43"/>
      <c r="D114" s="43"/>
      <c r="E114" s="43"/>
      <c r="F114" s="43"/>
      <c r="G114" s="43"/>
      <c r="H114" s="43"/>
      <c r="I114" s="2"/>
      <c r="J114" s="2"/>
    </row>
    <row r="115" spans="1:17" ht="15">
      <c r="A115" s="55" t="str">
        <f>A53</f>
        <v>Current Portion of LTD</v>
      </c>
      <c r="B115" s="43" t="e">
        <f t="shared" ref="B115:G118" si="39">B53/B$36</f>
        <v>#DIV/0!</v>
      </c>
      <c r="C115" s="43">
        <f t="shared" si="39"/>
        <v>1.3535654505596555E-2</v>
      </c>
      <c r="D115" s="43">
        <f t="shared" si="39"/>
        <v>1.3890069111237449E-2</v>
      </c>
      <c r="E115" s="43">
        <f t="shared" si="39"/>
        <v>1.6339516256812174E-2</v>
      </c>
      <c r="F115" s="43">
        <f t="shared" si="39"/>
        <v>1.8568921047837011E-2</v>
      </c>
      <c r="G115" s="43">
        <f t="shared" si="39"/>
        <v>1.8677403414161593E-2</v>
      </c>
      <c r="H115" s="43">
        <f t="shared" ref="H115:H120" si="40">SUM(C53:G53)/SUM(C$36:G$36)</f>
        <v>1.6522445605619017E-2</v>
      </c>
      <c r="I115" s="2"/>
      <c r="J115" s="2"/>
      <c r="K115" s="1"/>
      <c r="L115" s="1"/>
      <c r="M115" s="1"/>
      <c r="N115" s="1"/>
      <c r="O115" s="1"/>
      <c r="P115" s="1"/>
      <c r="Q115" s="1"/>
    </row>
    <row r="116" spans="1:17" ht="15">
      <c r="A116" s="55" t="str">
        <f>A54</f>
        <v>Acounts Payable</v>
      </c>
      <c r="B116" s="43" t="e">
        <f t="shared" si="39"/>
        <v>#DIV/0!</v>
      </c>
      <c r="C116" s="43">
        <f t="shared" si="39"/>
        <v>2.987320674481991E-2</v>
      </c>
      <c r="D116" s="43">
        <f t="shared" si="39"/>
        <v>3.5760635924677112E-2</v>
      </c>
      <c r="E116" s="43">
        <f t="shared" si="39"/>
        <v>3.3072369514837344E-2</v>
      </c>
      <c r="F116" s="43">
        <f t="shared" si="39"/>
        <v>3.0097533048590246E-2</v>
      </c>
      <c r="G116" s="43">
        <f t="shared" si="39"/>
        <v>2.658745010609927E-2</v>
      </c>
      <c r="H116" s="43">
        <f t="shared" si="40"/>
        <v>3.0783701009391574E-2</v>
      </c>
      <c r="I116" s="2"/>
      <c r="J116" s="2"/>
      <c r="K116" s="1">
        <f>(G116+F116)/2</f>
        <v>2.834249157734476E-2</v>
      </c>
    </row>
    <row r="117" spans="1:17" ht="15">
      <c r="A117" s="55" t="str">
        <f>A55</f>
        <v>Accrued Expenses</v>
      </c>
      <c r="B117" s="43" t="e">
        <f t="shared" si="39"/>
        <v>#DIV/0!</v>
      </c>
      <c r="C117" s="43">
        <f t="shared" si="39"/>
        <v>0</v>
      </c>
      <c r="D117" s="43">
        <f t="shared" si="39"/>
        <v>0</v>
      </c>
      <c r="E117" s="43">
        <f t="shared" si="39"/>
        <v>0</v>
      </c>
      <c r="F117" s="43">
        <f t="shared" si="39"/>
        <v>0</v>
      </c>
      <c r="G117" s="43">
        <f t="shared" si="39"/>
        <v>0</v>
      </c>
      <c r="H117" s="43">
        <f t="shared" si="40"/>
        <v>0</v>
      </c>
      <c r="I117" s="2"/>
      <c r="J117" s="2"/>
    </row>
    <row r="118" spans="1:17" ht="15">
      <c r="A118" s="55" t="str">
        <f>A56</f>
        <v>Customer Deposits</v>
      </c>
      <c r="B118" s="43" t="e">
        <f t="shared" si="39"/>
        <v>#DIV/0!</v>
      </c>
      <c r="C118" s="43">
        <f t="shared" si="39"/>
        <v>7.1085338769749009E-3</v>
      </c>
      <c r="D118" s="43">
        <f t="shared" si="39"/>
        <v>7.5122185216826122E-3</v>
      </c>
      <c r="E118" s="43">
        <f t="shared" si="39"/>
        <v>7.2544425406075013E-3</v>
      </c>
      <c r="F118" s="43">
        <f t="shared" si="39"/>
        <v>6.4039775760332436E-3</v>
      </c>
      <c r="G118" s="43">
        <f t="shared" si="39"/>
        <v>8.4580506000448315E-3</v>
      </c>
      <c r="H118" s="43">
        <f t="shared" si="40"/>
        <v>7.3831478636084379E-3</v>
      </c>
      <c r="I118" s="2"/>
      <c r="J118" s="2"/>
    </row>
    <row r="119" spans="1:17" ht="15">
      <c r="A119" s="55" t="str">
        <f t="shared" ref="A119" si="41">A57</f>
        <v>Other Accrued Liabilities</v>
      </c>
      <c r="B119" s="99" t="e">
        <f t="shared" ref="B119:C120" si="42">B57/B$36</f>
        <v>#DIV/0!</v>
      </c>
      <c r="C119" s="99">
        <f t="shared" si="42"/>
        <v>2.5540240176152362E-2</v>
      </c>
      <c r="D119" s="99">
        <f t="shared" ref="D119:E120" si="43">D57/D$36</f>
        <v>2.4581106710199575E-2</v>
      </c>
      <c r="E119" s="99">
        <f t="shared" si="43"/>
        <v>2.4857189516798227E-2</v>
      </c>
      <c r="F119" s="99">
        <f t="shared" ref="F119:G120" si="44">F57/F$36</f>
        <v>2.5183923441744822E-2</v>
      </c>
      <c r="G119" s="99">
        <f t="shared" si="44"/>
        <v>2.3219372906097338E-2</v>
      </c>
      <c r="H119" s="45">
        <f t="shared" si="40"/>
        <v>2.4590264952610744E-2</v>
      </c>
      <c r="I119" s="2"/>
      <c r="J119" s="2"/>
    </row>
    <row r="120" spans="1:17" ht="15">
      <c r="A120" s="55" t="s">
        <v>37</v>
      </c>
      <c r="B120" s="43" t="e">
        <f t="shared" si="42"/>
        <v>#DIV/0!</v>
      </c>
      <c r="C120" s="43">
        <f t="shared" si="42"/>
        <v>7.605763530354373E-2</v>
      </c>
      <c r="D120" s="43">
        <f t="shared" si="43"/>
        <v>8.1744030267796752E-2</v>
      </c>
      <c r="E120" s="43">
        <f t="shared" si="43"/>
        <v>8.1523517829055245E-2</v>
      </c>
      <c r="F120" s="43">
        <f t="shared" si="44"/>
        <v>8.0254355114205325E-2</v>
      </c>
      <c r="G120" s="43">
        <f t="shared" si="44"/>
        <v>7.6942277026403036E-2</v>
      </c>
      <c r="H120" s="43">
        <f t="shared" si="40"/>
        <v>7.9279559431229774E-2</v>
      </c>
      <c r="I120" s="2"/>
      <c r="J120" s="2"/>
    </row>
    <row r="121" spans="1:17" ht="15">
      <c r="A121" s="55"/>
      <c r="B121" s="43"/>
      <c r="C121" s="43"/>
      <c r="D121" s="43"/>
      <c r="E121" s="43"/>
      <c r="F121" s="43"/>
      <c r="G121" s="43"/>
      <c r="H121" s="43"/>
      <c r="I121" s="2"/>
      <c r="J121" s="2"/>
    </row>
    <row r="122" spans="1:17" ht="15">
      <c r="A122" s="55" t="str">
        <f>A60</f>
        <v>Total Liabilities</v>
      </c>
      <c r="B122" s="43" t="e">
        <f t="shared" ref="B122:G122" si="45">B60/B$36</f>
        <v>#DIV/0!</v>
      </c>
      <c r="C122" s="45">
        <f t="shared" si="45"/>
        <v>0.5663819303552079</v>
      </c>
      <c r="D122" s="45">
        <f t="shared" si="45"/>
        <v>0.5685314338029035</v>
      </c>
      <c r="E122" s="45">
        <f t="shared" si="45"/>
        <v>0.60258186267638292</v>
      </c>
      <c r="F122" s="45">
        <f t="shared" si="45"/>
        <v>0.63848480824044018</v>
      </c>
      <c r="G122" s="45">
        <f t="shared" si="45"/>
        <v>0.61585982254517402</v>
      </c>
      <c r="H122" s="45">
        <f>SUM(C60:G60)/SUM(C$36:G$36)</f>
        <v>0.60195071362680641</v>
      </c>
      <c r="I122" s="2"/>
      <c r="J122" s="2"/>
    </row>
    <row r="124" spans="1:17" ht="15.75" thickBot="1">
      <c r="A124" s="55" t="str">
        <f t="shared" ref="A124" si="46">A62</f>
        <v>Total Liabilities &amp; Equity</v>
      </c>
      <c r="B124" s="102" t="e">
        <f t="shared" ref="B124:C124" si="47">B62/B$36</f>
        <v>#DIV/0!</v>
      </c>
      <c r="C124" s="102">
        <f t="shared" si="47"/>
        <v>1</v>
      </c>
      <c r="D124" s="102">
        <f>D62/D$36</f>
        <v>1</v>
      </c>
      <c r="E124" s="102">
        <f t="shared" ref="E124" si="48">E62/E$36</f>
        <v>1</v>
      </c>
      <c r="F124" s="102">
        <f t="shared" ref="F124:G124" si="49">F62/F$36</f>
        <v>1</v>
      </c>
      <c r="G124" s="102">
        <f t="shared" si="49"/>
        <v>1</v>
      </c>
      <c r="H124" s="85">
        <f t="shared" ref="H124" si="50">SUM(C62:G62)/SUM(C$36:G$36)</f>
        <v>1</v>
      </c>
      <c r="I124" s="2"/>
      <c r="J124" s="2"/>
    </row>
    <row r="125" spans="1:17" ht="13.5" thickTop="1">
      <c r="A125" s="15"/>
      <c r="B125" s="15"/>
      <c r="C125" s="15"/>
      <c r="D125" s="15"/>
      <c r="E125" s="15"/>
      <c r="F125" s="15"/>
      <c r="G125" s="15"/>
      <c r="H125" s="29"/>
      <c r="I125" s="2"/>
      <c r="J125" s="2"/>
    </row>
    <row r="126" spans="1:17">
      <c r="A126" s="15"/>
      <c r="B126" s="15"/>
      <c r="C126" s="15"/>
      <c r="D126" s="15"/>
      <c r="E126" s="15"/>
      <c r="F126" s="15"/>
      <c r="G126" s="15"/>
      <c r="H126" s="29"/>
      <c r="I126" s="2"/>
      <c r="J126" s="2"/>
    </row>
    <row r="127" spans="1:17" ht="15">
      <c r="A127" s="15"/>
      <c r="B127" s="15"/>
      <c r="C127" s="15"/>
      <c r="D127" s="15"/>
      <c r="E127" s="15"/>
      <c r="F127" s="15"/>
      <c r="G127" s="15"/>
      <c r="H127" s="91" t="str">
        <f>H64</f>
        <v>Exhibit 1</v>
      </c>
      <c r="I127" s="2"/>
      <c r="J127" s="2"/>
    </row>
    <row r="128" spans="1:17" ht="15">
      <c r="A128" s="15"/>
      <c r="B128" s="15"/>
      <c r="C128" s="15"/>
      <c r="D128" s="15"/>
      <c r="E128" s="15"/>
      <c r="F128" s="15"/>
      <c r="G128" s="15"/>
      <c r="H128" s="92" t="s">
        <v>130</v>
      </c>
      <c r="I128" s="2"/>
      <c r="J128" s="2"/>
    </row>
    <row r="129" spans="1:15" ht="18">
      <c r="A129" s="31" t="str">
        <f>A3</f>
        <v>Garkane Energy Cooperative, Inc.</v>
      </c>
      <c r="B129" s="22"/>
      <c r="C129" s="22"/>
      <c r="D129" s="22"/>
      <c r="E129" s="22"/>
      <c r="F129" s="22"/>
      <c r="G129" s="22"/>
      <c r="H129" s="23"/>
      <c r="I129" s="2"/>
      <c r="J129" s="2"/>
    </row>
    <row r="130" spans="1:15" ht="15.75">
      <c r="A130" s="32" t="s">
        <v>12</v>
      </c>
      <c r="B130" s="22"/>
      <c r="C130" s="22"/>
      <c r="D130" s="22"/>
      <c r="E130" s="22"/>
      <c r="F130" s="22"/>
      <c r="G130" s="22"/>
      <c r="H130" s="23"/>
      <c r="I130" s="2"/>
      <c r="J130" s="2"/>
    </row>
    <row r="131" spans="1:15" ht="15.75">
      <c r="A131" s="33" t="str">
        <f>A5</f>
        <v>Years Ended December 31</v>
      </c>
      <c r="B131" s="22"/>
      <c r="C131" s="22"/>
      <c r="D131" s="22"/>
      <c r="E131" s="22"/>
      <c r="F131" s="22"/>
      <c r="G131" s="22"/>
      <c r="H131" s="23"/>
      <c r="I131" s="2"/>
      <c r="J131" s="2"/>
    </row>
    <row r="132" spans="1:15" ht="15.75">
      <c r="A132" s="32"/>
      <c r="B132" s="22"/>
      <c r="C132" s="22"/>
      <c r="D132" s="22"/>
      <c r="E132" s="22"/>
      <c r="F132" s="22"/>
      <c r="G132" s="22"/>
      <c r="H132" s="23"/>
      <c r="I132" s="2"/>
      <c r="J132" s="2"/>
    </row>
    <row r="133" spans="1:15" ht="15.75">
      <c r="A133" s="38"/>
      <c r="B133" s="38"/>
      <c r="C133" s="38"/>
      <c r="D133" s="38"/>
      <c r="E133" s="50"/>
      <c r="F133" s="50"/>
      <c r="G133" s="50"/>
      <c r="H133" s="96" t="str">
        <f>+H7</f>
        <v>2005 to 2009</v>
      </c>
      <c r="I133" s="2"/>
      <c r="J133" s="2"/>
    </row>
    <row r="134" spans="1:15">
      <c r="A134" s="38"/>
      <c r="B134" s="38"/>
      <c r="C134" s="38"/>
      <c r="D134" s="50"/>
      <c r="E134" s="50"/>
      <c r="F134" s="50"/>
      <c r="G134" s="50"/>
      <c r="H134" s="51" t="s">
        <v>3</v>
      </c>
      <c r="I134" s="2"/>
      <c r="J134" s="2"/>
    </row>
    <row r="135" spans="1:15" ht="15.75">
      <c r="A135" s="182" t="s">
        <v>0</v>
      </c>
      <c r="B135" s="103">
        <f t="shared" ref="B135" si="51">+B72</f>
        <v>2004</v>
      </c>
      <c r="C135" s="103">
        <f t="shared" ref="C135:E135" si="52">+C72</f>
        <v>2005</v>
      </c>
      <c r="D135" s="103">
        <f t="shared" si="52"/>
        <v>2006</v>
      </c>
      <c r="E135" s="103">
        <f t="shared" si="52"/>
        <v>2007</v>
      </c>
      <c r="F135" s="103">
        <f>+F72</f>
        <v>2008</v>
      </c>
      <c r="G135" s="97">
        <f>G9</f>
        <v>2009</v>
      </c>
      <c r="H135" s="53" t="s">
        <v>22</v>
      </c>
      <c r="I135" s="17"/>
      <c r="J135" s="17"/>
    </row>
    <row r="136" spans="1:15" ht="15.75">
      <c r="A136" s="178" t="s">
        <v>20</v>
      </c>
      <c r="B136" s="55"/>
      <c r="C136" s="55"/>
      <c r="D136" s="73"/>
      <c r="E136" s="73"/>
      <c r="F136" s="83"/>
      <c r="G136" s="83"/>
      <c r="H136" s="43"/>
      <c r="I136" s="2"/>
      <c r="J136" s="2"/>
    </row>
    <row r="137" spans="1:15" ht="15">
      <c r="A137" s="55" t="s">
        <v>160</v>
      </c>
      <c r="B137" s="55"/>
      <c r="C137" s="63">
        <v>14363556</v>
      </c>
      <c r="D137" s="63">
        <v>15692247</v>
      </c>
      <c r="E137" s="104">
        <v>17136429</v>
      </c>
      <c r="F137" s="104">
        <v>18510527</v>
      </c>
      <c r="G137" s="104">
        <v>20688771</v>
      </c>
      <c r="H137" s="43">
        <f>RATE(4,,-C137,G137)</f>
        <v>9.5514626070682576E-2</v>
      </c>
      <c r="I137" s="29"/>
      <c r="J137" s="29"/>
      <c r="O137" s="3">
        <f>RATE(3,,-D137,G137)</f>
        <v>9.6519903103359533E-2</v>
      </c>
    </row>
    <row r="138" spans="1:15" ht="15">
      <c r="A138" s="55"/>
      <c r="B138" s="105"/>
      <c r="C138" s="106"/>
      <c r="D138" s="106"/>
      <c r="E138" s="104"/>
      <c r="F138" s="104"/>
      <c r="G138" s="104"/>
      <c r="H138" s="45"/>
      <c r="I138" s="2"/>
      <c r="J138" s="2"/>
    </row>
    <row r="139" spans="1:15" ht="15">
      <c r="A139" s="55" t="s">
        <v>46</v>
      </c>
      <c r="B139" s="107">
        <f t="shared" ref="B139:G139" si="53">SUM(B136:B138)</f>
        <v>0</v>
      </c>
      <c r="C139" s="108">
        <f t="shared" si="53"/>
        <v>14363556</v>
      </c>
      <c r="D139" s="108">
        <f t="shared" si="53"/>
        <v>15692247</v>
      </c>
      <c r="E139" s="109">
        <f t="shared" si="53"/>
        <v>17136429</v>
      </c>
      <c r="F139" s="109">
        <f t="shared" si="53"/>
        <v>18510527</v>
      </c>
      <c r="G139" s="109">
        <f t="shared" si="53"/>
        <v>20688771</v>
      </c>
      <c r="H139" s="43">
        <f>RATE(4,,-C139,G139)</f>
        <v>9.5514626070682576E-2</v>
      </c>
      <c r="I139" s="2"/>
      <c r="J139" s="2"/>
      <c r="K139" s="21">
        <f>((+G139-F139)/F139)</f>
        <v>0.1176759581183183</v>
      </c>
    </row>
    <row r="140" spans="1:15" ht="15">
      <c r="A140" s="55"/>
      <c r="B140" s="105"/>
      <c r="C140" s="106"/>
      <c r="D140" s="106"/>
      <c r="E140" s="104"/>
      <c r="F140" s="104"/>
      <c r="G140" s="104"/>
      <c r="H140" s="43"/>
      <c r="I140" s="2"/>
      <c r="J140" s="2"/>
    </row>
    <row r="141" spans="1:15" ht="15.75">
      <c r="A141" s="178" t="s">
        <v>18</v>
      </c>
      <c r="B141" s="105"/>
      <c r="C141" s="106"/>
      <c r="D141" s="106"/>
      <c r="E141" s="104"/>
      <c r="F141" s="104"/>
      <c r="G141" s="104"/>
      <c r="H141" s="43"/>
      <c r="I141" s="2"/>
      <c r="J141" s="2"/>
    </row>
    <row r="142" spans="1:15" ht="15">
      <c r="A142" s="110" t="s">
        <v>71</v>
      </c>
      <c r="B142" s="105"/>
      <c r="C142" s="106">
        <v>3964615</v>
      </c>
      <c r="D142" s="106">
        <v>4034067</v>
      </c>
      <c r="E142" s="104">
        <v>4662426</v>
      </c>
      <c r="F142" s="104">
        <v>4832114</v>
      </c>
      <c r="G142" s="104">
        <v>5618945</v>
      </c>
      <c r="H142" s="43">
        <f t="shared" ref="H142:H153" si="54">RATE(4,,-C142,G142)</f>
        <v>9.1097197621622966E-2</v>
      </c>
      <c r="I142" s="2"/>
      <c r="J142" s="2"/>
      <c r="K142" s="3">
        <f>RATE(2,,-E142,G142)</f>
        <v>9.779542002418691E-2</v>
      </c>
    </row>
    <row r="143" spans="1:15" ht="15">
      <c r="A143" s="110" t="s">
        <v>112</v>
      </c>
      <c r="B143" s="105"/>
      <c r="C143" s="106">
        <v>557803</v>
      </c>
      <c r="D143" s="106">
        <v>410701</v>
      </c>
      <c r="E143" s="104">
        <v>423203</v>
      </c>
      <c r="F143" s="104">
        <v>322225</v>
      </c>
      <c r="G143" s="104">
        <v>369561</v>
      </c>
      <c r="H143" s="43">
        <f t="shared" si="54"/>
        <v>-9.7803117704576503E-2</v>
      </c>
      <c r="I143" s="2"/>
      <c r="J143" s="2"/>
      <c r="K143" s="3"/>
    </row>
    <row r="144" spans="1:15" ht="15">
      <c r="A144" s="110" t="s">
        <v>113</v>
      </c>
      <c r="B144" s="105"/>
      <c r="C144" s="106">
        <v>1223461</v>
      </c>
      <c r="D144" s="106">
        <v>1432946</v>
      </c>
      <c r="E144" s="104">
        <v>1780464</v>
      </c>
      <c r="F144" s="104">
        <v>2055404</v>
      </c>
      <c r="G144" s="104">
        <v>1493033</v>
      </c>
      <c r="H144" s="43">
        <f t="shared" si="54"/>
        <v>5.1041390838579684E-2</v>
      </c>
      <c r="I144" s="2"/>
      <c r="J144" s="2"/>
      <c r="K144" s="3"/>
    </row>
    <row r="145" spans="1:16" ht="15">
      <c r="A145" s="110" t="s">
        <v>114</v>
      </c>
      <c r="B145" s="105"/>
      <c r="C145" s="106">
        <v>167587</v>
      </c>
      <c r="D145" s="106">
        <v>249286</v>
      </c>
      <c r="E145" s="104">
        <v>363800</v>
      </c>
      <c r="F145" s="104">
        <v>734739</v>
      </c>
      <c r="G145" s="104">
        <v>183495</v>
      </c>
      <c r="H145" s="43">
        <f t="shared" si="54"/>
        <v>2.2930144753920825E-2</v>
      </c>
      <c r="I145" s="2"/>
      <c r="J145" s="2"/>
      <c r="K145" s="3"/>
    </row>
    <row r="146" spans="1:16" ht="15">
      <c r="A146" s="110" t="s">
        <v>115</v>
      </c>
      <c r="B146" s="105"/>
      <c r="C146" s="106">
        <v>406803</v>
      </c>
      <c r="D146" s="106">
        <v>405248</v>
      </c>
      <c r="E146" s="104">
        <v>489693</v>
      </c>
      <c r="F146" s="104">
        <v>588000</v>
      </c>
      <c r="G146" s="104">
        <v>654149</v>
      </c>
      <c r="H146" s="43">
        <f t="shared" si="54"/>
        <v>0.12609008264777283</v>
      </c>
      <c r="I146" s="2"/>
      <c r="J146" s="2"/>
      <c r="K146" s="3"/>
    </row>
    <row r="147" spans="1:16" ht="15">
      <c r="A147" s="110" t="s">
        <v>116</v>
      </c>
      <c r="B147" s="105"/>
      <c r="C147" s="106">
        <v>556009</v>
      </c>
      <c r="D147" s="106">
        <v>652421</v>
      </c>
      <c r="E147" s="104">
        <v>790392</v>
      </c>
      <c r="F147" s="104">
        <v>1565242</v>
      </c>
      <c r="G147" s="104">
        <v>945677</v>
      </c>
      <c r="H147" s="43">
        <f t="shared" si="54"/>
        <v>0.14199775797396588</v>
      </c>
      <c r="I147" s="2"/>
      <c r="J147" s="2"/>
      <c r="K147" s="3"/>
    </row>
    <row r="148" spans="1:16" ht="15">
      <c r="A148" s="110" t="s">
        <v>117</v>
      </c>
      <c r="B148" s="105"/>
      <c r="C148" s="106">
        <f>465200+86853</f>
        <v>552053</v>
      </c>
      <c r="D148" s="106">
        <f>522712+91264</f>
        <v>613976</v>
      </c>
      <c r="E148" s="104">
        <f>526991+92800</f>
        <v>619791</v>
      </c>
      <c r="F148" s="104">
        <f>633225+104644</f>
        <v>737869</v>
      </c>
      <c r="G148" s="104">
        <f>645662+107878</f>
        <v>753540</v>
      </c>
      <c r="H148" s="43">
        <f t="shared" si="54"/>
        <v>8.0889714295674306E-2</v>
      </c>
      <c r="I148" s="2"/>
      <c r="J148" s="2"/>
      <c r="K148" s="3"/>
    </row>
    <row r="149" spans="1:16" ht="15">
      <c r="A149" s="114" t="s">
        <v>161</v>
      </c>
      <c r="B149" s="105"/>
      <c r="C149" s="106">
        <v>1660225</v>
      </c>
      <c r="D149" s="104">
        <v>1755155</v>
      </c>
      <c r="E149" s="104">
        <v>1936924</v>
      </c>
      <c r="F149" s="104">
        <v>2244910</v>
      </c>
      <c r="G149" s="104">
        <v>2348735</v>
      </c>
      <c r="H149" s="43">
        <f t="shared" si="54"/>
        <v>9.0603199813643731E-2</v>
      </c>
      <c r="I149" s="2"/>
      <c r="J149" s="2"/>
      <c r="K149" s="18">
        <f>+C149/C16</f>
        <v>2.872064745418873E-2</v>
      </c>
      <c r="L149" s="18">
        <f>+D149/D16</f>
        <v>2.8394073840494499E-2</v>
      </c>
      <c r="M149" s="18">
        <f>+E149/E16</f>
        <v>2.8112825068927021E-2</v>
      </c>
      <c r="N149" s="18">
        <f>+F149/F16</f>
        <v>2.9621900014808904E-2</v>
      </c>
      <c r="O149" s="18">
        <f>+G149/G16</f>
        <v>2.7770683243335252E-2</v>
      </c>
      <c r="P149" s="1">
        <f>AVERAGE(K149:O149)</f>
        <v>2.8524025924350882E-2</v>
      </c>
    </row>
    <row r="150" spans="1:16" ht="15">
      <c r="A150" s="113" t="s">
        <v>162</v>
      </c>
      <c r="B150" s="105"/>
      <c r="C150" s="106">
        <f>5757+2883377</f>
        <v>2889134</v>
      </c>
      <c r="D150" s="106">
        <f>3110666+13992</f>
        <v>3124658</v>
      </c>
      <c r="E150" s="104">
        <f>3181995+22612</f>
        <v>3204607</v>
      </c>
      <c r="F150" s="104">
        <f>3612279+16489</f>
        <v>3628768</v>
      </c>
      <c r="G150" s="104">
        <f>8809+4229967</f>
        <v>4238776</v>
      </c>
      <c r="H150" s="43">
        <f t="shared" si="54"/>
        <v>0.10057133043369086</v>
      </c>
      <c r="I150" s="2"/>
      <c r="J150" s="2"/>
      <c r="K150" s="3">
        <f>RATE(3,,-C150,F150)</f>
        <v>7.8939698051994106E-2</v>
      </c>
    </row>
    <row r="151" spans="1:16" ht="15">
      <c r="A151" s="114" t="s">
        <v>163</v>
      </c>
      <c r="B151" s="105"/>
      <c r="C151" s="106">
        <v>333208</v>
      </c>
      <c r="D151" s="106">
        <v>312116</v>
      </c>
      <c r="E151" s="104">
        <v>352377</v>
      </c>
      <c r="F151" s="104">
        <v>370397</v>
      </c>
      <c r="G151" s="104">
        <v>384933</v>
      </c>
      <c r="H151" s="45">
        <f t="shared" si="54"/>
        <v>3.6734213782928703E-2</v>
      </c>
      <c r="I151" s="2"/>
      <c r="J151" s="2"/>
      <c r="K151" s="21">
        <f>+C151/C137</f>
        <v>2.319815510866529E-2</v>
      </c>
      <c r="L151" s="21">
        <f>+D151/D137</f>
        <v>1.9889822024850869E-2</v>
      </c>
      <c r="M151" s="21">
        <f>+E151/E137</f>
        <v>2.0563035624283216E-2</v>
      </c>
      <c r="N151" s="21">
        <f>+F151/F137</f>
        <v>2.0010073187003267E-2</v>
      </c>
      <c r="O151" s="21">
        <f>+G151/G137</f>
        <v>1.8605890122714394E-2</v>
      </c>
      <c r="P151" s="1">
        <f>(+O151+N151)/2</f>
        <v>1.9307981654858829E-2</v>
      </c>
    </row>
    <row r="152" spans="1:16" ht="15">
      <c r="A152" s="55" t="s">
        <v>41</v>
      </c>
      <c r="B152" s="107">
        <f t="shared" ref="B152:G152" si="55">SUM(B141:B151)</f>
        <v>0</v>
      </c>
      <c r="C152" s="108">
        <f t="shared" si="55"/>
        <v>12310898</v>
      </c>
      <c r="D152" s="108">
        <f t="shared" si="55"/>
        <v>12990574</v>
      </c>
      <c r="E152" s="109">
        <f t="shared" si="55"/>
        <v>14623677</v>
      </c>
      <c r="F152" s="109">
        <f t="shared" si="55"/>
        <v>17079668</v>
      </c>
      <c r="G152" s="109">
        <f t="shared" si="55"/>
        <v>16990844</v>
      </c>
      <c r="H152" s="75">
        <f t="shared" si="54"/>
        <v>8.3880255048337807E-2</v>
      </c>
      <c r="I152" s="2"/>
      <c r="J152" s="2"/>
    </row>
    <row r="153" spans="1:16" ht="15">
      <c r="A153" s="55" t="s">
        <v>11</v>
      </c>
      <c r="B153" s="107">
        <f t="shared" ref="B153:G153" si="56">B139-B152</f>
        <v>0</v>
      </c>
      <c r="C153" s="108">
        <f t="shared" si="56"/>
        <v>2052658</v>
      </c>
      <c r="D153" s="108">
        <f t="shared" si="56"/>
        <v>2701673</v>
      </c>
      <c r="E153" s="109">
        <f t="shared" si="56"/>
        <v>2512752</v>
      </c>
      <c r="F153" s="109">
        <f t="shared" si="56"/>
        <v>1430859</v>
      </c>
      <c r="G153" s="109">
        <f t="shared" si="56"/>
        <v>3697927</v>
      </c>
      <c r="H153" s="43">
        <f t="shared" si="54"/>
        <v>0.15853840321240095</v>
      </c>
      <c r="I153" s="2"/>
      <c r="J153" s="2"/>
    </row>
    <row r="154" spans="1:16" ht="15">
      <c r="A154" s="55"/>
      <c r="B154" s="105"/>
      <c r="C154" s="106"/>
      <c r="D154" s="106"/>
      <c r="E154" s="104"/>
      <c r="F154" s="104"/>
      <c r="G154" s="104"/>
      <c r="H154" s="43"/>
      <c r="I154" s="2"/>
      <c r="J154" s="2"/>
    </row>
    <row r="155" spans="1:16" ht="15">
      <c r="A155" s="114" t="s">
        <v>164</v>
      </c>
      <c r="B155" s="105"/>
      <c r="C155" s="106">
        <f>1008741+16044</f>
        <v>1024785</v>
      </c>
      <c r="D155" s="106">
        <f>1119537+19940</f>
        <v>1139477</v>
      </c>
      <c r="E155" s="104">
        <f>1369350+21518</f>
        <v>1390868</v>
      </c>
      <c r="F155" s="104">
        <f>1688618+21645</f>
        <v>1710263</v>
      </c>
      <c r="G155" s="104">
        <f>1831442+25503</f>
        <v>1856945</v>
      </c>
      <c r="H155" s="43">
        <f>RATE(4,,-C155,G155)</f>
        <v>0.16022326618181559</v>
      </c>
      <c r="I155" s="2"/>
      <c r="J155" s="2"/>
      <c r="K155" s="1">
        <f>D155/(D44+D53)</f>
        <v>5.1551496098045275E-2</v>
      </c>
      <c r="L155" s="1">
        <f>E155/(E44+E53)</f>
        <v>5.1809309194931714E-2</v>
      </c>
      <c r="M155" s="1">
        <f>F155/(F44+F53)</f>
        <v>5.3627929696380271E-2</v>
      </c>
    </row>
    <row r="156" spans="1:16" ht="15">
      <c r="A156" s="193" t="s">
        <v>165</v>
      </c>
      <c r="B156" s="105"/>
      <c r="C156" s="104">
        <v>-156350</v>
      </c>
      <c r="D156" s="104">
        <v>-243833</v>
      </c>
      <c r="E156" s="104">
        <v>-140448</v>
      </c>
      <c r="F156" s="104">
        <f>-372379+34416</f>
        <v>-337963</v>
      </c>
      <c r="G156" s="104">
        <f>-2030002+1675510</f>
        <v>-354492</v>
      </c>
      <c r="H156" s="43">
        <f>RATE(4,,-C156,G156)</f>
        <v>0.22709203823795002</v>
      </c>
      <c r="I156" s="2"/>
      <c r="J156" s="2"/>
    </row>
    <row r="157" spans="1:16" ht="15">
      <c r="A157" s="114" t="s">
        <v>166</v>
      </c>
      <c r="B157" s="105"/>
      <c r="C157" s="106">
        <v>-20446</v>
      </c>
      <c r="D157" s="106">
        <v>-41722</v>
      </c>
      <c r="E157" s="104">
        <v>-10410</v>
      </c>
      <c r="F157" s="104">
        <v>-34416</v>
      </c>
      <c r="G157" s="104">
        <v>-1675510</v>
      </c>
      <c r="H157" s="43">
        <f>RATE(4,,-C157,G157)</f>
        <v>2.0087400491262852</v>
      </c>
      <c r="I157" s="2"/>
      <c r="J157" s="2"/>
      <c r="K157" s="2">
        <f>AVERAGE(D157,E157)</f>
        <v>-26066</v>
      </c>
    </row>
    <row r="158" spans="1:16" ht="15">
      <c r="A158" s="66" t="s">
        <v>167</v>
      </c>
      <c r="B158" s="105"/>
      <c r="C158" s="106">
        <v>31583</v>
      </c>
      <c r="D158" s="106">
        <v>22487</v>
      </c>
      <c r="E158" s="104">
        <f>-104257-54948-24258-6749+103710</f>
        <v>-86502</v>
      </c>
      <c r="F158" s="104">
        <v>17375</v>
      </c>
      <c r="G158" s="104">
        <v>68267</v>
      </c>
      <c r="H158" s="45">
        <f t="shared" ref="H158" si="57">RATE(4,,-C158,G158)</f>
        <v>0.21252125253183865</v>
      </c>
      <c r="I158" s="2"/>
      <c r="J158" s="2"/>
      <c r="K158" s="2">
        <f>AVERAGE(E158,D158)</f>
        <v>-32007.5</v>
      </c>
    </row>
    <row r="159" spans="1:16" ht="15">
      <c r="A159" s="55" t="s">
        <v>119</v>
      </c>
      <c r="B159" s="107">
        <f t="shared" ref="B159:G159" si="58">SUM(B155:B158)</f>
        <v>0</v>
      </c>
      <c r="C159" s="108">
        <f t="shared" si="58"/>
        <v>879572</v>
      </c>
      <c r="D159" s="108">
        <f t="shared" si="58"/>
        <v>876409</v>
      </c>
      <c r="E159" s="109">
        <f t="shared" si="58"/>
        <v>1153508</v>
      </c>
      <c r="F159" s="109">
        <f t="shared" si="58"/>
        <v>1355259</v>
      </c>
      <c r="G159" s="109">
        <f t="shared" si="58"/>
        <v>-104790</v>
      </c>
      <c r="H159" s="43"/>
      <c r="I159" s="2"/>
      <c r="J159" s="2"/>
    </row>
    <row r="160" spans="1:16" ht="7.5" customHeight="1">
      <c r="A160" s="55"/>
      <c r="B160" s="105"/>
      <c r="C160" s="106"/>
      <c r="D160" s="106"/>
      <c r="E160" s="104"/>
      <c r="F160" s="104"/>
      <c r="G160" s="104"/>
      <c r="H160" s="43"/>
      <c r="I160" s="2"/>
      <c r="J160" s="2"/>
    </row>
    <row r="161" spans="1:16" ht="15">
      <c r="A161" s="55" t="s">
        <v>10</v>
      </c>
      <c r="B161" s="105">
        <f t="shared" ref="B161:G161" si="59">B153-B159</f>
        <v>0</v>
      </c>
      <c r="C161" s="106">
        <f t="shared" si="59"/>
        <v>1173086</v>
      </c>
      <c r="D161" s="106">
        <f t="shared" si="59"/>
        <v>1825264</v>
      </c>
      <c r="E161" s="104">
        <f t="shared" si="59"/>
        <v>1359244</v>
      </c>
      <c r="F161" s="115">
        <f t="shared" si="59"/>
        <v>75600</v>
      </c>
      <c r="G161" s="115">
        <f t="shared" si="59"/>
        <v>3802717</v>
      </c>
      <c r="H161" s="45">
        <f>RATE(4,,-C161,G161)</f>
        <v>0.34181004454715014</v>
      </c>
      <c r="I161" s="190">
        <f>+G161+G157</f>
        <v>2127207</v>
      </c>
      <c r="J161" s="190"/>
    </row>
    <row r="162" spans="1:16" ht="15">
      <c r="A162" s="55" t="s">
        <v>118</v>
      </c>
      <c r="B162" s="107"/>
      <c r="C162" s="109">
        <v>97923</v>
      </c>
      <c r="D162" s="109">
        <v>173547</v>
      </c>
      <c r="E162" s="109">
        <v>147866</v>
      </c>
      <c r="F162" s="104">
        <v>162894</v>
      </c>
      <c r="G162" s="104">
        <v>150556</v>
      </c>
      <c r="H162" s="43">
        <f>RATE(4,,-C162,G162)</f>
        <v>0.1135336342186512</v>
      </c>
      <c r="I162" s="2"/>
      <c r="J162" s="2"/>
    </row>
    <row r="163" spans="1:16" ht="15">
      <c r="A163" s="55" t="s">
        <v>13</v>
      </c>
      <c r="B163" s="105"/>
      <c r="C163" s="106"/>
      <c r="D163" s="106">
        <v>41621</v>
      </c>
      <c r="E163" s="104">
        <v>107117</v>
      </c>
      <c r="F163" s="104">
        <v>63935</v>
      </c>
      <c r="G163" s="104">
        <v>31522</v>
      </c>
      <c r="H163" s="45"/>
      <c r="I163" s="2"/>
      <c r="J163" s="2"/>
      <c r="K163" s="1">
        <f>E163/E161</f>
        <v>7.8806307035381426E-2</v>
      </c>
    </row>
    <row r="164" spans="1:16" ht="15.75" thickBot="1">
      <c r="A164" s="55" t="s">
        <v>74</v>
      </c>
      <c r="B164" s="116">
        <f t="shared" ref="B164:G164" si="60">B161+B162-B163</f>
        <v>0</v>
      </c>
      <c r="C164" s="109">
        <f t="shared" si="60"/>
        <v>1271009</v>
      </c>
      <c r="D164" s="109">
        <f t="shared" si="60"/>
        <v>1957190</v>
      </c>
      <c r="E164" s="117">
        <f t="shared" si="60"/>
        <v>1399993</v>
      </c>
      <c r="F164" s="117">
        <f t="shared" si="60"/>
        <v>174559</v>
      </c>
      <c r="G164" s="117">
        <f t="shared" si="60"/>
        <v>3921751</v>
      </c>
      <c r="H164" s="85">
        <f>RATE(4,,-C164,G164)</f>
        <v>0.32535691255395371</v>
      </c>
      <c r="I164" s="2">
        <f>AVERAGE(C164:G164)</f>
        <v>1744900.4</v>
      </c>
      <c r="J164" s="2"/>
      <c r="K164" s="1">
        <f>O39/D164</f>
        <v>0</v>
      </c>
      <c r="L164" s="1">
        <f>P39/E164</f>
        <v>1.1738744408007755</v>
      </c>
      <c r="M164" s="1">
        <f>1-AVERAGE(K164:L164)</f>
        <v>0.41306277959961224</v>
      </c>
      <c r="O164" s="3">
        <f>RATE(3,,-D164,G164)</f>
        <v>0.26071138833157936</v>
      </c>
    </row>
    <row r="165" spans="1:16" ht="15.75" thickTop="1">
      <c r="A165" s="55"/>
      <c r="B165" s="118"/>
      <c r="C165" s="119"/>
      <c r="D165" s="119"/>
      <c r="E165" s="104"/>
      <c r="F165" s="104"/>
      <c r="G165" s="104"/>
      <c r="H165" s="43"/>
      <c r="I165" s="2"/>
      <c r="J165" s="2"/>
      <c r="K165" s="1">
        <f>O39/D41</f>
        <v>0</v>
      </c>
      <c r="L165" s="1">
        <f>P39/E41</f>
        <v>7.6152420871806514E-2</v>
      </c>
      <c r="M165" s="1">
        <f>AVERAGE(K165:L165)</f>
        <v>3.8076210435903257E-2</v>
      </c>
    </row>
    <row r="166" spans="1:16" ht="15">
      <c r="A166" s="55" t="s">
        <v>47</v>
      </c>
      <c r="B166" s="105">
        <v>0</v>
      </c>
      <c r="C166" s="106"/>
      <c r="D166" s="106"/>
      <c r="E166" s="104"/>
      <c r="F166" s="104"/>
      <c r="G166" s="104"/>
      <c r="H166" s="43"/>
      <c r="I166" s="2"/>
      <c r="J166" s="2"/>
    </row>
    <row r="167" spans="1:16" ht="15">
      <c r="A167" s="65" t="s">
        <v>73</v>
      </c>
      <c r="B167" s="41"/>
      <c r="C167" s="41">
        <v>-593360</v>
      </c>
      <c r="D167" s="120">
        <v>-460895</v>
      </c>
      <c r="E167" s="120">
        <v>-418934</v>
      </c>
      <c r="F167" s="120">
        <v>0</v>
      </c>
      <c r="G167" s="175">
        <v>0</v>
      </c>
      <c r="H167" s="43"/>
      <c r="I167" s="190">
        <f>+G164+G157</f>
        <v>2246241</v>
      </c>
      <c r="J167" s="190"/>
      <c r="K167" s="1">
        <f>C167/C41</f>
        <v>-3.1060667132206753E-2</v>
      </c>
      <c r="L167" s="1">
        <f>D167/D41</f>
        <v>-2.2374027011748555E-2</v>
      </c>
      <c r="M167" s="1">
        <f>E167/E41</f>
        <v>-1.9412515325096868E-2</v>
      </c>
      <c r="N167" s="1">
        <f>F167/F41</f>
        <v>0</v>
      </c>
      <c r="O167" s="1">
        <f>G167/G41</f>
        <v>0</v>
      </c>
      <c r="P167" s="1">
        <f>AVERAGE(L167:O167)</f>
        <v>-1.0446635584211356E-2</v>
      </c>
    </row>
    <row r="168" spans="1:16">
      <c r="A168" s="15"/>
      <c r="B168" s="34"/>
      <c r="C168" s="21"/>
      <c r="D168" s="21"/>
      <c r="E168" s="21"/>
      <c r="F168" s="21"/>
      <c r="G168" s="21"/>
      <c r="H168" s="29"/>
      <c r="I168" s="2"/>
      <c r="J168" s="2"/>
    </row>
    <row r="169" spans="1:16" ht="15">
      <c r="A169" s="15"/>
      <c r="B169" s="34"/>
      <c r="C169" s="174"/>
      <c r="D169" s="174"/>
      <c r="E169" s="174"/>
      <c r="F169" s="174"/>
      <c r="G169" s="174"/>
      <c r="H169" s="91" t="str">
        <f>H127</f>
        <v>Exhibit 1</v>
      </c>
      <c r="I169" s="2"/>
      <c r="J169" s="2"/>
    </row>
    <row r="170" spans="1:16" ht="15">
      <c r="A170" s="15"/>
      <c r="B170" s="30"/>
      <c r="C170" s="30"/>
      <c r="D170" s="30"/>
      <c r="E170" s="30"/>
      <c r="F170" s="30"/>
      <c r="G170" s="30"/>
      <c r="H170" s="92" t="s">
        <v>133</v>
      </c>
      <c r="I170" s="2"/>
      <c r="J170" s="2"/>
    </row>
    <row r="171" spans="1:16" ht="18">
      <c r="A171" s="31" t="str">
        <f>A3</f>
        <v>Garkane Energy Cooperative, Inc.</v>
      </c>
      <c r="B171" s="22"/>
      <c r="C171" s="22"/>
      <c r="D171" s="22"/>
      <c r="E171" s="22"/>
      <c r="F171" s="22"/>
      <c r="G171" s="22"/>
      <c r="H171" s="23"/>
      <c r="I171" s="2"/>
      <c r="J171" s="2"/>
    </row>
    <row r="172" spans="1:16" ht="15.75">
      <c r="A172" s="32" t="s">
        <v>43</v>
      </c>
      <c r="B172" s="22"/>
      <c r="C172" s="22"/>
      <c r="D172" s="22"/>
      <c r="E172" s="22"/>
      <c r="F172" s="22"/>
      <c r="G172" s="22"/>
      <c r="H172" s="23"/>
      <c r="I172" s="2"/>
      <c r="J172" s="2"/>
    </row>
    <row r="173" spans="1:16" ht="15.75">
      <c r="A173" s="32" t="s">
        <v>12</v>
      </c>
      <c r="B173" s="22"/>
      <c r="C173" s="22"/>
      <c r="D173" s="22"/>
      <c r="E173" s="22"/>
      <c r="F173" s="22"/>
      <c r="G173" s="22"/>
      <c r="H173" s="23"/>
      <c r="I173" s="2"/>
      <c r="J173" s="2"/>
    </row>
    <row r="174" spans="1:16" ht="15.75">
      <c r="A174" s="32"/>
      <c r="B174" s="22"/>
      <c r="C174" s="22"/>
      <c r="D174" s="22"/>
      <c r="E174" s="22"/>
      <c r="F174" s="22"/>
      <c r="G174" s="22"/>
      <c r="H174" s="23"/>
      <c r="I174" s="2"/>
      <c r="J174" s="2"/>
    </row>
    <row r="175" spans="1:16">
      <c r="A175" s="15"/>
      <c r="B175" s="15"/>
      <c r="C175" s="15"/>
      <c r="D175" s="15"/>
      <c r="E175" s="15"/>
      <c r="F175" s="15"/>
      <c r="G175" s="15"/>
      <c r="H175" s="29"/>
      <c r="I175" s="2"/>
      <c r="J175" s="2"/>
    </row>
    <row r="176" spans="1:16" ht="15.75">
      <c r="A176" s="38"/>
      <c r="B176" s="38"/>
      <c r="C176" s="38"/>
      <c r="D176" s="50"/>
      <c r="E176" s="50"/>
      <c r="F176" s="50"/>
      <c r="G176" s="38"/>
      <c r="H176" s="54" t="str">
        <f>H7</f>
        <v>2005 to 2009</v>
      </c>
      <c r="I176" s="2"/>
      <c r="J176" s="2"/>
    </row>
    <row r="177" spans="1:18" ht="15.75">
      <c r="A177" s="182" t="s">
        <v>0</v>
      </c>
      <c r="B177" s="52">
        <f t="shared" ref="B177" si="61">+B135</f>
        <v>2004</v>
      </c>
      <c r="C177" s="103">
        <f t="shared" ref="C177:E177" si="62">+C135</f>
        <v>2005</v>
      </c>
      <c r="D177" s="103">
        <f t="shared" si="62"/>
        <v>2006</v>
      </c>
      <c r="E177" s="103">
        <f t="shared" si="62"/>
        <v>2007</v>
      </c>
      <c r="F177" s="103">
        <f>+F135</f>
        <v>2008</v>
      </c>
      <c r="G177" s="121">
        <f>+G9</f>
        <v>2009</v>
      </c>
      <c r="H177" s="123" t="s">
        <v>2</v>
      </c>
      <c r="I177" s="2"/>
      <c r="J177" s="2"/>
    </row>
    <row r="178" spans="1:18" ht="15.75">
      <c r="A178" s="93" t="s">
        <v>19</v>
      </c>
      <c r="B178" s="101"/>
      <c r="C178" s="101"/>
      <c r="D178" s="101"/>
      <c r="E178" s="101"/>
      <c r="F178" s="100"/>
      <c r="G178" s="122"/>
      <c r="H178" s="43"/>
      <c r="I178" s="2"/>
      <c r="J178" s="2"/>
    </row>
    <row r="179" spans="1:18" ht="15">
      <c r="A179" s="55" t="str">
        <f>A137</f>
        <v>Operating Revenues &amp; Patronage Cap</v>
      </c>
      <c r="B179" s="43" t="e">
        <f t="shared" ref="B179:C181" si="63">B137/B$139</f>
        <v>#DIV/0!</v>
      </c>
      <c r="C179" s="43">
        <f t="shared" si="63"/>
        <v>1</v>
      </c>
      <c r="D179" s="43">
        <f t="shared" ref="D179:E181" si="64">D137/D$139</f>
        <v>1</v>
      </c>
      <c r="E179" s="43">
        <f t="shared" si="64"/>
        <v>1</v>
      </c>
      <c r="F179" s="43">
        <f t="shared" ref="F179:G181" si="65">F137/F$139</f>
        <v>1</v>
      </c>
      <c r="G179" s="43">
        <f t="shared" si="65"/>
        <v>1</v>
      </c>
      <c r="H179" s="43">
        <f>SUM(C137:G137)/SUM(C$139:G$139)</f>
        <v>1</v>
      </c>
      <c r="I179" s="2"/>
      <c r="J179" s="2"/>
    </row>
    <row r="180" spans="1:18" ht="15">
      <c r="A180" s="55"/>
      <c r="B180" s="99" t="e">
        <f t="shared" si="63"/>
        <v>#DIV/0!</v>
      </c>
      <c r="C180" s="99"/>
      <c r="D180" s="99"/>
      <c r="E180" s="99"/>
      <c r="F180" s="99"/>
      <c r="G180" s="99"/>
      <c r="H180" s="45"/>
      <c r="I180" s="2"/>
      <c r="J180" s="2"/>
    </row>
    <row r="181" spans="1:18" ht="15">
      <c r="A181" s="55" t="str">
        <f>A139</f>
        <v>Total Revenues</v>
      </c>
      <c r="B181" s="43" t="e">
        <f t="shared" si="63"/>
        <v>#DIV/0!</v>
      </c>
      <c r="C181" s="43">
        <f t="shared" si="63"/>
        <v>1</v>
      </c>
      <c r="D181" s="43">
        <f t="shared" si="64"/>
        <v>1</v>
      </c>
      <c r="E181" s="43">
        <f t="shared" si="64"/>
        <v>1</v>
      </c>
      <c r="F181" s="43">
        <f t="shared" si="65"/>
        <v>1</v>
      </c>
      <c r="G181" s="43">
        <f t="shared" si="65"/>
        <v>1</v>
      </c>
      <c r="H181" s="43">
        <f>SUM(C139:G139)/SUM(C$139:G$139)</f>
        <v>1</v>
      </c>
      <c r="I181" s="2"/>
      <c r="J181" s="2"/>
    </row>
    <row r="182" spans="1:18" ht="15">
      <c r="A182" s="55"/>
      <c r="B182" s="43"/>
      <c r="C182" s="43"/>
      <c r="D182" s="43"/>
      <c r="E182" s="43"/>
      <c r="F182" s="43"/>
      <c r="G182" s="43"/>
      <c r="H182" s="43"/>
      <c r="I182" s="2"/>
      <c r="J182" s="2"/>
    </row>
    <row r="183" spans="1:18" ht="15.75">
      <c r="A183" s="178" t="s">
        <v>18</v>
      </c>
      <c r="B183" s="43"/>
      <c r="C183" s="43"/>
      <c r="D183" s="43"/>
      <c r="E183" s="43"/>
      <c r="F183" s="43"/>
      <c r="G183" s="43"/>
      <c r="H183" s="43"/>
      <c r="I183" s="2"/>
      <c r="J183" s="2"/>
    </row>
    <row r="184" spans="1:18" ht="15">
      <c r="A184" s="140" t="str">
        <f>A142</f>
        <v>Cost of Purchased Power</v>
      </c>
      <c r="B184" s="82" t="e">
        <f>B142/B$139</f>
        <v>#DIV/0!</v>
      </c>
      <c r="C184" s="82">
        <f>C142/C$139</f>
        <v>0.27601904430908336</v>
      </c>
      <c r="D184" s="82">
        <f t="shared" ref="D184:G184" si="66">D142/D$139</f>
        <v>0.25707389132990321</v>
      </c>
      <c r="E184" s="82">
        <f t="shared" si="66"/>
        <v>0.27207687202508762</v>
      </c>
      <c r="F184" s="82">
        <f t="shared" si="66"/>
        <v>0.26104680866190355</v>
      </c>
      <c r="G184" s="82">
        <f t="shared" si="66"/>
        <v>0.27159394823404442</v>
      </c>
      <c r="H184" s="82">
        <f>SUM(C142:G142)/SUM(C$139:G$139)</f>
        <v>0.26752815929987583</v>
      </c>
      <c r="I184" s="2"/>
      <c r="J184" s="3"/>
      <c r="K184" s="21">
        <f>((+G184+F184+E184)/3)+0.01</f>
        <v>0.27823920964034521</v>
      </c>
      <c r="L184" s="1"/>
    </row>
    <row r="185" spans="1:18" ht="15">
      <c r="A185" s="140" t="str">
        <f>+A143</f>
        <v>Power Production</v>
      </c>
      <c r="B185" s="82"/>
      <c r="C185" s="82">
        <f t="shared" ref="C185:G185" si="67">C143/C$139</f>
        <v>3.8834603353097241E-2</v>
      </c>
      <c r="D185" s="82">
        <f t="shared" si="67"/>
        <v>2.617222377394391E-2</v>
      </c>
      <c r="E185" s="82">
        <f t="shared" si="67"/>
        <v>2.4696102087546943E-2</v>
      </c>
      <c r="F185" s="82">
        <f t="shared" si="67"/>
        <v>1.7407662137334069E-2</v>
      </c>
      <c r="G185" s="82">
        <f t="shared" si="67"/>
        <v>1.7862878370107145E-2</v>
      </c>
      <c r="H185" s="82">
        <f t="shared" ref="H185:H190" si="68">SUM(C143:G143)/SUM(C$139:G$139)</f>
        <v>2.4116866549301764E-2</v>
      </c>
      <c r="I185" s="2"/>
      <c r="J185" s="3"/>
      <c r="K185" s="21"/>
      <c r="L185" s="1"/>
    </row>
    <row r="186" spans="1:18" ht="15">
      <c r="A186" s="140" t="str">
        <f>+A144</f>
        <v>Cost of Propane Sales</v>
      </c>
      <c r="B186" s="82"/>
      <c r="C186" s="82">
        <f t="shared" ref="C186:G186" si="69">C144/C$139</f>
        <v>8.5178141123270587E-2</v>
      </c>
      <c r="D186" s="82">
        <f t="shared" si="69"/>
        <v>9.1315539450787381E-2</v>
      </c>
      <c r="E186" s="82">
        <f t="shared" si="69"/>
        <v>0.1038993596623894</v>
      </c>
      <c r="F186" s="82">
        <f t="shared" si="69"/>
        <v>0.11103973430902318</v>
      </c>
      <c r="G186" s="82">
        <f t="shared" si="69"/>
        <v>7.2166345695449968E-2</v>
      </c>
      <c r="H186" s="82">
        <f t="shared" si="68"/>
        <v>9.2431607589308809E-2</v>
      </c>
      <c r="I186" s="3">
        <f>+F186-H186</f>
        <v>1.8608126719714374E-2</v>
      </c>
      <c r="J186" s="3">
        <f>+G186-H186</f>
        <v>-2.0265261893858841E-2</v>
      </c>
      <c r="K186" s="21"/>
      <c r="L186" s="1"/>
    </row>
    <row r="187" spans="1:18" ht="15">
      <c r="A187" s="140" t="str">
        <f t="shared" ref="A187:A190" si="70">+A145</f>
        <v>Transmission Expense</v>
      </c>
      <c r="B187" s="82"/>
      <c r="C187" s="82">
        <f t="shared" ref="C187:G187" si="71">C145/C$139</f>
        <v>1.1667514646094602E-2</v>
      </c>
      <c r="D187" s="82">
        <f t="shared" si="71"/>
        <v>1.5885933990205481E-2</v>
      </c>
      <c r="E187" s="82">
        <f t="shared" si="71"/>
        <v>2.1229627246143291E-2</v>
      </c>
      <c r="F187" s="82">
        <f t="shared" si="71"/>
        <v>3.969303521180137E-2</v>
      </c>
      <c r="G187" s="82">
        <f t="shared" si="71"/>
        <v>8.86930402970771E-3</v>
      </c>
      <c r="H187" s="82">
        <f t="shared" si="68"/>
        <v>1.9665203290183654E-2</v>
      </c>
      <c r="I187" s="3">
        <f>+F187-H187</f>
        <v>2.0027831921617716E-2</v>
      </c>
      <c r="J187" s="3">
        <f>+G187-H187</f>
        <v>-1.0795899260475944E-2</v>
      </c>
      <c r="K187" s="21"/>
      <c r="L187" s="1"/>
    </row>
    <row r="188" spans="1:18" ht="15">
      <c r="A188" s="140" t="str">
        <f t="shared" si="70"/>
        <v>Distribution Exp - Operation</v>
      </c>
      <c r="B188" s="82"/>
      <c r="C188" s="82">
        <f t="shared" ref="C188:G188" si="72">C146/C$139</f>
        <v>2.832188630726263E-2</v>
      </c>
      <c r="D188" s="82">
        <f t="shared" si="72"/>
        <v>2.5824727331911101E-2</v>
      </c>
      <c r="E188" s="82">
        <f t="shared" si="72"/>
        <v>2.8576140338223324E-2</v>
      </c>
      <c r="F188" s="82">
        <f t="shared" si="72"/>
        <v>3.1765708237264129E-2</v>
      </c>
      <c r="G188" s="82">
        <f t="shared" si="72"/>
        <v>3.1618552885524231E-2</v>
      </c>
      <c r="H188" s="82">
        <f t="shared" si="68"/>
        <v>2.9446092689873648E-2</v>
      </c>
      <c r="I188" s="2"/>
      <c r="J188" s="3"/>
      <c r="K188" s="21"/>
      <c r="L188" s="1"/>
    </row>
    <row r="189" spans="1:18" ht="15">
      <c r="A189" s="140" t="str">
        <f t="shared" si="70"/>
        <v>Distribution Exp - Maintenance</v>
      </c>
      <c r="B189" s="82"/>
      <c r="C189" s="82">
        <f t="shared" ref="C189:G189" si="73">C147/C$139</f>
        <v>3.8709703920115607E-2</v>
      </c>
      <c r="D189" s="82">
        <f t="shared" si="73"/>
        <v>4.1576008840543993E-2</v>
      </c>
      <c r="E189" s="82">
        <f t="shared" si="73"/>
        <v>4.6123495157596721E-2</v>
      </c>
      <c r="F189" s="82">
        <f t="shared" si="73"/>
        <v>8.4559559001210496E-2</v>
      </c>
      <c r="G189" s="82">
        <f t="shared" si="73"/>
        <v>4.5709675069630765E-2</v>
      </c>
      <c r="H189" s="82">
        <f t="shared" si="68"/>
        <v>5.2201193797586407E-2</v>
      </c>
      <c r="I189" s="3">
        <f>+F189-H189</f>
        <v>3.235836520362409E-2</v>
      </c>
      <c r="J189" s="3"/>
      <c r="K189" s="21"/>
      <c r="L189" s="1"/>
    </row>
    <row r="190" spans="1:18" ht="15">
      <c r="A190" s="140" t="str">
        <f t="shared" si="70"/>
        <v>Customer Accounts</v>
      </c>
      <c r="B190" s="82"/>
      <c r="C190" s="82">
        <f t="shared" ref="C190:G190" si="74">C148/C$139</f>
        <v>3.8434284657643272E-2</v>
      </c>
      <c r="D190" s="82">
        <f t="shared" si="74"/>
        <v>3.9126072894468206E-2</v>
      </c>
      <c r="E190" s="82">
        <f t="shared" si="74"/>
        <v>3.6168037109715216E-2</v>
      </c>
      <c r="F190" s="82">
        <f t="shared" si="74"/>
        <v>3.9862128182520142E-2</v>
      </c>
      <c r="G190" s="82">
        <f t="shared" si="74"/>
        <v>3.6422656522226475E-2</v>
      </c>
      <c r="H190" s="82">
        <f t="shared" si="68"/>
        <v>3.7934610024848499E-2</v>
      </c>
      <c r="I190" s="2"/>
      <c r="J190" s="3"/>
      <c r="K190" s="21"/>
      <c r="L190" s="1"/>
    </row>
    <row r="191" spans="1:18" ht="15">
      <c r="A191" s="140" t="str">
        <f>A149</f>
        <v>Depreciation and Amortization</v>
      </c>
      <c r="B191" s="82" t="e">
        <f t="shared" ref="B191:C195" si="75">B149/B$139</f>
        <v>#DIV/0!</v>
      </c>
      <c r="C191" s="82">
        <f t="shared" si="75"/>
        <v>0.11558593150609779</v>
      </c>
      <c r="D191" s="82">
        <f t="shared" ref="D191:E195" si="76">D149/D$139</f>
        <v>0.11184854533579544</v>
      </c>
      <c r="E191" s="82">
        <f t="shared" si="76"/>
        <v>0.1130296166138231</v>
      </c>
      <c r="F191" s="82">
        <f t="shared" ref="F191:G195" si="77">F149/F$139</f>
        <v>0.1212774763246881</v>
      </c>
      <c r="G191" s="82">
        <f t="shared" si="77"/>
        <v>0.11352704324485974</v>
      </c>
      <c r="H191" s="82">
        <f t="shared" ref="H191:H205" si="78">SUM(C149:G149)/SUM(C$139:G$139)</f>
        <v>0.11512643658469759</v>
      </c>
      <c r="I191" s="2"/>
      <c r="J191" s="3"/>
      <c r="K191" s="1">
        <f>AVERAGE(E191:G191)</f>
        <v>0.11594471206112365</v>
      </c>
      <c r="L191" s="1"/>
      <c r="M191" s="1"/>
      <c r="N191" s="1"/>
      <c r="O191" s="1"/>
      <c r="P191" s="1"/>
      <c r="Q191" s="1"/>
      <c r="R191" s="1"/>
    </row>
    <row r="192" spans="1:18" ht="15">
      <c r="A192" s="140" t="str">
        <f>A150</f>
        <v>Administrative and General</v>
      </c>
      <c r="B192" s="82" t="e">
        <f t="shared" si="75"/>
        <v>#DIV/0!</v>
      </c>
      <c r="C192" s="82">
        <f t="shared" si="75"/>
        <v>0.20114336589073067</v>
      </c>
      <c r="D192" s="82">
        <f t="shared" si="76"/>
        <v>0.19912113287536196</v>
      </c>
      <c r="E192" s="82">
        <f t="shared" si="76"/>
        <v>0.18700553073221965</v>
      </c>
      <c r="F192" s="82">
        <f t="shared" si="77"/>
        <v>0.19603807066108922</v>
      </c>
      <c r="G192" s="82">
        <f t="shared" si="77"/>
        <v>0.20488292900530439</v>
      </c>
      <c r="H192" s="82">
        <f t="shared" si="78"/>
        <v>0.19777335810582358</v>
      </c>
      <c r="I192" s="2"/>
      <c r="J192" s="3"/>
      <c r="K192" s="1">
        <f>AVERAGE(E192:G192)</f>
        <v>0.19597551013287107</v>
      </c>
    </row>
    <row r="193" spans="1:17" ht="15">
      <c r="A193" s="140" t="str">
        <f>A151</f>
        <v>Taxes</v>
      </c>
      <c r="B193" s="141" t="e">
        <f t="shared" si="75"/>
        <v>#DIV/0!</v>
      </c>
      <c r="C193" s="141">
        <f t="shared" si="75"/>
        <v>2.319815510866529E-2</v>
      </c>
      <c r="D193" s="141">
        <f t="shared" si="76"/>
        <v>1.9889822024850869E-2</v>
      </c>
      <c r="E193" s="141">
        <f t="shared" si="76"/>
        <v>2.0563035624283216E-2</v>
      </c>
      <c r="F193" s="141">
        <f t="shared" si="77"/>
        <v>2.0010073187003267E-2</v>
      </c>
      <c r="G193" s="141">
        <f t="shared" si="77"/>
        <v>1.8605890122714394E-2</v>
      </c>
      <c r="H193" s="142">
        <f t="shared" si="78"/>
        <v>2.0291699892338984E-2</v>
      </c>
      <c r="I193" s="2"/>
      <c r="J193" s="3"/>
      <c r="K193" s="1">
        <f>AVERAGE(E193:G193)</f>
        <v>1.9726332978000291E-2</v>
      </c>
    </row>
    <row r="194" spans="1:17" ht="15">
      <c r="A194" s="143" t="s">
        <v>41</v>
      </c>
      <c r="B194" s="141" t="e">
        <f t="shared" si="75"/>
        <v>#DIV/0!</v>
      </c>
      <c r="C194" s="141">
        <f t="shared" si="75"/>
        <v>0.85709263082206111</v>
      </c>
      <c r="D194" s="141">
        <f t="shared" si="76"/>
        <v>0.82783389784777162</v>
      </c>
      <c r="E194" s="141">
        <f t="shared" si="76"/>
        <v>0.85336781659702843</v>
      </c>
      <c r="F194" s="141">
        <f t="shared" si="77"/>
        <v>0.92270025591383753</v>
      </c>
      <c r="G194" s="141">
        <f t="shared" si="77"/>
        <v>0.82125922317956923</v>
      </c>
      <c r="H194" s="144">
        <f t="shared" si="78"/>
        <v>0.85651522782383871</v>
      </c>
      <c r="I194" s="2"/>
      <c r="J194" s="3"/>
      <c r="K194" s="1" t="e">
        <f>+K193+K192+K191+#REF!+K184</f>
        <v>#REF!</v>
      </c>
    </row>
    <row r="195" spans="1:17" ht="15">
      <c r="A195" s="143" t="s">
        <v>11</v>
      </c>
      <c r="B195" s="82" t="e">
        <f t="shared" si="75"/>
        <v>#DIV/0!</v>
      </c>
      <c r="C195" s="82">
        <f t="shared" si="75"/>
        <v>0.14290736917793895</v>
      </c>
      <c r="D195" s="82">
        <f t="shared" si="76"/>
        <v>0.17216610215222841</v>
      </c>
      <c r="E195" s="82">
        <f t="shared" si="76"/>
        <v>0.14663218340297152</v>
      </c>
      <c r="F195" s="82">
        <f t="shared" si="77"/>
        <v>7.7299744086162428E-2</v>
      </c>
      <c r="G195" s="82">
        <f t="shared" si="77"/>
        <v>0.17874077682043074</v>
      </c>
      <c r="H195" s="82">
        <f t="shared" si="78"/>
        <v>0.14348477217616126</v>
      </c>
      <c r="I195" s="2"/>
      <c r="J195" s="3"/>
      <c r="K195" s="1">
        <f>AVERAGE(E195:G195)-0.01</f>
        <v>0.1242242347698549</v>
      </c>
    </row>
    <row r="196" spans="1:17" ht="15">
      <c r="A196" s="143"/>
      <c r="B196" s="82"/>
      <c r="C196" s="82"/>
      <c r="D196" s="82"/>
      <c r="E196" s="82"/>
      <c r="F196" s="82"/>
      <c r="G196" s="82"/>
      <c r="H196" s="82"/>
      <c r="I196" s="2"/>
      <c r="J196" s="3"/>
    </row>
    <row r="197" spans="1:17" ht="15">
      <c r="A197" s="140" t="str">
        <f>A155</f>
        <v>Interest expense (net)</v>
      </c>
      <c r="B197" s="145" t="e">
        <f t="shared" ref="B197:C201" si="79">B155/B$139</f>
        <v>#DIV/0!</v>
      </c>
      <c r="C197" s="145">
        <f t="shared" si="79"/>
        <v>7.1346190316659744E-2</v>
      </c>
      <c r="D197" s="145">
        <f t="shared" ref="D197:E201" si="80">D155/D$139</f>
        <v>7.2614011237523854E-2</v>
      </c>
      <c r="E197" s="145">
        <f t="shared" si="80"/>
        <v>8.1164401288039645E-2</v>
      </c>
      <c r="F197" s="145">
        <f t="shared" ref="F197:G201" si="81">F155/F$139</f>
        <v>9.2394073923449074E-2</v>
      </c>
      <c r="G197" s="145">
        <f t="shared" si="81"/>
        <v>8.9756177396907721E-2</v>
      </c>
      <c r="H197" s="82">
        <f t="shared" si="78"/>
        <v>8.2442549634206039E-2</v>
      </c>
      <c r="I197" s="3"/>
      <c r="J197" s="3"/>
      <c r="K197" s="1">
        <f t="shared" ref="K197:K201" si="82">AVERAGE(E197:G197)</f>
        <v>8.7771550869465476E-2</v>
      </c>
    </row>
    <row r="198" spans="1:17" ht="15">
      <c r="A198" s="140" t="str">
        <f t="shared" ref="A198:A209" si="83">A156</f>
        <v>Interest and Other Income</v>
      </c>
      <c r="B198" s="145" t="e">
        <f t="shared" si="79"/>
        <v>#DIV/0!</v>
      </c>
      <c r="C198" s="145">
        <f t="shared" si="79"/>
        <v>-1.0885187484213519E-2</v>
      </c>
      <c r="D198" s="145">
        <f t="shared" si="80"/>
        <v>-1.5538437548172674E-2</v>
      </c>
      <c r="E198" s="145">
        <f t="shared" si="80"/>
        <v>-8.1958732475710082E-3</v>
      </c>
      <c r="F198" s="145">
        <f t="shared" si="81"/>
        <v>-1.8257881042500843E-2</v>
      </c>
      <c r="G198" s="145">
        <f t="shared" si="81"/>
        <v>-1.7134512243380719E-2</v>
      </c>
      <c r="H198" s="82">
        <f>SUM(D156:G156)/SUM(D$139:G$139)</f>
        <v>-1.4948858619846784E-2</v>
      </c>
      <c r="I198" s="2"/>
      <c r="J198" s="3"/>
      <c r="K198" s="1">
        <f t="shared" si="82"/>
        <v>-1.4529422177817525E-2</v>
      </c>
    </row>
    <row r="199" spans="1:17" ht="15">
      <c r="A199" s="140" t="str">
        <f t="shared" si="83"/>
        <v>Loss (Gain) on Sale of Assets</v>
      </c>
      <c r="B199" s="145" t="e">
        <f t="shared" si="79"/>
        <v>#DIV/0!</v>
      </c>
      <c r="C199" s="145">
        <f t="shared" si="79"/>
        <v>-1.4234636603916188E-3</v>
      </c>
      <c r="D199" s="145">
        <f t="shared" si="80"/>
        <v>-2.6587651851261327E-3</v>
      </c>
      <c r="E199" s="145">
        <f t="shared" si="80"/>
        <v>-6.0747778898392424E-4</v>
      </c>
      <c r="F199" s="145">
        <f t="shared" si="81"/>
        <v>-1.8592663515198675E-3</v>
      </c>
      <c r="G199" s="145">
        <f>G157/G$139</f>
        <v>-8.0986444289030027E-2</v>
      </c>
      <c r="H199" s="82">
        <f t="shared" si="78"/>
        <v>-2.0632856021880849E-2</v>
      </c>
      <c r="I199" s="2"/>
      <c r="J199" s="3">
        <f>+G199-H199</f>
        <v>-6.0353588267149177E-2</v>
      </c>
      <c r="K199" s="1">
        <f t="shared" si="82"/>
        <v>-2.7817729476511274E-2</v>
      </c>
    </row>
    <row r="200" spans="1:17" ht="15">
      <c r="A200" s="140" t="str">
        <f t="shared" si="83"/>
        <v>Other (Income) Expense</v>
      </c>
      <c r="B200" s="141" t="e">
        <f t="shared" si="79"/>
        <v>#DIV/0!</v>
      </c>
      <c r="C200" s="141">
        <f t="shared" si="79"/>
        <v>2.1988287580039373E-3</v>
      </c>
      <c r="D200" s="141">
        <f t="shared" si="80"/>
        <v>1.4330006403799277E-3</v>
      </c>
      <c r="E200" s="141">
        <f t="shared" si="80"/>
        <v>-5.0478428148595022E-3</v>
      </c>
      <c r="F200" s="141">
        <f t="shared" si="81"/>
        <v>9.3865506908582348E-4</v>
      </c>
      <c r="G200" s="141">
        <f t="shared" si="81"/>
        <v>3.2997126798880415E-3</v>
      </c>
      <c r="H200" s="142">
        <f t="shared" si="78"/>
        <v>6.1591686129415697E-4</v>
      </c>
      <c r="I200" s="2"/>
      <c r="J200" s="3"/>
      <c r="K200" s="1">
        <f t="shared" si="82"/>
        <v>-2.6982502196187921E-4</v>
      </c>
    </row>
    <row r="201" spans="1:17" ht="15">
      <c r="A201" s="140" t="str">
        <f t="shared" si="83"/>
        <v>Total Other (Income)/Expense</v>
      </c>
      <c r="B201" s="145" t="e">
        <f t="shared" si="79"/>
        <v>#DIV/0!</v>
      </c>
      <c r="C201" s="145">
        <f t="shared" si="79"/>
        <v>6.1236367930058544E-2</v>
      </c>
      <c r="D201" s="145">
        <f t="shared" si="80"/>
        <v>5.5849809144604974E-2</v>
      </c>
      <c r="E201" s="145">
        <f t="shared" si="80"/>
        <v>6.7313207436625222E-2</v>
      </c>
      <c r="F201" s="145">
        <f t="shared" si="81"/>
        <v>7.3215581598514184E-2</v>
      </c>
      <c r="G201" s="145">
        <f t="shared" si="81"/>
        <v>-5.0650664556149807E-3</v>
      </c>
      <c r="H201" s="82">
        <f t="shared" si="78"/>
        <v>4.8152382531018958E-2</v>
      </c>
      <c r="I201" s="7"/>
      <c r="J201" s="3"/>
      <c r="K201" s="1">
        <f t="shared" si="82"/>
        <v>4.5154574193174812E-2</v>
      </c>
    </row>
    <row r="202" spans="1:17" ht="15">
      <c r="A202" s="140"/>
      <c r="B202" s="145"/>
      <c r="C202" s="145"/>
      <c r="D202" s="145"/>
      <c r="E202" s="145"/>
      <c r="F202" s="145"/>
      <c r="G202" s="145"/>
      <c r="H202" s="82"/>
      <c r="I202" s="7"/>
      <c r="J202" s="3"/>
    </row>
    <row r="203" spans="1:17" ht="15">
      <c r="A203" s="140" t="str">
        <f t="shared" si="83"/>
        <v>Earnings Before Taxes</v>
      </c>
      <c r="B203" s="82" t="e">
        <f t="shared" ref="B203:C206" si="84">B161/B$139</f>
        <v>#DIV/0!</v>
      </c>
      <c r="C203" s="82">
        <f t="shared" si="84"/>
        <v>8.1671001247880404E-2</v>
      </c>
      <c r="D203" s="82">
        <f t="shared" ref="D203:E206" si="85">D161/D$139</f>
        <v>0.11631629300762344</v>
      </c>
      <c r="E203" s="82">
        <f t="shared" si="85"/>
        <v>7.9318975966346308E-2</v>
      </c>
      <c r="F203" s="82">
        <f t="shared" ref="F203:G206" si="86">F161/F$139</f>
        <v>4.0841624876482444E-3</v>
      </c>
      <c r="G203" s="82">
        <f t="shared" si="86"/>
        <v>0.18380584327604574</v>
      </c>
      <c r="H203" s="82">
        <f t="shared" si="78"/>
        <v>9.533238964514229E-2</v>
      </c>
      <c r="I203" s="2"/>
      <c r="J203" s="3"/>
      <c r="K203" s="1">
        <f>AVERAGE(E203:G203)-0.01</f>
        <v>7.9069660576680093E-2</v>
      </c>
    </row>
    <row r="204" spans="1:17" ht="15">
      <c r="A204" s="140" t="str">
        <f t="shared" si="83"/>
        <v xml:space="preserve">Other Capital Credits </v>
      </c>
      <c r="B204" s="82" t="e">
        <f t="shared" si="84"/>
        <v>#DIV/0!</v>
      </c>
      <c r="C204" s="82">
        <f t="shared" si="84"/>
        <v>6.8174621939024009E-3</v>
      </c>
      <c r="D204" s="82">
        <f t="shared" si="85"/>
        <v>1.1059410420955011E-2</v>
      </c>
      <c r="E204" s="82">
        <f t="shared" si="85"/>
        <v>8.628752233035249E-3</v>
      </c>
      <c r="F204" s="82">
        <f t="shared" si="86"/>
        <v>8.8000736013620785E-3</v>
      </c>
      <c r="G204" s="82">
        <f t="shared" si="86"/>
        <v>7.2771843238054112E-3</v>
      </c>
      <c r="H204" s="82">
        <f t="shared" si="78"/>
        <v>8.4821509701240392E-3</v>
      </c>
      <c r="I204" s="2"/>
      <c r="J204" s="3"/>
      <c r="K204" s="1">
        <f t="shared" ref="K204:K205" si="87">AVERAGE(E204:G204)</f>
        <v>8.2353367194009132E-3</v>
      </c>
      <c r="Q204" t="s">
        <v>58</v>
      </c>
    </row>
    <row r="205" spans="1:17" ht="15">
      <c r="A205" s="140" t="str">
        <f t="shared" si="83"/>
        <v>Income Taxes</v>
      </c>
      <c r="B205" s="141" t="e">
        <f t="shared" si="84"/>
        <v>#DIV/0!</v>
      </c>
      <c r="C205" s="141">
        <f t="shared" si="84"/>
        <v>0</v>
      </c>
      <c r="D205" s="141">
        <f t="shared" si="85"/>
        <v>2.6523288857229943E-3</v>
      </c>
      <c r="E205" s="141">
        <f t="shared" si="85"/>
        <v>6.2508355737359283E-3</v>
      </c>
      <c r="F205" s="141">
        <f t="shared" si="86"/>
        <v>3.4539805376691867E-3</v>
      </c>
      <c r="G205" s="141">
        <f t="shared" si="86"/>
        <v>1.5236284455949559E-3</v>
      </c>
      <c r="H205" s="142">
        <f t="shared" si="78"/>
        <v>2.8266081177170956E-3</v>
      </c>
      <c r="I205" s="2"/>
      <c r="J205" s="3"/>
      <c r="K205" s="1">
        <f t="shared" si="87"/>
        <v>3.7428148523333572E-3</v>
      </c>
      <c r="L205" s="1"/>
      <c r="M205" s="1"/>
      <c r="N205" s="1"/>
      <c r="O205" s="1"/>
      <c r="P205" s="1"/>
      <c r="Q205" s="1">
        <f>AVERAGE(K205:P205)</f>
        <v>3.7428148523333572E-3</v>
      </c>
    </row>
    <row r="206" spans="1:17" ht="15.75" thickBot="1">
      <c r="A206" s="140" t="str">
        <f t="shared" si="83"/>
        <v>Net Margin</v>
      </c>
      <c r="B206" s="146" t="e">
        <f t="shared" si="84"/>
        <v>#DIV/0!</v>
      </c>
      <c r="C206" s="146">
        <f t="shared" si="84"/>
        <v>8.8488463441782794E-2</v>
      </c>
      <c r="D206" s="146">
        <f t="shared" si="85"/>
        <v>0.12472337454285547</v>
      </c>
      <c r="E206" s="146">
        <f t="shared" si="85"/>
        <v>8.169689262564564E-2</v>
      </c>
      <c r="F206" s="146">
        <f t="shared" si="86"/>
        <v>9.4302555513411362E-3</v>
      </c>
      <c r="G206" s="146">
        <f t="shared" si="86"/>
        <v>0.18955939915425618</v>
      </c>
      <c r="H206" s="147">
        <f>SUM(C164:G164)/SUM(C$139:G$139)</f>
        <v>0.10098793249754924</v>
      </c>
      <c r="I206" s="3">
        <f>SUM(I186:I205)</f>
        <v>7.0994323844956186E-2</v>
      </c>
      <c r="J206" s="3">
        <f>SUM(J186:J205)</f>
        <v>-9.1414749421483962E-2</v>
      </c>
      <c r="K206" s="1">
        <f>AVERAGE(E206:G206)-0.01</f>
        <v>8.3562182443747662E-2</v>
      </c>
    </row>
    <row r="207" spans="1:17" ht="15.75" thickTop="1">
      <c r="A207" s="140"/>
      <c r="B207" s="143"/>
      <c r="C207" s="143"/>
      <c r="D207" s="143"/>
      <c r="E207" s="143"/>
      <c r="F207" s="143"/>
      <c r="G207" s="143"/>
      <c r="H207" s="82"/>
      <c r="I207" s="3">
        <f>+I206+F206</f>
        <v>8.0424579396297324E-2</v>
      </c>
      <c r="J207" s="3">
        <f>+G206+J206</f>
        <v>9.8144649732772218E-2</v>
      </c>
    </row>
    <row r="208" spans="1:17" ht="15">
      <c r="A208" s="140" t="str">
        <f t="shared" si="83"/>
        <v>Preferred Stock Dividends</v>
      </c>
      <c r="B208" s="82" t="e">
        <f>B166/B$164</f>
        <v>#DIV/0!</v>
      </c>
      <c r="C208" s="82"/>
      <c r="D208" s="82"/>
      <c r="E208" s="82"/>
      <c r="F208" s="82"/>
      <c r="G208" s="82"/>
      <c r="H208" s="82"/>
      <c r="I208" s="2"/>
      <c r="J208" s="2"/>
    </row>
    <row r="209" spans="1:11" ht="12" customHeight="1">
      <c r="A209" s="140" t="str">
        <f t="shared" si="83"/>
        <v>Return of Patrons Capital</v>
      </c>
      <c r="B209" s="82" t="e">
        <f>B167/B$164</f>
        <v>#DIV/0!</v>
      </c>
      <c r="C209" s="82">
        <f>-C167/C164</f>
        <v>0.46684169820984744</v>
      </c>
      <c r="D209" s="82">
        <f>-C167/D$164</f>
        <v>0.30316933971663457</v>
      </c>
      <c r="E209" s="82">
        <f>-E167/D$164</f>
        <v>0.21404871269524164</v>
      </c>
      <c r="F209" s="82">
        <f t="shared" ref="F209:G209" si="88">-F167/E$164</f>
        <v>0</v>
      </c>
      <c r="G209" s="82">
        <f t="shared" si="88"/>
        <v>0</v>
      </c>
      <c r="H209" s="82">
        <f>-SUM(C167:G167)/SUM(C$164:G$164)</f>
        <v>0.16885651467556545</v>
      </c>
      <c r="I209" s="2"/>
      <c r="J209" s="2"/>
      <c r="K209" s="1"/>
    </row>
    <row r="210" spans="1:11" ht="15">
      <c r="A210" s="143"/>
      <c r="B210" s="143"/>
      <c r="C210" s="143"/>
      <c r="D210" s="143"/>
      <c r="E210" s="143"/>
      <c r="F210" s="143"/>
      <c r="G210" s="143"/>
      <c r="H210" s="82"/>
      <c r="I210" s="2"/>
      <c r="J210" s="2"/>
    </row>
    <row r="211" spans="1:11" ht="15">
      <c r="A211" s="143"/>
      <c r="B211" s="143"/>
      <c r="C211" s="143"/>
      <c r="D211" s="143"/>
      <c r="E211" s="143"/>
      <c r="F211" s="143"/>
      <c r="G211" s="143"/>
      <c r="H211" s="148" t="str">
        <f>H169</f>
        <v>Exhibit 1</v>
      </c>
      <c r="I211" s="2"/>
      <c r="J211" s="2"/>
    </row>
    <row r="212" spans="1:11" ht="15">
      <c r="A212" s="143"/>
      <c r="B212" s="143"/>
      <c r="C212" s="143"/>
      <c r="D212" s="143"/>
      <c r="E212" s="143"/>
      <c r="F212" s="143"/>
      <c r="G212" s="143"/>
      <c r="H212" s="149" t="s">
        <v>132</v>
      </c>
      <c r="I212" s="2"/>
      <c r="J212" s="2"/>
    </row>
    <row r="213" spans="1:11" ht="18">
      <c r="A213" s="150" t="str">
        <f>A3</f>
        <v>Garkane Energy Cooperative, Inc.</v>
      </c>
      <c r="B213" s="151"/>
      <c r="C213" s="151"/>
      <c r="D213" s="151"/>
      <c r="E213" s="151"/>
      <c r="F213" s="151"/>
      <c r="G213" s="151"/>
      <c r="H213" s="151"/>
      <c r="I213" s="2"/>
      <c r="J213" s="2"/>
    </row>
    <row r="214" spans="1:11" ht="15.75">
      <c r="A214" s="152" t="s">
        <v>45</v>
      </c>
      <c r="B214" s="151"/>
      <c r="C214" s="151"/>
      <c r="D214" s="151"/>
      <c r="E214" s="151"/>
      <c r="F214" s="151"/>
      <c r="G214" s="151"/>
      <c r="H214" s="153"/>
      <c r="I214" s="2"/>
      <c r="J214" s="2"/>
    </row>
    <row r="215" spans="1:11" ht="15.75">
      <c r="A215" s="154" t="str">
        <f>A5</f>
        <v>Years Ended December 31</v>
      </c>
      <c r="B215" s="151"/>
      <c r="C215" s="151"/>
      <c r="D215" s="151"/>
      <c r="E215" s="151"/>
      <c r="F215" s="151"/>
      <c r="G215" s="151"/>
      <c r="H215" s="153"/>
      <c r="I215" s="2"/>
      <c r="J215" s="2"/>
    </row>
    <row r="216" spans="1:11" ht="15.75">
      <c r="A216" s="152"/>
      <c r="B216" s="151"/>
      <c r="C216" s="151"/>
      <c r="D216" s="151"/>
      <c r="E216" s="151"/>
      <c r="F216" s="151"/>
      <c r="G216" s="151"/>
      <c r="H216" s="153"/>
      <c r="I216" s="2"/>
      <c r="J216" s="2"/>
    </row>
    <row r="217" spans="1:11">
      <c r="A217" s="155"/>
      <c r="B217" s="155"/>
      <c r="C217" s="155"/>
      <c r="D217" s="155"/>
      <c r="E217" s="155"/>
      <c r="F217" s="155"/>
      <c r="G217" s="155"/>
      <c r="H217" s="156"/>
      <c r="I217" s="2"/>
      <c r="J217" s="2"/>
    </row>
    <row r="218" spans="1:11" ht="15.75">
      <c r="A218" s="157"/>
      <c r="B218" s="157"/>
      <c r="C218" s="157"/>
      <c r="D218" s="158"/>
      <c r="E218" s="158"/>
      <c r="F218" s="158"/>
      <c r="G218" s="159"/>
      <c r="H218" s="160" t="str">
        <f>H7</f>
        <v>2005 to 2009</v>
      </c>
      <c r="I218" s="2"/>
      <c r="J218" s="2"/>
    </row>
    <row r="219" spans="1:11" ht="15.75">
      <c r="A219" s="161" t="s">
        <v>25</v>
      </c>
      <c r="B219" s="162">
        <f t="shared" ref="B219" si="89">+B177</f>
        <v>2004</v>
      </c>
      <c r="C219" s="162">
        <f t="shared" ref="C219:E219" si="90">+C177</f>
        <v>2005</v>
      </c>
      <c r="D219" s="162">
        <f t="shared" si="90"/>
        <v>2006</v>
      </c>
      <c r="E219" s="162">
        <f t="shared" si="90"/>
        <v>2007</v>
      </c>
      <c r="F219" s="162">
        <f>+F177</f>
        <v>2008</v>
      </c>
      <c r="G219" s="163">
        <f>G177</f>
        <v>2009</v>
      </c>
      <c r="H219" s="164" t="s">
        <v>2</v>
      </c>
      <c r="I219" s="2"/>
      <c r="J219" s="2"/>
    </row>
    <row r="220" spans="1:11" ht="7.5" customHeight="1">
      <c r="A220" s="165"/>
      <c r="B220" s="166"/>
      <c r="C220" s="166"/>
      <c r="D220" s="166"/>
      <c r="E220" s="166"/>
      <c r="F220" s="167"/>
      <c r="G220" s="167"/>
      <c r="H220" s="168"/>
      <c r="I220" s="7"/>
      <c r="J220" s="7"/>
    </row>
    <row r="221" spans="1:11" ht="15">
      <c r="A221" s="169" t="s">
        <v>33</v>
      </c>
      <c r="B221" s="170"/>
      <c r="C221" s="170"/>
      <c r="D221" s="170"/>
      <c r="E221" s="170"/>
      <c r="F221" s="170"/>
      <c r="G221" s="170"/>
      <c r="H221" s="82"/>
      <c r="I221" s="2"/>
      <c r="J221" s="2"/>
    </row>
    <row r="222" spans="1:11" ht="15">
      <c r="A222" s="143" t="s">
        <v>5</v>
      </c>
      <c r="B222" s="171" t="e">
        <f t="shared" ref="B222:G222" si="91">B34/B58</f>
        <v>#DIV/0!</v>
      </c>
      <c r="C222" s="171">
        <f t="shared" si="91"/>
        <v>2.0310332859112137</v>
      </c>
      <c r="D222" s="171">
        <f t="shared" si="91"/>
        <v>1.8824499781689377</v>
      </c>
      <c r="E222" s="171">
        <f t="shared" si="91"/>
        <v>1.8395737145668531</v>
      </c>
      <c r="F222" s="171">
        <f t="shared" si="91"/>
        <v>1.8001104455985026</v>
      </c>
      <c r="G222" s="171">
        <f t="shared" si="91"/>
        <v>1.5955303312975</v>
      </c>
      <c r="H222" s="171">
        <f>AVERAGE(C222:G222)</f>
        <v>1.8297395511086012</v>
      </c>
      <c r="I222" s="2"/>
      <c r="J222" s="2"/>
    </row>
    <row r="223" spans="1:11" ht="15">
      <c r="A223" s="143" t="s">
        <v>24</v>
      </c>
      <c r="B223" s="171" t="e">
        <f t="shared" ref="B223:G223" si="92">(B30+B31)/B58</f>
        <v>#DIV/0!</v>
      </c>
      <c r="C223" s="171">
        <f t="shared" si="92"/>
        <v>1.4075673049403463</v>
      </c>
      <c r="D223" s="171">
        <f t="shared" si="92"/>
        <v>1.1435264237849938</v>
      </c>
      <c r="E223" s="171">
        <f t="shared" si="92"/>
        <v>1.1105204033619065</v>
      </c>
      <c r="F223" s="171">
        <f t="shared" si="92"/>
        <v>1.0508981521378802</v>
      </c>
      <c r="G223" s="171">
        <f t="shared" si="92"/>
        <v>0.92117570587403785</v>
      </c>
      <c r="H223" s="171">
        <f t="shared" ref="H223:H246" si="93">AVERAGE(C223:G223)</f>
        <v>1.1267375980198331</v>
      </c>
      <c r="I223" s="2"/>
      <c r="J223" s="2"/>
    </row>
    <row r="224" spans="1:11" ht="15">
      <c r="A224" s="143" t="s">
        <v>8</v>
      </c>
      <c r="B224" s="171"/>
      <c r="C224" s="171"/>
      <c r="D224" s="171">
        <f>365*(((C31+D31)/2)/((C139+D139)/2))</f>
        <v>50.270056501235388</v>
      </c>
      <c r="E224" s="171">
        <f>365*(((D31+E31)/2)/((D139+E139)/2))</f>
        <v>50.86568523202093</v>
      </c>
      <c r="F224" s="171">
        <f>365*(((E31+F31)/2)/((E139+F139)/2))</f>
        <v>46.74938303287383</v>
      </c>
      <c r="G224" s="171">
        <f>365*(((F31+G31)/2)/((F139+G139)/2))</f>
        <v>53.009191644197308</v>
      </c>
      <c r="H224" s="171">
        <f t="shared" si="93"/>
        <v>50.223579102581859</v>
      </c>
      <c r="I224" s="2"/>
      <c r="J224" s="2"/>
    </row>
    <row r="225" spans="1:10" ht="15">
      <c r="A225" s="143"/>
      <c r="B225" s="171"/>
      <c r="C225" s="171"/>
      <c r="D225" s="171"/>
      <c r="E225" s="171"/>
      <c r="F225" s="171"/>
      <c r="G225" s="171"/>
      <c r="H225" s="171"/>
      <c r="I225" s="2"/>
      <c r="J225" s="2"/>
    </row>
    <row r="226" spans="1:10" ht="15">
      <c r="A226" s="169" t="s">
        <v>14</v>
      </c>
      <c r="B226" s="171"/>
      <c r="C226" s="171"/>
      <c r="D226" s="171"/>
      <c r="E226" s="171"/>
      <c r="F226" s="171"/>
      <c r="G226" s="171"/>
      <c r="H226" s="171"/>
      <c r="I226" s="2"/>
      <c r="J226" s="2"/>
    </row>
    <row r="227" spans="1:10" ht="15">
      <c r="A227" s="143" t="s">
        <v>17</v>
      </c>
      <c r="B227" s="171" t="e">
        <f t="shared" ref="B227:G227" si="94">B41/B60</f>
        <v>#DIV/0!</v>
      </c>
      <c r="C227" s="171">
        <f t="shared" si="94"/>
        <v>0.76559305021056623</v>
      </c>
      <c r="D227" s="171">
        <f t="shared" si="94"/>
        <v>0.75891769661882336</v>
      </c>
      <c r="E227" s="171">
        <f t="shared" si="94"/>
        <v>0.65952555484905273</v>
      </c>
      <c r="F227" s="171">
        <f t="shared" si="94"/>
        <v>0.56620797722006355</v>
      </c>
      <c r="G227" s="171">
        <f t="shared" si="94"/>
        <v>0.62374612434901755</v>
      </c>
      <c r="H227" s="171">
        <f t="shared" si="93"/>
        <v>0.67479808064950464</v>
      </c>
      <c r="I227" s="2"/>
      <c r="J227" s="2"/>
    </row>
    <row r="228" spans="1:10" ht="15">
      <c r="A228" s="143" t="s">
        <v>16</v>
      </c>
      <c r="B228" s="171" t="e">
        <f t="shared" ref="B228:G228" si="95">B41/B50</f>
        <v>#DIV/0!</v>
      </c>
      <c r="C228" s="171">
        <f t="shared" si="95"/>
        <v>0.88434954992206316</v>
      </c>
      <c r="D228" s="171">
        <f t="shared" si="95"/>
        <v>0.88635934920197534</v>
      </c>
      <c r="E228" s="171">
        <f t="shared" si="95"/>
        <v>0.76271331464821346</v>
      </c>
      <c r="F228" s="171">
        <f t="shared" si="95"/>
        <v>0.64760922614483185</v>
      </c>
      <c r="G228" s="171">
        <f t="shared" si="95"/>
        <v>0.7127995379794998</v>
      </c>
      <c r="H228" s="171">
        <f t="shared" si="93"/>
        <v>0.7787661955793167</v>
      </c>
      <c r="I228" s="2"/>
      <c r="J228" s="2"/>
    </row>
    <row r="229" spans="1:10" ht="15">
      <c r="A229" s="143" t="s">
        <v>15</v>
      </c>
      <c r="B229" s="171" t="e">
        <f t="shared" ref="B229:G229" si="96">B41/B20</f>
        <v>#DIV/0!</v>
      </c>
      <c r="C229" s="171">
        <f t="shared" si="96"/>
        <v>0.54875211079109221</v>
      </c>
      <c r="D229" s="171">
        <f t="shared" si="96"/>
        <v>0.54585506863878297</v>
      </c>
      <c r="E229" s="171">
        <f t="shared" si="96"/>
        <v>0.49839035810684024</v>
      </c>
      <c r="F229" s="171">
        <f t="shared" si="96"/>
        <v>0.44982114918371913</v>
      </c>
      <c r="G229" s="171">
        <f t="shared" si="96"/>
        <v>0.46610989632096483</v>
      </c>
      <c r="H229" s="171">
        <f t="shared" si="93"/>
        <v>0.50178571660827997</v>
      </c>
      <c r="I229" s="2"/>
      <c r="J229" s="2"/>
    </row>
    <row r="230" spans="1:10" ht="15">
      <c r="A230" s="143" t="s">
        <v>34</v>
      </c>
      <c r="B230" s="171" t="e">
        <f t="shared" ref="B230:G230" si="97">(B161+B155)/B155</f>
        <v>#DIV/0!</v>
      </c>
      <c r="C230" s="171">
        <f t="shared" si="97"/>
        <v>2.1447142571368629</v>
      </c>
      <c r="D230" s="171">
        <f t="shared" si="97"/>
        <v>2.6018436528337121</v>
      </c>
      <c r="E230" s="171">
        <f t="shared" si="97"/>
        <v>1.9772631191457422</v>
      </c>
      <c r="F230" s="171">
        <f t="shared" si="97"/>
        <v>1.0442037277307643</v>
      </c>
      <c r="G230" s="171">
        <f t="shared" si="97"/>
        <v>3.0478350193462918</v>
      </c>
      <c r="H230" s="171">
        <f>AVERAGE(C230:G230)</f>
        <v>2.1631719552386746</v>
      </c>
      <c r="I230" s="2"/>
      <c r="J230" s="2"/>
    </row>
    <row r="231" spans="1:10" ht="15">
      <c r="A231" s="143" t="s">
        <v>151</v>
      </c>
      <c r="B231" s="171"/>
      <c r="C231" s="171"/>
      <c r="D231" s="171"/>
      <c r="E231" s="171"/>
      <c r="F231" s="171"/>
      <c r="G231" s="171">
        <v>2.15</v>
      </c>
      <c r="H231" s="171">
        <v>1.98</v>
      </c>
      <c r="I231" s="2"/>
      <c r="J231" s="2"/>
    </row>
    <row r="232" spans="1:10" ht="15">
      <c r="A232" s="143"/>
      <c r="B232" s="171"/>
      <c r="C232" s="171"/>
      <c r="D232" s="171"/>
      <c r="E232" s="171"/>
      <c r="F232" s="171"/>
      <c r="G232" s="171"/>
      <c r="H232" s="171"/>
      <c r="I232" s="2"/>
      <c r="J232" s="2"/>
    </row>
    <row r="233" spans="1:10" ht="15">
      <c r="A233" s="169" t="s">
        <v>56</v>
      </c>
      <c r="B233" s="171"/>
      <c r="C233" s="171"/>
      <c r="D233" s="171"/>
      <c r="E233" s="171"/>
      <c r="F233" s="171"/>
      <c r="G233" s="171"/>
      <c r="H233" s="171"/>
      <c r="I233" s="2"/>
      <c r="J233" s="2"/>
    </row>
    <row r="234" spans="1:10" ht="15">
      <c r="A234" s="143" t="s">
        <v>148</v>
      </c>
      <c r="B234" s="171"/>
      <c r="C234" s="189">
        <f>+C153/C139</f>
        <v>0.14290736917793895</v>
      </c>
      <c r="D234" s="189">
        <f>+D153/D139</f>
        <v>0.17216610215222841</v>
      </c>
      <c r="E234" s="189">
        <f>+E153/E139</f>
        <v>0.14663218340297152</v>
      </c>
      <c r="F234" s="189">
        <f>+F153/F139</f>
        <v>7.7299744086162428E-2</v>
      </c>
      <c r="G234" s="189">
        <f>+G153/G139</f>
        <v>0.17874077682043074</v>
      </c>
      <c r="H234" s="145">
        <f>SUM(C153:G153)/SUM(C$139:G$139)</f>
        <v>0.14348477217616126</v>
      </c>
      <c r="I234" s="2"/>
      <c r="J234" s="2"/>
    </row>
    <row r="235" spans="1:10" ht="15">
      <c r="A235" s="143" t="s">
        <v>74</v>
      </c>
      <c r="B235" s="171"/>
      <c r="C235" s="189">
        <f>+C164/C139</f>
        <v>8.8488463441782794E-2</v>
      </c>
      <c r="D235" s="189">
        <f>+D164/D139</f>
        <v>0.12472337454285547</v>
      </c>
      <c r="E235" s="189">
        <f>+E164/E139</f>
        <v>8.169689262564564E-2</v>
      </c>
      <c r="F235" s="189">
        <f>+F164/F139</f>
        <v>9.4302555513411362E-3</v>
      </c>
      <c r="G235" s="189">
        <f>+G164/G139</f>
        <v>0.18955939915425618</v>
      </c>
      <c r="H235" s="145">
        <f>SUM(C164:G164)/SUM(C$139:G$139)</f>
        <v>0.10098793249754924</v>
      </c>
      <c r="I235" s="2"/>
      <c r="J235" s="2"/>
    </row>
    <row r="236" spans="1:10" ht="15">
      <c r="A236" s="143" t="s">
        <v>152</v>
      </c>
      <c r="B236" s="82"/>
      <c r="C236" s="82"/>
      <c r="D236" s="82"/>
      <c r="E236" s="82"/>
      <c r="F236" s="82"/>
      <c r="G236" s="82">
        <v>0.1086</v>
      </c>
      <c r="H236" s="172">
        <v>8.1600000000000006E-2</v>
      </c>
      <c r="I236" s="2"/>
      <c r="J236" s="2"/>
    </row>
    <row r="237" spans="1:10" ht="15">
      <c r="A237" s="143" t="s">
        <v>27</v>
      </c>
      <c r="B237" s="82"/>
      <c r="C237" s="82">
        <f>(C164+(C155*(1-(C163/C161))))/((B36+C36)/2)</f>
        <v>0.1042228145962622</v>
      </c>
      <c r="D237" s="82">
        <f>(D164+(D155*(1-(D163/D161))))/((C36+D36)/2)</f>
        <v>6.6900606475439162E-2</v>
      </c>
      <c r="E237" s="82">
        <f>(E164+(E155*(1-(E163/E161))))/((D36+E36)/2)</f>
        <v>5.2550420942476736E-2</v>
      </c>
      <c r="F237" s="82">
        <f>(F164+(F155*(1-(F163/F161))))/((E36+F36)/2)</f>
        <v>7.6598806381109347E-3</v>
      </c>
      <c r="G237" s="82">
        <f>(G164+(G155*(1-(G163/G161))))/((F36+G36)/2)</f>
        <v>9.0746142414224767E-2</v>
      </c>
      <c r="H237" s="172">
        <f t="shared" si="93"/>
        <v>6.4415973013302763E-2</v>
      </c>
      <c r="I237" s="2"/>
      <c r="J237" s="2"/>
    </row>
    <row r="238" spans="1:10" ht="15">
      <c r="A238" s="143" t="s">
        <v>153</v>
      </c>
      <c r="B238" s="82"/>
      <c r="C238" s="82"/>
      <c r="D238" s="82"/>
      <c r="E238" s="82"/>
      <c r="F238" s="82"/>
      <c r="G238" s="82">
        <v>6.4173481426083423E-2</v>
      </c>
      <c r="H238" s="172">
        <v>5.9101440815674498E-2</v>
      </c>
      <c r="I238" s="2"/>
      <c r="J238" s="2"/>
    </row>
    <row r="239" spans="1:10" ht="15">
      <c r="A239" s="143" t="s">
        <v>55</v>
      </c>
      <c r="B239" s="82"/>
      <c r="C239" s="82">
        <f>(C164+(C155*(1-(C163/C161))))/((B44+C44+B46+C46+B41+C41)/2)</f>
        <v>0.11580511690165672</v>
      </c>
      <c r="D239" s="82">
        <f>(D164+(D155*(1-(D163/D161))))/((C44+D44+C46+D46+C41+D41)/2)</f>
        <v>7.4763034844060744E-2</v>
      </c>
      <c r="E239" s="82">
        <f>(E164+(E155*(1-(E163/E161))))/((D44+E44+D46+E46+D41+E41)/2)</f>
        <v>5.9257254319979365E-2</v>
      </c>
      <c r="F239" s="82">
        <f>(F164+(F155*(1-(F163/F161))))/((E44+F44+E46+F46+E41+F41)/2)</f>
        <v>8.6815397069777804E-3</v>
      </c>
      <c r="G239" s="82">
        <f>(G164+(G155*(1-(G163/G161))))/((F44+G44+F46+G46+F41+G41)/2)</f>
        <v>0.10269019381593233</v>
      </c>
      <c r="H239" s="172">
        <f t="shared" si="93"/>
        <v>7.223942791772138E-2</v>
      </c>
      <c r="I239" s="2"/>
      <c r="J239" s="2"/>
    </row>
    <row r="240" spans="1:10" ht="15">
      <c r="A240" s="143" t="s">
        <v>154</v>
      </c>
      <c r="B240" s="82"/>
      <c r="C240" s="82"/>
      <c r="D240" s="82"/>
      <c r="E240" s="82"/>
      <c r="F240" s="82"/>
      <c r="G240" s="82">
        <v>7.2620026264109697E-2</v>
      </c>
      <c r="H240" s="172">
        <v>6.622539440735685E-2</v>
      </c>
      <c r="I240" s="2"/>
      <c r="J240" s="2"/>
    </row>
    <row r="241" spans="1:10" ht="15">
      <c r="A241" s="143" t="s">
        <v>78</v>
      </c>
      <c r="B241" s="82"/>
      <c r="C241" s="82">
        <f>(C164-C166)/((C41+B41)/2)</f>
        <v>0.1330672356445968</v>
      </c>
      <c r="D241" s="82">
        <f>(D164-D166)/((D41+C41)/2)</f>
        <v>9.8592001599886556E-2</v>
      </c>
      <c r="E241" s="82">
        <f>(E164-E166)/((E41+D41)/2)</f>
        <v>6.6381573767520935E-2</v>
      </c>
      <c r="F241" s="82">
        <f>(F164-F166)/((F41+E41)/2)</f>
        <v>8.056113068859231E-3</v>
      </c>
      <c r="G241" s="82">
        <f>(G164-G166)/((G41+F41)/2)</f>
        <v>0.16536275003822834</v>
      </c>
      <c r="H241" s="172">
        <f t="shared" si="93"/>
        <v>9.4291934823818369E-2</v>
      </c>
      <c r="I241" s="2"/>
      <c r="J241" s="2"/>
    </row>
    <row r="242" spans="1:10" ht="15">
      <c r="A242" s="143" t="s">
        <v>155</v>
      </c>
      <c r="B242" s="82"/>
      <c r="C242" s="82"/>
      <c r="D242" s="82"/>
      <c r="E242" s="82"/>
      <c r="F242" s="82"/>
      <c r="G242" s="82">
        <v>9.4713965524231405E-2</v>
      </c>
      <c r="H242" s="172">
        <v>8.0162177921018984E-2</v>
      </c>
      <c r="I242" s="2"/>
      <c r="J242" s="2"/>
    </row>
    <row r="243" spans="1:10" ht="15">
      <c r="A243" s="143"/>
      <c r="B243" s="171"/>
      <c r="C243" s="171"/>
      <c r="D243" s="171"/>
      <c r="E243" s="171"/>
      <c r="F243" s="171"/>
      <c r="G243" s="171"/>
      <c r="H243" s="171"/>
      <c r="I243" s="2"/>
      <c r="J243" s="2"/>
    </row>
    <row r="244" spans="1:10" ht="15">
      <c r="A244" s="169" t="s">
        <v>1</v>
      </c>
      <c r="B244" s="171"/>
      <c r="C244" s="171"/>
      <c r="D244" s="171"/>
      <c r="E244" s="171"/>
      <c r="F244" s="171"/>
      <c r="G244" s="171"/>
      <c r="H244" s="171"/>
      <c r="I244" s="2"/>
      <c r="J244" s="2"/>
    </row>
    <row r="245" spans="1:10" ht="15">
      <c r="A245" s="143" t="s">
        <v>29</v>
      </c>
      <c r="B245" s="171"/>
      <c r="C245" s="171">
        <f>C139/((B30+C30)/2)</f>
        <v>10.080537308404919</v>
      </c>
      <c r="D245" s="171">
        <f>D139/((C30+D30)/2)</f>
        <v>6.227352736160559</v>
      </c>
      <c r="E245" s="171">
        <f>E139/((D30+E30)/2)</f>
        <v>7.1341578180581351</v>
      </c>
      <c r="F245" s="171">
        <f>F139/((E30+F30)/2)</f>
        <v>6.8231311198168161</v>
      </c>
      <c r="G245" s="171">
        <f>G139/((F30+G30)/2)</f>
        <v>10.043026902493601</v>
      </c>
      <c r="H245" s="171">
        <f t="shared" si="93"/>
        <v>8.0616411769868073</v>
      </c>
      <c r="I245" s="2"/>
      <c r="J245" s="2"/>
    </row>
    <row r="246" spans="1:10" ht="15">
      <c r="A246" s="143" t="s">
        <v>28</v>
      </c>
      <c r="B246" s="171"/>
      <c r="C246" s="171">
        <f>C139/((B31+C31)/2)</f>
        <v>15.389612226355579</v>
      </c>
      <c r="D246" s="171">
        <f>D139/((C31+D31)/2)</f>
        <v>7.5817644331848202</v>
      </c>
      <c r="E246" s="171">
        <f>E139/((D31+E31)/2)</f>
        <v>7.4914333302731837</v>
      </c>
      <c r="F246" s="171">
        <f>F139/((E31+F31)/2)</f>
        <v>8.1085520667239059</v>
      </c>
      <c r="G246" s="171">
        <f>G139/((F31+G31)/2)</f>
        <v>7.2682202868816468</v>
      </c>
      <c r="H246" s="171">
        <f t="shared" si="93"/>
        <v>9.1679164686838277</v>
      </c>
      <c r="I246" s="2"/>
      <c r="J246" s="2"/>
    </row>
    <row r="247" spans="1:10" ht="15">
      <c r="A247" s="143" t="s">
        <v>32</v>
      </c>
      <c r="B247" s="171"/>
      <c r="C247" s="171">
        <f>C139/((B34+C34-B58-C58)/2)</f>
        <v>8.315269852278405</v>
      </c>
      <c r="D247" s="171">
        <f>D139/((C34+D34-C58-D58)/2)</f>
        <v>4.5493503391085479</v>
      </c>
      <c r="E247" s="171">
        <f>E139/((D34+E34-D58-E58)/2)</f>
        <v>4.7862861921362585</v>
      </c>
      <c r="F247" s="171">
        <f>F139/((E34+F34-E58-F58)/2)</f>
        <v>4.8834912881892789</v>
      </c>
      <c r="G247" s="171">
        <f>G139/((F34+G34-F58-G58)/2)</f>
        <v>5.9733884030270046</v>
      </c>
      <c r="H247" s="171">
        <f>AVERAGE(D247:G247)</f>
        <v>5.0481290556152727</v>
      </c>
      <c r="I247" s="2"/>
      <c r="J247" s="2"/>
    </row>
    <row r="248" spans="1:10" ht="15">
      <c r="A248" s="143" t="s">
        <v>30</v>
      </c>
      <c r="B248" s="171"/>
      <c r="C248" s="171">
        <f>C139/((B20+C20)/2)</f>
        <v>0.82520278459970264</v>
      </c>
      <c r="D248" s="171">
        <f>D139/((C20+D20)/2)</f>
        <v>0.43258929577503613</v>
      </c>
      <c r="E248" s="171">
        <f>E139/((C20+E20)/2)</f>
        <v>0.43876104316308684</v>
      </c>
      <c r="F248" s="171">
        <f>F139/((D20+F20)/2)</f>
        <v>0.42996645695113611</v>
      </c>
      <c r="G248" s="171">
        <f>G139/((E20+G20)/2)</f>
        <v>0.42055335648601166</v>
      </c>
      <c r="H248" s="171">
        <f>AVERAGE(D248:G248)</f>
        <v>0.43046753809381766</v>
      </c>
      <c r="I248" s="2"/>
      <c r="J248" s="2"/>
    </row>
    <row r="249" spans="1:10" ht="15">
      <c r="A249" s="143" t="s">
        <v>31</v>
      </c>
      <c r="B249" s="171"/>
      <c r="C249" s="171">
        <f>C139/((B36+C36)/2)</f>
        <v>0.65206644582703388</v>
      </c>
      <c r="D249" s="171">
        <f>D139/((C36+D36)/2)</f>
        <v>0.34188503425196426</v>
      </c>
      <c r="E249" s="171">
        <f>E139/((D36+E36)/2)</f>
        <v>0.33586049156017295</v>
      </c>
      <c r="F249" s="171">
        <f>F139/((E36+F36)/2)</f>
        <v>0.32338505646481258</v>
      </c>
      <c r="G249" s="171">
        <f>G139/((F36+G36)/2)</f>
        <v>0.32575523236061121</v>
      </c>
      <c r="H249" s="171">
        <f>AVERAGE(D249:G249)</f>
        <v>0.33172145365939026</v>
      </c>
      <c r="I249" s="2"/>
      <c r="J249" s="2"/>
    </row>
    <row r="250" spans="1:10" ht="15">
      <c r="A250" s="143"/>
      <c r="B250" s="143"/>
      <c r="C250" s="143"/>
      <c r="D250" s="143"/>
      <c r="E250" s="143"/>
      <c r="F250" s="143"/>
      <c r="G250" s="143"/>
      <c r="H250" s="171"/>
      <c r="I250" s="2"/>
      <c r="J250" s="2"/>
    </row>
    <row r="251" spans="1:10" ht="15">
      <c r="A251" s="169" t="s">
        <v>77</v>
      </c>
      <c r="B251" s="143"/>
      <c r="C251" s="143"/>
      <c r="D251" s="143"/>
      <c r="E251" s="143"/>
      <c r="F251" s="143"/>
      <c r="G251" s="143"/>
      <c r="H251" s="171"/>
      <c r="I251" s="2"/>
      <c r="J251" s="2"/>
    </row>
    <row r="252" spans="1:10" ht="15">
      <c r="A252" s="143" t="s">
        <v>81</v>
      </c>
      <c r="B252" s="173" t="e">
        <f t="shared" ref="B252:G252" si="98">(+B161-B156+B155+B149)/(B155+B53)</f>
        <v>#DIV/0!</v>
      </c>
      <c r="C252" s="173">
        <f t="shared" si="98"/>
        <v>2.4763639616187723</v>
      </c>
      <c r="D252" s="173">
        <f t="shared" si="98"/>
        <v>2.7536054285157956</v>
      </c>
      <c r="E252" s="173">
        <f t="shared" si="98"/>
        <v>2.1190490299749314</v>
      </c>
      <c r="F252" s="173">
        <f t="shared" si="98"/>
        <v>1.5449791508926516</v>
      </c>
      <c r="G252" s="173">
        <f t="shared" si="98"/>
        <v>2.6930228753802661</v>
      </c>
      <c r="H252" s="171">
        <f>AVERAGE(C252:G252)</f>
        <v>2.3174040892764838</v>
      </c>
      <c r="I252" s="2"/>
      <c r="J252" s="2"/>
    </row>
    <row r="253" spans="1:10" ht="15">
      <c r="A253" s="143" t="s">
        <v>156</v>
      </c>
      <c r="B253" s="173"/>
      <c r="C253" s="177"/>
      <c r="D253" s="177"/>
      <c r="E253" s="177"/>
      <c r="F253" s="177"/>
      <c r="G253" s="192">
        <v>2.1534740713810274</v>
      </c>
      <c r="H253" s="171">
        <v>2.209494328476636</v>
      </c>
      <c r="I253" s="2"/>
      <c r="J253" s="2"/>
    </row>
    <row r="254" spans="1:10" ht="15">
      <c r="A254" s="143" t="s">
        <v>149</v>
      </c>
      <c r="B254" s="173"/>
      <c r="C254" s="191">
        <f>+C26/C16</f>
        <v>4.217235402001876E-2</v>
      </c>
      <c r="D254" s="191">
        <f t="shared" ref="D254:G254" si="99">+D26/D16</f>
        <v>4.3001769287996622E-2</v>
      </c>
      <c r="E254" s="191">
        <f t="shared" si="99"/>
        <v>4.1478784492502377E-2</v>
      </c>
      <c r="F254" s="191">
        <f t="shared" si="99"/>
        <v>4.1169137894126767E-2</v>
      </c>
      <c r="G254" s="191">
        <f t="shared" si="99"/>
        <v>4.1962689655173233E-2</v>
      </c>
      <c r="H254" s="82">
        <f t="shared" ref="H254:H255" si="100">AVERAGE(C254:G254)</f>
        <v>4.1956947069963543E-2</v>
      </c>
      <c r="I254" s="2"/>
      <c r="J254" s="2"/>
    </row>
    <row r="255" spans="1:10" ht="15">
      <c r="A255" s="143" t="s">
        <v>150</v>
      </c>
      <c r="B255" s="173"/>
      <c r="C255" s="191">
        <f>+C26/C41</f>
        <v>0.12761245986287156</v>
      </c>
      <c r="D255" s="191">
        <f t="shared" ref="D255:G255" si="101">+D26/D41</f>
        <v>0.12903759328781617</v>
      </c>
      <c r="E255" s="191">
        <f t="shared" si="101"/>
        <v>0.13242510152862194</v>
      </c>
      <c r="F255" s="191">
        <f t="shared" si="101"/>
        <v>0.14341522358843112</v>
      </c>
      <c r="G255" s="191">
        <f t="shared" si="101"/>
        <v>0.13821900941094034</v>
      </c>
      <c r="H255" s="82">
        <f t="shared" si="100"/>
        <v>0.13414187753573623</v>
      </c>
      <c r="I255" s="2"/>
      <c r="J255" s="2"/>
    </row>
    <row r="256" spans="1:10" ht="15">
      <c r="A256" s="143" t="s">
        <v>126</v>
      </c>
      <c r="B256" s="173"/>
      <c r="C256" s="177">
        <f>+C41/C36</f>
        <v>0.4336180696447921</v>
      </c>
      <c r="D256" s="177">
        <f>+D41/D36</f>
        <v>0.43146856619709656</v>
      </c>
      <c r="E256" s="177">
        <f>+E41/E36</f>
        <v>0.39741813732361714</v>
      </c>
      <c r="F256" s="177">
        <f>+F41/F36</f>
        <v>0.36151519175955982</v>
      </c>
      <c r="G256" s="177">
        <f>+G41/G36</f>
        <v>0.38414017745482598</v>
      </c>
      <c r="H256" s="82">
        <f t="shared" ref="H256" si="102">AVERAGE(C256:G256)</f>
        <v>0.40163202847597834</v>
      </c>
      <c r="I256" s="2"/>
      <c r="J256" s="2"/>
    </row>
    <row r="257" spans="1:10" ht="15">
      <c r="A257" s="143" t="s">
        <v>125</v>
      </c>
      <c r="B257" s="173"/>
      <c r="C257" s="177">
        <f>-C167/C164</f>
        <v>0.46684169820984744</v>
      </c>
      <c r="D257" s="177">
        <f>-D167/C164</f>
        <v>0.36262135043890326</v>
      </c>
      <c r="E257" s="177">
        <f>-E167/D164</f>
        <v>0.21404871269524164</v>
      </c>
      <c r="F257" s="177">
        <f t="shared" ref="F257" si="103">-F167/E164</f>
        <v>0</v>
      </c>
      <c r="G257" s="177">
        <f t="shared" ref="G257" si="104">-G167/F164</f>
        <v>0</v>
      </c>
      <c r="H257" s="82">
        <f>AVERAGE(C257:G257)</f>
        <v>0.20870235226879846</v>
      </c>
      <c r="I257" s="2"/>
      <c r="J257" s="2"/>
    </row>
    <row r="258" spans="1:10" ht="15">
      <c r="A258" s="143"/>
      <c r="B258" s="143"/>
      <c r="C258" s="21"/>
      <c r="D258" s="21"/>
      <c r="E258" s="143"/>
      <c r="F258" s="143"/>
      <c r="G258" s="143"/>
      <c r="H258" s="171"/>
      <c r="I258" s="2"/>
      <c r="J258" s="2"/>
    </row>
    <row r="259" spans="1:10" ht="15">
      <c r="A259" s="169" t="s">
        <v>64</v>
      </c>
      <c r="B259" s="143"/>
      <c r="C259" s="143"/>
      <c r="D259" s="143"/>
      <c r="E259" s="143"/>
      <c r="F259" s="143"/>
      <c r="G259" s="143"/>
      <c r="H259" s="171"/>
      <c r="I259" s="2"/>
      <c r="J259" s="2"/>
    </row>
    <row r="260" spans="1:10" ht="15">
      <c r="A260" s="143" t="s">
        <v>50</v>
      </c>
      <c r="B260" s="82" t="e">
        <f t="shared" ref="B260:G260" si="105">B44/(B$44+B$41)</f>
        <v>#DIV/0!</v>
      </c>
      <c r="C260" s="82">
        <f t="shared" si="105"/>
        <v>0.51307687994168116</v>
      </c>
      <c r="D260" s="82">
        <f t="shared" si="105"/>
        <v>0.51000186298461747</v>
      </c>
      <c r="E260" s="82">
        <f t="shared" si="105"/>
        <v>0.54604643143958465</v>
      </c>
      <c r="F260" s="82">
        <f t="shared" si="105"/>
        <v>0.58584461070473992</v>
      </c>
      <c r="G260" s="82">
        <f t="shared" si="105"/>
        <v>0.5585145729480272</v>
      </c>
      <c r="H260" s="172">
        <f>AVERAGE(C260:G260)</f>
        <v>0.54269687160373015</v>
      </c>
      <c r="I260" s="2"/>
      <c r="J260" s="2"/>
    </row>
    <row r="261" spans="1:10" ht="15">
      <c r="A261" s="143" t="s">
        <v>65</v>
      </c>
      <c r="B261" s="82" t="e">
        <f t="shared" ref="B261:G261" si="106">B41/(B$44+B$41)</f>
        <v>#DIV/0!</v>
      </c>
      <c r="C261" s="82">
        <f t="shared" si="106"/>
        <v>0.48692312005831884</v>
      </c>
      <c r="D261" s="82">
        <f t="shared" si="106"/>
        <v>0.48999813701538258</v>
      </c>
      <c r="E261" s="82">
        <f t="shared" si="106"/>
        <v>0.45395356856041535</v>
      </c>
      <c r="F261" s="82">
        <f t="shared" si="106"/>
        <v>0.41415538929526008</v>
      </c>
      <c r="G261" s="82">
        <f t="shared" si="106"/>
        <v>0.4414854270519728</v>
      </c>
      <c r="H261" s="172">
        <f>AVERAGE(C261:G261)</f>
        <v>0.45730312839626991</v>
      </c>
      <c r="I261" s="2"/>
      <c r="J261" s="2"/>
    </row>
    <row r="262" spans="1:10" ht="15">
      <c r="A262" s="143"/>
      <c r="B262" s="143"/>
      <c r="C262" s="143"/>
      <c r="D262" s="143"/>
      <c r="E262" s="143"/>
      <c r="F262" s="143"/>
      <c r="G262" s="143"/>
      <c r="H262" s="172"/>
      <c r="I262" s="2"/>
      <c r="J262" s="2"/>
    </row>
    <row r="263" spans="1:10" ht="15">
      <c r="A263" s="169" t="s">
        <v>66</v>
      </c>
      <c r="B263" s="143"/>
      <c r="C263" s="143"/>
      <c r="D263" s="143"/>
      <c r="E263" s="143"/>
      <c r="F263" s="143"/>
      <c r="G263" s="143"/>
      <c r="H263" s="172"/>
      <c r="I263" s="2"/>
      <c r="J263" s="2"/>
    </row>
    <row r="264" spans="1:10" ht="15">
      <c r="A264" s="143" t="s">
        <v>67</v>
      </c>
      <c r="B264" s="82" t="e">
        <f t="shared" ref="B264:G264" si="107">B$53/(B$53+B$44+B$41)</f>
        <v>#DIV/0!</v>
      </c>
      <c r="C264" s="82">
        <f t="shared" si="107"/>
        <v>1.4972035395386066E-2</v>
      </c>
      <c r="D264" s="82">
        <f t="shared" si="107"/>
        <v>1.5529320739747495E-2</v>
      </c>
      <c r="E264" s="82">
        <f t="shared" si="107"/>
        <v>1.8321963771795055E-2</v>
      </c>
      <c r="F264" s="82">
        <f t="shared" si="107"/>
        <v>2.0829636676591091E-2</v>
      </c>
      <c r="G264" s="82">
        <f t="shared" si="107"/>
        <v>2.1014515977648005E-2</v>
      </c>
      <c r="H264" s="172">
        <f>AVERAGE(C264:G264)</f>
        <v>1.813349451223354E-2</v>
      </c>
      <c r="I264" s="2"/>
      <c r="J264" s="2"/>
    </row>
    <row r="265" spans="1:10" ht="15">
      <c r="A265" s="143" t="s">
        <v>50</v>
      </c>
      <c r="B265" s="82" t="e">
        <f t="shared" ref="B265:G265" si="108">B$44/(B$53+B$44+B$41)</f>
        <v>#DIV/0!</v>
      </c>
      <c r="C265" s="82">
        <f t="shared" si="108"/>
        <v>0.50539507473464007</v>
      </c>
      <c r="D265" s="82">
        <f t="shared" si="108"/>
        <v>0.50208188047646052</v>
      </c>
      <c r="E265" s="82">
        <f t="shared" si="108"/>
        <v>0.53604178850503059</v>
      </c>
      <c r="F265" s="82">
        <f t="shared" si="108"/>
        <v>0.57364168031482121</v>
      </c>
      <c r="G265" s="82">
        <f t="shared" si="108"/>
        <v>0.54677765953106161</v>
      </c>
      <c r="H265" s="172">
        <f>AVERAGE(C265:G265)</f>
        <v>0.53278761671240282</v>
      </c>
      <c r="I265" s="2"/>
      <c r="J265" s="2"/>
    </row>
    <row r="266" spans="1:10" ht="15">
      <c r="A266" s="143" t="s">
        <v>65</v>
      </c>
      <c r="B266" s="82" t="e">
        <f t="shared" ref="B266:G266" si="109">B$41/(B$53+B$44+B$41)</f>
        <v>#DIV/0!</v>
      </c>
      <c r="C266" s="82">
        <f t="shared" si="109"/>
        <v>0.47963288986997388</v>
      </c>
      <c r="D266" s="82">
        <f t="shared" si="109"/>
        <v>0.48238879878379193</v>
      </c>
      <c r="E266" s="82">
        <f t="shared" si="109"/>
        <v>0.44563624772317434</v>
      </c>
      <c r="F266" s="82">
        <f t="shared" si="109"/>
        <v>0.40552868300858769</v>
      </c>
      <c r="G266" s="82">
        <f t="shared" si="109"/>
        <v>0.43220782449129036</v>
      </c>
      <c r="H266" s="172">
        <f>AVERAGE(C266:G266)</f>
        <v>0.44907888877536362</v>
      </c>
      <c r="I266" s="2"/>
      <c r="J266" s="2"/>
    </row>
    <row r="267" spans="1:10" ht="15">
      <c r="A267" s="143"/>
      <c r="B267" s="143"/>
      <c r="C267" s="143"/>
      <c r="D267" s="143"/>
      <c r="E267" s="143"/>
      <c r="F267" s="143"/>
      <c r="G267" s="143"/>
      <c r="H267" s="171"/>
      <c r="I267" s="2"/>
      <c r="J267" s="2"/>
    </row>
    <row r="268" spans="1:10" ht="15">
      <c r="A268" s="143"/>
      <c r="B268" s="143"/>
      <c r="C268" s="143"/>
      <c r="D268" s="143"/>
      <c r="E268" s="143"/>
      <c r="F268" s="143"/>
      <c r="G268" s="143"/>
      <c r="H268" s="82"/>
      <c r="I268" s="2"/>
      <c r="J268" s="2"/>
    </row>
  </sheetData>
  <phoneticPr fontId="5" type="noConversion"/>
  <printOptions horizontalCentered="1"/>
  <pageMargins left="0.75" right="0.75" top="1" bottom="1" header="0.5" footer="0.5"/>
  <pageSetup scale="69" fitToHeight="5" orientation="portrait" r:id="rId1"/>
  <headerFooter alignWithMargins="0"/>
  <rowBreaks count="4" manualBreakCount="4">
    <brk id="62" max="7" man="1"/>
    <brk id="125" max="7" man="1"/>
    <brk id="168" max="7" man="1"/>
    <brk id="21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showGridLines="0" view="pageBreakPreview" zoomScale="120" zoomScaleNormal="100" zoomScaleSheetLayoutView="120" workbookViewId="0">
      <selection activeCell="L13" sqref="L13"/>
    </sheetView>
  </sheetViews>
  <sheetFormatPr defaultRowHeight="12.75"/>
  <cols>
    <col min="1" max="1" width="46.140625" customWidth="1"/>
    <col min="2" max="2" width="11.7109375" hidden="1" customWidth="1"/>
    <col min="3" max="7" width="13.7109375" customWidth="1"/>
    <col min="8" max="8" width="11.7109375" hidden="1" customWidth="1"/>
  </cols>
  <sheetData>
    <row r="1" spans="1:8" ht="15">
      <c r="G1" s="91" t="s">
        <v>63</v>
      </c>
    </row>
    <row r="2" spans="1:8" ht="15">
      <c r="G2" s="92" t="s">
        <v>131</v>
      </c>
    </row>
    <row r="3" spans="1:8" ht="18">
      <c r="A3" s="32" t="str">
        <f>+Historical!A3</f>
        <v>Garkane Energy Cooperative, Inc.</v>
      </c>
      <c r="B3" s="31"/>
      <c r="C3" s="5"/>
      <c r="D3" s="5"/>
      <c r="E3" s="5"/>
      <c r="F3" s="5"/>
      <c r="G3" s="5"/>
      <c r="H3" s="6"/>
    </row>
    <row r="4" spans="1:8" ht="15.75">
      <c r="A4" s="32" t="s">
        <v>82</v>
      </c>
      <c r="B4" s="32"/>
      <c r="C4" s="5"/>
      <c r="D4" s="5"/>
      <c r="E4" s="5"/>
      <c r="F4" s="5"/>
      <c r="G4" s="5"/>
      <c r="H4" s="6"/>
    </row>
    <row r="5" spans="1:8" ht="15.75">
      <c r="A5" s="33" t="s">
        <v>62</v>
      </c>
      <c r="B5" s="33"/>
      <c r="C5" s="5"/>
      <c r="D5" s="5"/>
      <c r="E5" s="5"/>
      <c r="F5" s="5"/>
      <c r="G5" s="5"/>
      <c r="H5" s="6"/>
    </row>
    <row r="6" spans="1:8">
      <c r="A6" s="28"/>
      <c r="B6" s="28"/>
      <c r="C6" s="22"/>
      <c r="D6" s="22"/>
      <c r="E6" s="22"/>
      <c r="F6" s="22"/>
      <c r="G6" s="22"/>
      <c r="H6" s="23"/>
    </row>
    <row r="7" spans="1:8">
      <c r="A7" s="22"/>
      <c r="B7" s="22"/>
      <c r="C7" s="22"/>
      <c r="D7" s="22"/>
      <c r="E7" s="22"/>
      <c r="F7" s="22"/>
      <c r="G7" s="22"/>
      <c r="H7" s="24" t="s">
        <v>79</v>
      </c>
    </row>
    <row r="8" spans="1:8">
      <c r="A8" s="15"/>
      <c r="B8" s="15"/>
      <c r="C8" s="15"/>
      <c r="D8" s="25"/>
      <c r="E8" s="26"/>
      <c r="F8" s="26"/>
      <c r="G8" s="27"/>
      <c r="H8" s="36" t="s">
        <v>3</v>
      </c>
    </row>
    <row r="9" spans="1:8" ht="15.75">
      <c r="A9" s="59"/>
      <c r="B9" s="60">
        <v>2004</v>
      </c>
      <c r="C9" s="60">
        <v>2005</v>
      </c>
      <c r="D9" s="60">
        <v>2006</v>
      </c>
      <c r="E9" s="61">
        <v>2007</v>
      </c>
      <c r="F9" s="61">
        <v>2008</v>
      </c>
      <c r="G9" s="61">
        <v>2009</v>
      </c>
      <c r="H9" s="37" t="s">
        <v>22</v>
      </c>
    </row>
    <row r="10" spans="1:8" ht="15">
      <c r="A10" s="125" t="s">
        <v>83</v>
      </c>
      <c r="B10" s="125"/>
      <c r="C10" s="126"/>
      <c r="D10" s="41"/>
      <c r="E10" s="41"/>
      <c r="F10" s="41"/>
      <c r="G10" s="41"/>
      <c r="H10" s="41"/>
    </row>
    <row r="11" spans="1:8" ht="15">
      <c r="A11" s="127" t="s">
        <v>95</v>
      </c>
      <c r="B11" s="128">
        <f>+Historical!B164</f>
        <v>0</v>
      </c>
      <c r="C11" s="128">
        <f>+Historical!C164</f>
        <v>1271009</v>
      </c>
      <c r="D11" s="128">
        <f>+Historical!D164</f>
        <v>1957190</v>
      </c>
      <c r="E11" s="128">
        <f>+Historical!E164+135677</f>
        <v>1535670</v>
      </c>
      <c r="F11" s="128">
        <f>+Historical!F164</f>
        <v>174559</v>
      </c>
      <c r="G11" s="128">
        <f>+Historical!G164</f>
        <v>3921751</v>
      </c>
      <c r="H11" s="43">
        <f>RATE(4,,-C11,G11)</f>
        <v>0.32535691255395371</v>
      </c>
    </row>
    <row r="12" spans="1:8" ht="15">
      <c r="A12" s="125" t="s">
        <v>84</v>
      </c>
      <c r="B12" s="125"/>
      <c r="C12" s="112"/>
      <c r="D12" s="112"/>
      <c r="E12" s="112"/>
      <c r="F12" s="112"/>
      <c r="G12" s="112"/>
      <c r="H12" s="40"/>
    </row>
    <row r="13" spans="1:8" ht="15">
      <c r="A13" s="127" t="s">
        <v>137</v>
      </c>
      <c r="B13" s="127">
        <v>63361</v>
      </c>
      <c r="C13" s="128">
        <v>1660225</v>
      </c>
      <c r="D13" s="129">
        <v>1751556</v>
      </c>
      <c r="E13" s="129">
        <v>1936924</v>
      </c>
      <c r="F13" s="129">
        <v>2244910</v>
      </c>
      <c r="G13" s="129">
        <v>2348735</v>
      </c>
      <c r="H13" s="43">
        <f t="shared" ref="H13:H24" si="0">RATE(4,,-C13,G13)</f>
        <v>9.0603199813643731E-2</v>
      </c>
    </row>
    <row r="14" spans="1:8" ht="15">
      <c r="A14" s="130" t="s">
        <v>138</v>
      </c>
      <c r="B14" s="131">
        <v>-166304</v>
      </c>
      <c r="C14" s="111"/>
      <c r="D14" s="129"/>
      <c r="E14" s="129"/>
      <c r="F14" s="129"/>
      <c r="G14" s="129"/>
      <c r="H14" s="43"/>
    </row>
    <row r="15" spans="1:8" ht="15">
      <c r="A15" s="125" t="s">
        <v>96</v>
      </c>
      <c r="B15" s="132"/>
      <c r="C15" s="128"/>
      <c r="D15" s="129"/>
      <c r="E15" s="129"/>
      <c r="F15" s="63"/>
      <c r="G15" s="63"/>
      <c r="H15" s="43"/>
    </row>
    <row r="16" spans="1:8" ht="15">
      <c r="A16" s="133" t="s">
        <v>98</v>
      </c>
      <c r="B16" s="134">
        <v>-29103</v>
      </c>
      <c r="C16" s="112">
        <v>192135</v>
      </c>
      <c r="D16" s="129">
        <v>-406159</v>
      </c>
      <c r="E16" s="129">
        <v>-36431</v>
      </c>
      <c r="F16" s="129">
        <v>38570</v>
      </c>
      <c r="G16" s="129">
        <v>-1160345</v>
      </c>
      <c r="H16" s="43"/>
    </row>
    <row r="17" spans="1:11" ht="15">
      <c r="A17" s="133" t="s">
        <v>120</v>
      </c>
      <c r="B17" s="134"/>
      <c r="C17" s="112">
        <v>97129</v>
      </c>
      <c r="D17" s="129"/>
      <c r="E17" s="129"/>
      <c r="F17" s="129"/>
      <c r="G17" s="129"/>
      <c r="H17" s="43"/>
    </row>
    <row r="18" spans="1:11" ht="15">
      <c r="A18" s="133" t="s">
        <v>97</v>
      </c>
      <c r="B18" s="134">
        <v>145766</v>
      </c>
      <c r="C18" s="111">
        <v>224532</v>
      </c>
      <c r="D18" s="129">
        <v>391237</v>
      </c>
      <c r="E18" s="129">
        <v>94547</v>
      </c>
      <c r="F18" s="129">
        <v>15305</v>
      </c>
      <c r="G18" s="129">
        <v>-39513</v>
      </c>
      <c r="H18" s="43" t="e">
        <f t="shared" si="0"/>
        <v>#NUM!</v>
      </c>
    </row>
    <row r="19" spans="1:11" ht="15">
      <c r="A19" s="135" t="s">
        <v>121</v>
      </c>
      <c r="B19" s="134"/>
      <c r="C19" s="111">
        <v>-92859</v>
      </c>
      <c r="D19" s="129">
        <v>-810518</v>
      </c>
      <c r="E19" s="129">
        <v>-410038</v>
      </c>
      <c r="F19" s="129">
        <v>-384500</v>
      </c>
      <c r="G19" s="129">
        <v>182529</v>
      </c>
      <c r="H19" s="43"/>
    </row>
    <row r="20" spans="1:11" ht="15">
      <c r="A20" s="133" t="s">
        <v>99</v>
      </c>
      <c r="B20" s="134">
        <v>-111</v>
      </c>
      <c r="C20" s="111">
        <v>61613</v>
      </c>
      <c r="D20" s="129">
        <v>45486</v>
      </c>
      <c r="E20" s="129">
        <v>35276</v>
      </c>
      <c r="F20" s="129">
        <v>-8554</v>
      </c>
      <c r="G20" s="129">
        <v>179981</v>
      </c>
      <c r="H20" s="43"/>
    </row>
    <row r="21" spans="1:11" ht="15">
      <c r="A21" s="133" t="s">
        <v>100</v>
      </c>
      <c r="B21" s="134">
        <v>24613</v>
      </c>
      <c r="C21" s="111">
        <f>24335-89931</f>
        <v>-65596</v>
      </c>
      <c r="D21" s="129">
        <v>15807</v>
      </c>
      <c r="E21" s="129">
        <v>66391</v>
      </c>
      <c r="F21" s="129"/>
      <c r="G21" s="129"/>
      <c r="H21" s="43"/>
    </row>
    <row r="22" spans="1:11" ht="15">
      <c r="A22" s="133" t="s">
        <v>85</v>
      </c>
      <c r="B22" s="134">
        <v>-16463</v>
      </c>
      <c r="C22" s="111">
        <v>89467</v>
      </c>
      <c r="D22" s="129">
        <v>48385</v>
      </c>
      <c r="E22" s="129">
        <v>152133</v>
      </c>
      <c r="F22" s="129">
        <f>-6400+165716</f>
        <v>159316</v>
      </c>
      <c r="G22" s="129">
        <f>-32408+77013</f>
        <v>44605</v>
      </c>
      <c r="H22" s="43">
        <f t="shared" si="0"/>
        <v>-0.15970811928542705</v>
      </c>
    </row>
    <row r="23" spans="1:11" ht="15">
      <c r="A23" s="127"/>
      <c r="B23" s="136"/>
      <c r="C23" s="128"/>
      <c r="D23" s="129"/>
      <c r="E23" s="129"/>
      <c r="F23" s="129"/>
      <c r="G23" s="129"/>
      <c r="H23" s="45"/>
    </row>
    <row r="24" spans="1:11" ht="15">
      <c r="A24" s="127" t="s">
        <v>86</v>
      </c>
      <c r="B24" s="137">
        <f t="shared" ref="B24" si="1">SUM(B10:B23)</f>
        <v>21759</v>
      </c>
      <c r="C24" s="137">
        <f t="shared" ref="C24:F24" si="2">SUM(C10:C23)</f>
        <v>3437655</v>
      </c>
      <c r="D24" s="137">
        <f t="shared" si="2"/>
        <v>2992984</v>
      </c>
      <c r="E24" s="137">
        <f>SUM(E10:E23)</f>
        <v>3374472</v>
      </c>
      <c r="F24" s="137">
        <f t="shared" si="2"/>
        <v>2239606</v>
      </c>
      <c r="G24" s="137">
        <f>SUM(G10:G23)</f>
        <v>5477743</v>
      </c>
      <c r="H24" s="43">
        <f t="shared" si="0"/>
        <v>0.12353043359753139</v>
      </c>
      <c r="I24" s="39"/>
      <c r="J24" s="39"/>
      <c r="K24" s="46"/>
    </row>
    <row r="25" spans="1:11" ht="15">
      <c r="A25" s="127"/>
      <c r="B25" s="111"/>
      <c r="C25" s="111"/>
      <c r="D25" s="129"/>
      <c r="E25" s="129"/>
      <c r="F25" s="129"/>
      <c r="G25" s="129"/>
      <c r="H25" s="41"/>
    </row>
    <row r="26" spans="1:11" ht="15">
      <c r="A26" s="127" t="s">
        <v>134</v>
      </c>
      <c r="B26" s="111"/>
      <c r="C26" s="111"/>
      <c r="D26" s="129"/>
      <c r="E26" s="129"/>
      <c r="F26" s="129"/>
      <c r="G26" s="129"/>
      <c r="H26" s="41"/>
    </row>
    <row r="27" spans="1:11" ht="15">
      <c r="A27" s="127" t="s">
        <v>136</v>
      </c>
      <c r="B27" s="111"/>
      <c r="C27" s="111">
        <v>-41028</v>
      </c>
      <c r="D27" s="129">
        <v>285271</v>
      </c>
      <c r="E27" s="129">
        <v>496294</v>
      </c>
      <c r="F27" s="129">
        <v>429676</v>
      </c>
      <c r="G27" s="129">
        <v>88333</v>
      </c>
      <c r="H27" s="41"/>
    </row>
    <row r="28" spans="1:11" ht="15">
      <c r="A28" s="127" t="s">
        <v>135</v>
      </c>
      <c r="B28" s="111"/>
      <c r="C28" s="111">
        <v>69469</v>
      </c>
      <c r="D28" s="129">
        <v>4273</v>
      </c>
      <c r="E28" s="129">
        <v>33693</v>
      </c>
      <c r="F28" s="129">
        <v>36080</v>
      </c>
      <c r="G28" s="129">
        <v>31522</v>
      </c>
      <c r="H28" s="41"/>
    </row>
    <row r="29" spans="1:11" ht="15">
      <c r="A29" s="127" t="s">
        <v>139</v>
      </c>
      <c r="B29" s="111"/>
      <c r="C29" s="111">
        <v>49120</v>
      </c>
      <c r="D29" s="129">
        <v>34165</v>
      </c>
      <c r="E29" s="129">
        <v>29871</v>
      </c>
      <c r="F29" s="129">
        <v>17573</v>
      </c>
      <c r="G29" s="129">
        <v>559713</v>
      </c>
      <c r="H29" s="41"/>
    </row>
    <row r="30" spans="1:11" ht="15">
      <c r="A30" s="127"/>
      <c r="B30" s="111"/>
      <c r="C30" s="185"/>
      <c r="D30" s="72"/>
      <c r="E30" s="72"/>
      <c r="F30" s="72"/>
      <c r="G30" s="72"/>
      <c r="H30" s="41"/>
    </row>
    <row r="31" spans="1:11" ht="15">
      <c r="A31" s="127" t="s">
        <v>140</v>
      </c>
      <c r="B31" s="111"/>
      <c r="C31" s="111">
        <f>SUM(C27:C29)</f>
        <v>77561</v>
      </c>
      <c r="D31" s="111">
        <f t="shared" ref="D31:G31" si="3">SUM(D27:D29)</f>
        <v>323709</v>
      </c>
      <c r="E31" s="111">
        <f t="shared" si="3"/>
        <v>559858</v>
      </c>
      <c r="F31" s="111">
        <f t="shared" si="3"/>
        <v>483329</v>
      </c>
      <c r="G31" s="111">
        <f t="shared" si="3"/>
        <v>679568</v>
      </c>
      <c r="H31" s="41"/>
    </row>
    <row r="32" spans="1:11" ht="15">
      <c r="A32" s="127"/>
      <c r="B32" s="111"/>
      <c r="C32" s="111"/>
      <c r="D32" s="129"/>
      <c r="E32" s="129"/>
      <c r="F32" s="129"/>
      <c r="G32" s="129"/>
      <c r="H32" s="41"/>
    </row>
    <row r="33" spans="1:9" ht="15">
      <c r="A33" s="125" t="s">
        <v>90</v>
      </c>
      <c r="B33" s="128"/>
      <c r="C33" s="128"/>
      <c r="D33" s="129"/>
      <c r="E33" s="129"/>
      <c r="F33" s="129"/>
      <c r="G33" s="129"/>
      <c r="H33" s="41"/>
    </row>
    <row r="34" spans="1:9" ht="15">
      <c r="A34" s="133" t="s">
        <v>101</v>
      </c>
      <c r="B34" s="128"/>
      <c r="C34" s="111"/>
      <c r="D34" s="129"/>
      <c r="E34" s="129"/>
      <c r="F34" s="129"/>
      <c r="G34" s="129"/>
      <c r="H34" s="43" t="e">
        <f t="shared" ref="H34" si="4">RATE(4,,-C34,G34)</f>
        <v>#NUM!</v>
      </c>
    </row>
    <row r="35" spans="1:9" ht="15">
      <c r="A35" s="135" t="s">
        <v>141</v>
      </c>
      <c r="B35" s="128">
        <v>-131226</v>
      </c>
      <c r="C35" s="128">
        <v>-593360</v>
      </c>
      <c r="D35" s="129">
        <v>-460895</v>
      </c>
      <c r="E35" s="129">
        <v>-418934</v>
      </c>
      <c r="F35" s="129"/>
      <c r="G35" s="129">
        <v>18523</v>
      </c>
      <c r="H35" s="43"/>
    </row>
    <row r="36" spans="1:9" ht="15">
      <c r="A36" s="133" t="s">
        <v>103</v>
      </c>
      <c r="B36" s="128"/>
      <c r="C36" s="128">
        <v>2000000</v>
      </c>
      <c r="D36" s="129">
        <v>2000000</v>
      </c>
      <c r="E36" s="129">
        <v>6449000</v>
      </c>
      <c r="F36" s="129">
        <v>6000000</v>
      </c>
      <c r="G36" s="129">
        <v>3000000</v>
      </c>
      <c r="H36" s="41"/>
    </row>
    <row r="37" spans="1:9" ht="15">
      <c r="A37" s="133" t="s">
        <v>91</v>
      </c>
      <c r="B37" s="128">
        <v>-16883</v>
      </c>
      <c r="C37" s="128">
        <v>-593881</v>
      </c>
      <c r="D37" s="129">
        <v>-708043</v>
      </c>
      <c r="E37" s="129">
        <v>-1711308</v>
      </c>
      <c r="F37" s="129">
        <v>-954635</v>
      </c>
      <c r="G37" s="129">
        <v>-1159452</v>
      </c>
      <c r="H37" s="43">
        <f t="shared" ref="H37" si="5">RATE(4,,-C37,G37)</f>
        <v>0.18205677286975414</v>
      </c>
    </row>
    <row r="38" spans="1:9" ht="15">
      <c r="A38" s="133"/>
      <c r="B38" s="128"/>
      <c r="C38" s="188"/>
      <c r="D38" s="72"/>
      <c r="E38" s="72"/>
      <c r="F38" s="72"/>
      <c r="G38" s="72"/>
      <c r="H38" s="43"/>
    </row>
    <row r="39" spans="1:9" ht="15">
      <c r="A39" s="135" t="s">
        <v>143</v>
      </c>
      <c r="B39" s="128"/>
      <c r="C39" s="129">
        <f>SUM(C35:C38)</f>
        <v>812759</v>
      </c>
      <c r="D39" s="129">
        <f>SUM(D35:D38)</f>
        <v>831062</v>
      </c>
      <c r="E39" s="129">
        <f>SUM(E35:E38)</f>
        <v>4318758</v>
      </c>
      <c r="F39" s="129">
        <f t="shared" ref="F39:G39" si="6">SUM(F35:F38)</f>
        <v>5045365</v>
      </c>
      <c r="G39" s="129">
        <f t="shared" si="6"/>
        <v>1859071</v>
      </c>
      <c r="H39" s="43"/>
    </row>
    <row r="40" spans="1:9" ht="15">
      <c r="A40" s="127"/>
      <c r="B40" s="111"/>
      <c r="C40" s="111"/>
      <c r="D40" s="129"/>
      <c r="E40" s="129"/>
      <c r="F40" s="129"/>
      <c r="G40" s="129"/>
      <c r="H40" s="41"/>
    </row>
    <row r="41" spans="1:9" ht="15">
      <c r="A41" s="125" t="s">
        <v>142</v>
      </c>
      <c r="B41" s="128"/>
      <c r="C41" s="128"/>
      <c r="D41" s="129"/>
      <c r="E41" s="129"/>
      <c r="F41" s="129"/>
      <c r="G41" s="129"/>
      <c r="H41" s="41"/>
    </row>
    <row r="42" spans="1:9" ht="15">
      <c r="A42" s="127" t="s">
        <v>102</v>
      </c>
      <c r="B42" s="112">
        <v>-327966</v>
      </c>
      <c r="C42" s="112">
        <v>-3797039</v>
      </c>
      <c r="D42" s="129">
        <v>-4387897</v>
      </c>
      <c r="E42" s="129">
        <v>-7612064</v>
      </c>
      <c r="F42" s="129">
        <v>-7308336</v>
      </c>
      <c r="G42" s="129">
        <v>-9224479</v>
      </c>
      <c r="H42" s="43"/>
      <c r="I42" s="15"/>
    </row>
    <row r="43" spans="1:9" ht="15">
      <c r="A43" s="127" t="s">
        <v>122</v>
      </c>
      <c r="B43" s="112">
        <v>172066</v>
      </c>
      <c r="C43" s="112">
        <v>-30834</v>
      </c>
      <c r="D43" s="129">
        <v>-113410</v>
      </c>
      <c r="E43" s="129">
        <f>-135677-62162</f>
        <v>-197839</v>
      </c>
      <c r="F43" s="129">
        <f>-93484-20435</f>
        <v>-113919</v>
      </c>
      <c r="G43" s="129">
        <f>-18523-225250</f>
        <v>-243773</v>
      </c>
      <c r="H43" s="43"/>
      <c r="I43" s="15"/>
    </row>
    <row r="44" spans="1:9" ht="15">
      <c r="A44" s="127" t="s">
        <v>87</v>
      </c>
      <c r="B44" s="128"/>
      <c r="C44" s="128"/>
      <c r="D44" s="129"/>
      <c r="E44" s="129"/>
      <c r="F44" s="129"/>
      <c r="G44" s="129"/>
      <c r="H44" s="41"/>
    </row>
    <row r="45" spans="1:9" ht="15">
      <c r="A45" s="127" t="s">
        <v>123</v>
      </c>
      <c r="B45" s="128"/>
      <c r="C45" s="128">
        <v>-151414</v>
      </c>
      <c r="D45" s="129">
        <v>-254978</v>
      </c>
      <c r="E45" s="129"/>
      <c r="F45" s="129">
        <v>-14346</v>
      </c>
      <c r="G45" s="129"/>
      <c r="H45" s="41"/>
    </row>
    <row r="46" spans="1:9" ht="15">
      <c r="A46" s="127" t="s">
        <v>88</v>
      </c>
      <c r="B46" s="128"/>
      <c r="C46" s="128">
        <v>-7728</v>
      </c>
      <c r="D46" s="129">
        <f>-20544-30665</f>
        <v>-51209</v>
      </c>
      <c r="E46" s="129">
        <v>-19176</v>
      </c>
      <c r="F46" s="129">
        <v>-133943</v>
      </c>
      <c r="G46" s="129">
        <f>-51675</f>
        <v>-51675</v>
      </c>
      <c r="H46" s="41"/>
    </row>
    <row r="47" spans="1:9" ht="15">
      <c r="A47" s="127"/>
      <c r="B47" s="128"/>
      <c r="C47" s="128"/>
      <c r="D47" s="129"/>
      <c r="E47" s="129"/>
      <c r="F47" s="129"/>
      <c r="G47" s="129"/>
      <c r="H47" s="44"/>
    </row>
    <row r="48" spans="1:9" ht="15">
      <c r="A48" s="127" t="s">
        <v>89</v>
      </c>
      <c r="B48" s="137">
        <f t="shared" ref="B48" si="7">SUM(B42:B47)</f>
        <v>-155900</v>
      </c>
      <c r="C48" s="137">
        <f>SUM(C42:C47)</f>
        <v>-3987015</v>
      </c>
      <c r="D48" s="137">
        <f t="shared" ref="D48:F48" si="8">SUM(D42:D47)</f>
        <v>-4807494</v>
      </c>
      <c r="E48" s="137">
        <f>SUM(E42:E47)</f>
        <v>-7829079</v>
      </c>
      <c r="F48" s="137">
        <f t="shared" si="8"/>
        <v>-7570544</v>
      </c>
      <c r="G48" s="137">
        <f>SUM(G42:G47)</f>
        <v>-9519927</v>
      </c>
      <c r="H48" s="43"/>
    </row>
    <row r="49" spans="1:8" ht="15">
      <c r="A49" s="127"/>
      <c r="B49" s="128"/>
      <c r="C49" s="129"/>
      <c r="D49" s="129"/>
      <c r="E49" s="129"/>
      <c r="F49" s="129"/>
      <c r="G49" s="129"/>
      <c r="H49" s="41"/>
    </row>
    <row r="50" spans="1:8" ht="15.75">
      <c r="A50" s="186" t="s">
        <v>92</v>
      </c>
      <c r="B50" s="187" t="e">
        <f>+#REF!+B48+B24</f>
        <v>#REF!</v>
      </c>
      <c r="C50" s="187">
        <f>+C48+C39+C31+C24</f>
        <v>340960</v>
      </c>
      <c r="D50" s="187">
        <f>+D48+D39+D31+D24</f>
        <v>-659739</v>
      </c>
      <c r="E50" s="187">
        <f>+E48+E39+E31+E24</f>
        <v>424009</v>
      </c>
      <c r="F50" s="187">
        <f t="shared" ref="F50:G50" si="9">+F48+F39+F31+F24</f>
        <v>197756</v>
      </c>
      <c r="G50" s="187">
        <f t="shared" si="9"/>
        <v>-1503545</v>
      </c>
      <c r="H50" s="43" t="e">
        <f t="shared" ref="H50" si="10">RATE(4,,-C50,G50)</f>
        <v>#NUM!</v>
      </c>
    </row>
    <row r="51" spans="1:8" ht="15">
      <c r="A51" s="127"/>
      <c r="B51" s="129"/>
      <c r="C51" s="129"/>
      <c r="D51" s="129"/>
      <c r="E51" s="129"/>
      <c r="F51" s="129"/>
      <c r="G51" s="129"/>
      <c r="H51" s="44"/>
    </row>
    <row r="52" spans="1:8" ht="15">
      <c r="A52" s="127" t="s">
        <v>93</v>
      </c>
      <c r="B52" s="138">
        <v>188744</v>
      </c>
      <c r="C52" s="138">
        <v>2508800</v>
      </c>
      <c r="D52" s="138">
        <f>+C54</f>
        <v>2849760</v>
      </c>
      <c r="E52" s="138">
        <f>+D54</f>
        <v>2190021</v>
      </c>
      <c r="F52" s="138">
        <f>+E54</f>
        <v>2614030</v>
      </c>
      <c r="G52" s="138">
        <f>+F54</f>
        <v>2811786</v>
      </c>
      <c r="H52" s="43">
        <f t="shared" ref="H52" si="11">RATE(4,,-C52,G52)</f>
        <v>2.8913950914134658E-2</v>
      </c>
    </row>
    <row r="53" spans="1:8" ht="15">
      <c r="A53" s="127"/>
      <c r="B53" s="129"/>
      <c r="C53" s="129"/>
      <c r="D53" s="129"/>
      <c r="E53" s="129"/>
      <c r="F53" s="129"/>
      <c r="G53" s="129"/>
      <c r="H53" s="44"/>
    </row>
    <row r="54" spans="1:8" ht="15.75" thickBot="1">
      <c r="A54" s="127" t="s">
        <v>94</v>
      </c>
      <c r="B54" s="138">
        <f>+Historical!B30</f>
        <v>0</v>
      </c>
      <c r="C54" s="176">
        <f>+Historical!C30</f>
        <v>2849760</v>
      </c>
      <c r="D54" s="176">
        <f>+Historical!D30</f>
        <v>2190021</v>
      </c>
      <c r="E54" s="176">
        <f>+Historical!E30</f>
        <v>2614030</v>
      </c>
      <c r="F54" s="176">
        <f>+Historical!F30</f>
        <v>2811786</v>
      </c>
      <c r="G54" s="176">
        <f>+Historical!G30</f>
        <v>1308241</v>
      </c>
      <c r="H54" s="43">
        <f t="shared" ref="H54" si="12">RATE(4,,-C54,G54)</f>
        <v>-0.17686727646716788</v>
      </c>
    </row>
    <row r="55" spans="1:8" ht="15.75" thickTop="1">
      <c r="A55" s="127"/>
      <c r="B55" s="129"/>
      <c r="C55" s="129"/>
      <c r="D55" s="129"/>
      <c r="E55" s="129"/>
      <c r="F55" s="129"/>
      <c r="G55" s="129"/>
      <c r="H55" s="43"/>
    </row>
    <row r="56" spans="1:8" ht="15.75" thickBot="1">
      <c r="A56" s="127" t="s">
        <v>124</v>
      </c>
      <c r="B56" s="129"/>
      <c r="C56" s="129">
        <v>1008741</v>
      </c>
      <c r="D56" s="129">
        <v>1139477</v>
      </c>
      <c r="E56" s="129">
        <v>1361621</v>
      </c>
      <c r="F56" s="129">
        <v>1688618</v>
      </c>
      <c r="G56" s="129">
        <v>1847175</v>
      </c>
      <c r="H56" s="43"/>
    </row>
    <row r="57" spans="1:8" ht="15.75" thickTop="1">
      <c r="A57" s="139"/>
      <c r="B57" s="139"/>
      <c r="C57" s="68"/>
      <c r="D57" s="106"/>
      <c r="E57" s="68"/>
      <c r="F57" s="68"/>
      <c r="G57" s="68"/>
      <c r="H57" s="42"/>
    </row>
    <row r="58" spans="1:8" ht="15">
      <c r="A58" s="55"/>
      <c r="B58" s="55"/>
      <c r="C58" s="55"/>
      <c r="D58" s="55"/>
      <c r="E58" s="55"/>
      <c r="F58" s="124"/>
      <c r="G58" s="124"/>
    </row>
    <row r="59" spans="1:8" ht="15">
      <c r="A59" s="55"/>
      <c r="B59" s="55"/>
      <c r="C59" s="124">
        <f>+C54-C56</f>
        <v>1841019</v>
      </c>
      <c r="D59" s="124">
        <f t="shared" ref="D59:G59" si="13">+D54-D56</f>
        <v>1050544</v>
      </c>
      <c r="E59" s="124">
        <f t="shared" si="13"/>
        <v>1252409</v>
      </c>
      <c r="F59" s="124">
        <f t="shared" si="13"/>
        <v>1123168</v>
      </c>
      <c r="G59" s="124">
        <f t="shared" si="13"/>
        <v>-538934</v>
      </c>
    </row>
    <row r="61" spans="1:8">
      <c r="G61" s="39"/>
    </row>
    <row r="63" spans="1:8">
      <c r="G63" s="39"/>
    </row>
  </sheetData>
  <printOptions horizontalCentered="1"/>
  <pageMargins left="0.7" right="0.7" top="0.75" bottom="0.75" header="0.3" footer="0.3"/>
  <pageSetup scale="70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Historical</vt:lpstr>
      <vt:lpstr>Cash Flow</vt:lpstr>
      <vt:lpstr>'Cash Flow'!Print_Area</vt:lpstr>
      <vt:lpstr>Historical!Print_Area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State Employee</cp:lastModifiedBy>
  <cp:lastPrinted>2010-10-21T18:38:42Z</cp:lastPrinted>
  <dcterms:created xsi:type="dcterms:W3CDTF">2005-09-19T14:11:29Z</dcterms:created>
  <dcterms:modified xsi:type="dcterms:W3CDTF">2010-10-21T19:58:00Z</dcterms:modified>
</cp:coreProperties>
</file>